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drawings/drawing3.xml" ContentType="application/vnd.openxmlformats-officedocument.drawing+xml"/>
  <Override PartName="/xl/tables/table21.xml" ContentType="application/vnd.openxmlformats-officedocument.spreadsheetml.table+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32.xml" ContentType="application/vnd.openxmlformats-officedocument.spreadsheetml.table+xml"/>
  <Override PartName="/xl/drawings/drawing8.xml" ContentType="application/vnd.openxmlformats-officedocument.drawing+xml"/>
  <Override PartName="/xl/tables/table33.xml" ContentType="application/vnd.openxmlformats-officedocument.spreadsheetml.table+xml"/>
  <Override PartName="/xl/drawings/drawing9.xml" ContentType="application/vnd.openxmlformats-officedocument.drawing+xml"/>
  <Override PartName="/xl/tables/table34.xml" ContentType="application/vnd.openxmlformats-officedocument.spreadsheetml.table+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drawings/drawing16.xml" ContentType="application/vnd.openxmlformats-officedocument.drawing+xml"/>
  <Override PartName="/xl/tables/table7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https://beisgov-my.sharepoint.com/personal/rachel_gibson2_energysecurity_gov_uk/Documents/Documents/Publishing/ggss/"/>
    </mc:Choice>
  </mc:AlternateContent>
  <xr:revisionPtr revIDLastSave="0" documentId="8_{01B06CE5-3DF7-4B6E-B84B-D592B38F7E05}" xr6:coauthVersionLast="47" xr6:coauthVersionMax="47" xr10:uidLastSave="{00000000-0000-0000-0000-000000000000}"/>
  <bookViews>
    <workbookView xWindow="24" yWindow="456" windowWidth="23016" windowHeight="12504" xr2:uid="{56473DD5-51F7-4F4E-BE92-08AD5815456E}"/>
  </bookViews>
  <sheets>
    <sheet name="Welcome" sheetId="11" r:id="rId1"/>
    <sheet name="Summary" sheetId="1" r:id="rId2"/>
    <sheet name="Feedstocks" sheetId="4" r:id="rId3"/>
    <sheet name="Cultivation and harvesting" sheetId="6" r:id="rId4"/>
    <sheet name="Transport 1" sheetId="9" r:id="rId5"/>
    <sheet name="Feedstock conversion" sheetId="10" r:id="rId6"/>
    <sheet name="Land-use change" sheetId="18" r:id="rId7"/>
    <sheet name="Soil carbon" sheetId="19" r:id="rId8"/>
    <sheet name="Manure credits" sheetId="16" r:id="rId9"/>
    <sheet name="Transport 2" sheetId="7" r:id="rId10"/>
    <sheet name="Digestion &amp; outputs" sheetId="2" r:id="rId11"/>
    <sheet name="Final conversion" sheetId="12" r:id="rId12"/>
    <sheet name="Carbon capture" sheetId="17" r:id="rId13"/>
    <sheet name="Biomethane transport" sheetId="20" r:id="rId14"/>
    <sheet name="Reference values" sheetId="3" r:id="rId15"/>
    <sheet name="Notes" sheetId="13" r:id="rId16"/>
  </sheets>
  <definedNames>
    <definedName name="_xlnm._FilterDatabase" localSheetId="10" hidden="1">'Digestion &amp; outputs'!$C$82:$C$164</definedName>
    <definedName name="Biogas_yields_nonwastes">Biogas_Yields_Nonwastes_Table[Methane yield (Nm3/tonne volatile solid)]</definedName>
    <definedName name="Biogas_Yields_Wastes">Biogas_Yields_Wastes_Table[Methane yield (Nm3/tonne volatile solid)]</definedName>
    <definedName name="Chemical_Emission_Factors">Chemical_Emission_Factors_Table[Emission Factor (gCO2eq/kgchemical)]</definedName>
    <definedName name="Chemicals">Chemical_Emission_Factors_Table[Chemical]</definedName>
    <definedName name="Crop_drymatter">Crop_drymatter_table[Dry matter content (%)]</definedName>
    <definedName name="Crop_yields">Crop_yields_table[Yield (tonnes/Ha)]</definedName>
    <definedName name="Crops_for_drymatter">Crop_drymatter_table[Crop]</definedName>
    <definedName name="Crops_for_yields">Crop_yields_table[Crop]</definedName>
    <definedName name="Default_crops">Default_crop_data[Crop]</definedName>
    <definedName name="Digestate_LHV">Digestate_properties_table[Lower Heating Value (MJ/kg)]</definedName>
    <definedName name="Digestate_moisture_content">Digestate_properties_table[Digestate moisture content]</definedName>
    <definedName name="Electricity_Emission_Factors">Electricity_Emission_Factors_Table[Emission factor (gCO2eq/MJ)]</definedName>
    <definedName name="Electricity_Source">Electricity_Emission_Factors_Table[Source]</definedName>
    <definedName name="Electricity_to_digestion_percent">'Final conversion'!$P$33</definedName>
    <definedName name="Electricity_to_upgrading_percent">'Final conversion'!$P$32</definedName>
    <definedName name="Feedstock_drymatter_nonwastes">Feedstock_drymatter_nonwastes_table[Dry matter content (%)]</definedName>
    <definedName name="Feedstock_drymatter_wastes">Feedstock_drymatter_wastes_table[Dry matter content (%)]</definedName>
    <definedName name="Feedstock_for_drymatter_nonwastes">Feedstock_drymatter_nonwastes_table[Feedstock]</definedName>
    <definedName name="Feedstock_for_drymatter_wastes">Feedstock_drymatter_wastes_table[Feedstock]</definedName>
    <definedName name="Feedstock_for_volatile_solids_nonwastes">Feedstock_volatile_solids_nonwastes_table[Feedstock]</definedName>
    <definedName name="Feedstock_for_volatile_solids_wastes">Feedstock_volatile_solids_wastes_table[Feedstock]</definedName>
    <definedName name="Feedstock_moisture">Feedstock_drymatter_nonwastes_table[Dry matter content (%)]</definedName>
    <definedName name="Feedstock_volatile_solids_nonwastes">Feedstock_volatile_solids_nonwastes_table[Volatile solid content (%)]</definedName>
    <definedName name="Feedstock_volatile_solids_wastes">Feedstock_volatile_solids_wastes_table[Volatile solid content (%)]</definedName>
    <definedName name="Feedstocks_for_moisture">Feedstock_drymatter_nonwastes_table[Feedstock]</definedName>
    <definedName name="Fuel_Densities">Fuel_Densities_Table[Density (kg/m3)]</definedName>
    <definedName name="Fuel_EFs">Fuel_Emission_Factors_Table[Emission factor (gCO2eq/MJ)]</definedName>
    <definedName name="Fuel_LHV">Fuel_LHV_Table[Lower Heating Value (MJ/kg)]</definedName>
    <definedName name="Fuels_for_Densities">Fuel_Densities_Table[Fuel]</definedName>
    <definedName name="Fuels_for_EF">Fuel_Emission_Factors_Table[Fuel]</definedName>
    <definedName name="Fuels_for_LHV">Fuel_LHV_Table[Fuel]</definedName>
    <definedName name="Gas_energy_densities">Gas_energy_densities_table[Density (MJ/Nm3)]</definedName>
    <definedName name="Gas_for_energy_densities">Gas_energy_densities_table[Gas]</definedName>
    <definedName name="Gas_GWPs">Gas_GWPs_Table[Global Warming Potential (gCO2eq)]</definedName>
    <definedName name="K_Fertiliser_EF">K_Fertiliser_Emission_Factors_Table[Emission Factor (gCO2eq/kgK2O)]</definedName>
    <definedName name="K_fertiliser_K_composition">K_fertiliser_compositions_table[%K2O]</definedName>
    <definedName name="K_fertiliser_N_composition">K_fertiliser_compositions_table[%N]</definedName>
    <definedName name="K_fertilisers">K_Fertiliser_Emission_Factors_Table[Fertiliser]</definedName>
    <definedName name="Manure_credit_EF_value">Manure_credit_EF_table[Emission Factor (gCO2eq/MJmanure)]</definedName>
    <definedName name="Manure_LHV">Manure_properties[Lower Heating Value (MJ/kg_dry)]</definedName>
    <definedName name="N_Fertiliser_EF">N_Fertiliser_Emission_Factors_Table[Emission Factor (gCO2eq/kgnitrogen)]</definedName>
    <definedName name="N_fertiliser_N_composition">N_fertiliser_compositions_table[%N]</definedName>
    <definedName name="N_Fertilisers">N_Fertiliser_Emission_Factors_Table[Fertiliser]</definedName>
    <definedName name="Organic_fertiliser_EF">Organic_fertilisers_EF_table[Emission Factor (gCO2eq/kgnitrogen)]</definedName>
    <definedName name="Organic_fertilisers">Organic_fertiliser_table[Fertiliser]</definedName>
    <definedName name="Organic_fertilisers_N_Composition">Organic_fertiliser_table[%N]</definedName>
    <definedName name="Other_fertiliser_EF">Other_Fertiliser_Emission_Factors_Table[Emission Factor (gCO2eq/kgnutrient)]</definedName>
    <definedName name="Other_fertiliser_N_compostion">Other_fertiliser_compositions_table[%N]</definedName>
    <definedName name="Other_fertiliser_nutrient_composition">Other_fertiliser_compositions_table[%nutrient]</definedName>
    <definedName name="Other_fertilisers">Other_Fertiliser_Emission_Factors_Table[Fertiliser]</definedName>
    <definedName name="P_fertiliser_EF">P_Fertiliser_Emission_Factors_Table[Emission Factor (gCO2eq/kgP2O5)]</definedName>
    <definedName name="P_fertiliser_N_composition">P_fertiliser_compositions_table[%N]</definedName>
    <definedName name="P_fertiliser_P_composition">P_fertiliser_compositions_table[%P2O5]</definedName>
    <definedName name="P_fertilisers">P_Fertiliser_Emission_Factors_Table[Fertiliser]</definedName>
    <definedName name="Pesticide_EF">Pesticide_EF_table[Emission Factor (gCO2eq/kgactive ingredient)]</definedName>
    <definedName name="Pesticides">Pesticide_EF_table[Pesticide]</definedName>
    <definedName name="Plant_Feedstocks_Nonwastes">Biogas_Yields_Nonwastes_Table[Feedstock]</definedName>
    <definedName name="Plant_Feedstocks_Wastes">Biogas_Yields_Wastes_Table[Feedstock]</definedName>
    <definedName name="Plant_Inputs_Products">#REF!</definedName>
    <definedName name="Plant_Inputs_Wastes">Feedstocks!#REF!</definedName>
    <definedName name="Seed_EF">Seed_EF_table[Emission Factor (gCO2eq/kgseed)]</definedName>
    <definedName name="Seeds">Seed_EF_table[Seed]</definedName>
    <definedName name="Soil_EFs">Soil_EFs_table[Emission Factor (kgCO2eq/kgnitrogen applied)]</definedName>
    <definedName name="Soil_EFs_N_type">Soil_EFs_table[Fertiliser nitrogen type]</definedName>
    <definedName name="Sum_DM_input">Feedstocks!$L$60</definedName>
    <definedName name="Sum_theoretical_methane" comment="This is the sum of theoretical biomethane produced at this site, based on feedstock volumes used and their theoretical biomethane yield.">'Digestion &amp; outputs'!$F$81</definedName>
    <definedName name="Sum_tonnage">'Digestion &amp; outputs'!$D$81</definedName>
    <definedName name="Sum_VS_input">Feedstocks!$M$60</definedName>
    <definedName name="Total_digestate_used">'Cultivation and harvesting'!$D$6</definedName>
    <definedName name="Transport_exhaust_EFs">#REF!</definedName>
    <definedName name="Transport_Fuel_Efficiencies">Transport_Fuel_Efficiencies_Table[Fuel Efficiency (MJ/t-km)]</definedName>
    <definedName name="Transport_Modes">Transport_Fuel_Efficiencies_Table[Mode]</definedName>
    <definedName name="Transport_modes_for_exhaust_EF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8" i="12" l="1"/>
  <c r="E91" i="2" l="1"/>
  <c r="G154" i="2"/>
  <c r="G158" i="2" l="1"/>
  <c r="E113" i="2" l="1"/>
  <c r="F212" i="2"/>
  <c r="F211" i="2"/>
  <c r="E228" i="2" a="1"/>
  <c r="E228" i="2" s="1"/>
  <c r="E203" i="2" a="1"/>
  <c r="E203" i="2" s="1"/>
  <c r="E125" i="2"/>
  <c r="D34" i="12"/>
  <c r="F230" i="2" l="1"/>
  <c r="F229" i="2"/>
  <c r="E232" i="2"/>
  <c r="G231" i="2"/>
  <c r="G230" i="2"/>
  <c r="E186" i="2"/>
  <c r="F204" i="2"/>
  <c r="F205" i="2"/>
  <c r="F206" i="2"/>
  <c r="F207" i="2"/>
  <c r="I13" i="19"/>
  <c r="I14" i="19"/>
  <c r="I15" i="19"/>
  <c r="I16" i="19"/>
  <c r="I17" i="19"/>
  <c r="I18" i="19"/>
  <c r="I19" i="19"/>
  <c r="I20" i="19"/>
  <c r="I21" i="19"/>
  <c r="I12" i="19"/>
  <c r="E209" i="2"/>
  <c r="G208" i="2"/>
  <c r="G205" i="2"/>
  <c r="G204" i="2"/>
  <c r="F227" i="2" l="1"/>
  <c r="G229" i="2" s="1"/>
  <c r="J230" i="2"/>
  <c r="K204" i="2"/>
  <c r="K205" i="2"/>
  <c r="K206" i="2"/>
  <c r="K203" i="2"/>
  <c r="F202" i="2"/>
  <c r="G202" i="2" s="1"/>
  <c r="B8" i="6"/>
  <c r="D265" i="3"/>
  <c r="D264" i="3"/>
  <c r="D263" i="3"/>
  <c r="D262" i="3"/>
  <c r="D261" i="3"/>
  <c r="E470" i="9"/>
  <c r="E420" i="9"/>
  <c r="E370" i="9"/>
  <c r="E320" i="9"/>
  <c r="E270" i="9"/>
  <c r="E220" i="9"/>
  <c r="E170" i="9"/>
  <c r="E120" i="9"/>
  <c r="E70" i="9"/>
  <c r="E20" i="9"/>
  <c r="E2720" i="7"/>
  <c r="E2670" i="7"/>
  <c r="E2620" i="7"/>
  <c r="E2570" i="7"/>
  <c r="E2520" i="7"/>
  <c r="E2470" i="7"/>
  <c r="E2420" i="7"/>
  <c r="E2370" i="7"/>
  <c r="E2320" i="7"/>
  <c r="E2270" i="7"/>
  <c r="E2220" i="7"/>
  <c r="E2170" i="7"/>
  <c r="E2120" i="7"/>
  <c r="E2070" i="7"/>
  <c r="E2020" i="7"/>
  <c r="E1970" i="7"/>
  <c r="E1920" i="7"/>
  <c r="E1870" i="7"/>
  <c r="E1820" i="7"/>
  <c r="E1770" i="7"/>
  <c r="E1720" i="7"/>
  <c r="E1670" i="7"/>
  <c r="E1620" i="7"/>
  <c r="E1570" i="7"/>
  <c r="E1520" i="7"/>
  <c r="E1470" i="7"/>
  <c r="E1420" i="7"/>
  <c r="E1370" i="7"/>
  <c r="E1320" i="7"/>
  <c r="E1270" i="7"/>
  <c r="E1220" i="7"/>
  <c r="E1170" i="7"/>
  <c r="E1120" i="7"/>
  <c r="E1070" i="7"/>
  <c r="E1020" i="7"/>
  <c r="E970" i="7"/>
  <c r="E920" i="7"/>
  <c r="E870" i="7"/>
  <c r="E820" i="7"/>
  <c r="E770" i="7"/>
  <c r="E720" i="7"/>
  <c r="E670" i="7"/>
  <c r="E620" i="7"/>
  <c r="E570" i="7"/>
  <c r="E520" i="7"/>
  <c r="E470" i="7"/>
  <c r="E420" i="7"/>
  <c r="E370" i="7"/>
  <c r="E320" i="7"/>
  <c r="E270" i="7"/>
  <c r="E220" i="7"/>
  <c r="E170" i="7"/>
  <c r="E120" i="7"/>
  <c r="E70" i="7"/>
  <c r="E20" i="7"/>
  <c r="G227" i="2" l="1"/>
  <c r="E197" i="2"/>
  <c r="E196" i="2"/>
  <c r="F135" i="2"/>
  <c r="E194" i="2" l="1"/>
  <c r="E195" i="2"/>
  <c r="F17" i="10"/>
  <c r="G253" i="6"/>
  <c r="E979" i="6" l="1"/>
  <c r="E978" i="6"/>
  <c r="E973" i="6"/>
  <c r="F965" i="6"/>
  <c r="G953" i="6"/>
  <c r="G945" i="6"/>
  <c r="G937" i="6"/>
  <c r="E879" i="6"/>
  <c r="E878" i="6"/>
  <c r="E873" i="6"/>
  <c r="F865" i="6"/>
  <c r="G853" i="6"/>
  <c r="G845" i="6"/>
  <c r="G837" i="6"/>
  <c r="E779" i="6"/>
  <c r="E778" i="6"/>
  <c r="E773" i="6"/>
  <c r="F765" i="6"/>
  <c r="G753" i="6"/>
  <c r="G745" i="6"/>
  <c r="G737" i="6"/>
  <c r="E679" i="6"/>
  <c r="E678" i="6"/>
  <c r="E673" i="6"/>
  <c r="F665" i="6"/>
  <c r="G653" i="6"/>
  <c r="G645" i="6"/>
  <c r="G637" i="6"/>
  <c r="E579" i="6"/>
  <c r="E578" i="6"/>
  <c r="E573" i="6"/>
  <c r="F565" i="6"/>
  <c r="G553" i="6"/>
  <c r="G545" i="6"/>
  <c r="G537" i="6"/>
  <c r="E479" i="6"/>
  <c r="E478" i="6"/>
  <c r="E473" i="6"/>
  <c r="F465" i="6"/>
  <c r="G453" i="6"/>
  <c r="G445" i="6"/>
  <c r="G437" i="6"/>
  <c r="E379" i="6"/>
  <c r="E378" i="6"/>
  <c r="E373" i="6"/>
  <c r="F365" i="6"/>
  <c r="G353" i="6"/>
  <c r="G345" i="6"/>
  <c r="G337" i="6"/>
  <c r="E279" i="6"/>
  <c r="E278" i="6"/>
  <c r="E273" i="6"/>
  <c r="F265" i="6"/>
  <c r="G245" i="6"/>
  <c r="G237" i="6"/>
  <c r="E179" i="6"/>
  <c r="E178" i="6"/>
  <c r="E173" i="6"/>
  <c r="F165" i="6"/>
  <c r="G153" i="6"/>
  <c r="G145" i="6"/>
  <c r="G137" i="6"/>
  <c r="F928" i="6"/>
  <c r="F828" i="6"/>
  <c r="F728" i="6"/>
  <c r="F628" i="6"/>
  <c r="F528" i="6"/>
  <c r="F428" i="6"/>
  <c r="F328" i="6"/>
  <c r="F228" i="6"/>
  <c r="F128" i="6"/>
  <c r="E73" i="6"/>
  <c r="F65" i="6"/>
  <c r="G53" i="6"/>
  <c r="G45" i="6"/>
  <c r="G37" i="6"/>
  <c r="F28" i="6"/>
  <c r="F20" i="6"/>
  <c r="E79" i="6"/>
  <c r="E78" i="6"/>
  <c r="F190" i="2"/>
  <c r="F138" i="2"/>
  <c r="E15" i="12"/>
  <c r="D329" i="6" l="1"/>
  <c r="D229" i="6"/>
  <c r="D129" i="6"/>
  <c r="D29" i="6"/>
  <c r="D929" i="6"/>
  <c r="D829" i="6"/>
  <c r="D729" i="6"/>
  <c r="D629" i="6"/>
  <c r="D529" i="6"/>
  <c r="D429" i="6"/>
  <c r="C311" i="3"/>
  <c r="E106" i="2"/>
  <c r="G116" i="2"/>
  <c r="J95" i="1"/>
  <c r="K95" i="1"/>
  <c r="J96" i="1"/>
  <c r="K96" i="1"/>
  <c r="J97" i="1"/>
  <c r="K97" i="1"/>
  <c r="J98" i="1"/>
  <c r="K98" i="1"/>
  <c r="J66" i="1"/>
  <c r="K66" i="1"/>
  <c r="J67" i="1"/>
  <c r="K67" i="1"/>
  <c r="J68" i="1"/>
  <c r="K68" i="1"/>
  <c r="J69" i="1"/>
  <c r="K69" i="1"/>
  <c r="J70" i="1"/>
  <c r="K70" i="1"/>
  <c r="J71" i="1"/>
  <c r="K71" i="1"/>
  <c r="J72" i="1"/>
  <c r="K72" i="1"/>
  <c r="J73" i="1"/>
  <c r="K73" i="1"/>
  <c r="J74" i="1"/>
  <c r="K74" i="1"/>
  <c r="J75" i="1"/>
  <c r="K75" i="1"/>
  <c r="J76" i="1"/>
  <c r="K76" i="1"/>
  <c r="J77" i="1"/>
  <c r="K77" i="1"/>
  <c r="J78" i="1"/>
  <c r="K78" i="1"/>
  <c r="J79" i="1"/>
  <c r="K79" i="1"/>
  <c r="J80" i="1"/>
  <c r="K80" i="1"/>
  <c r="J81" i="1"/>
  <c r="K81" i="1"/>
  <c r="J82" i="1"/>
  <c r="K82" i="1"/>
  <c r="J83" i="1"/>
  <c r="K83" i="1"/>
  <c r="J84" i="1"/>
  <c r="K84" i="1"/>
  <c r="J85" i="1"/>
  <c r="K85" i="1"/>
  <c r="J86" i="1"/>
  <c r="K86" i="1"/>
  <c r="J87" i="1"/>
  <c r="K87" i="1"/>
  <c r="J88" i="1"/>
  <c r="K88" i="1"/>
  <c r="J89" i="1"/>
  <c r="K89" i="1"/>
  <c r="K65" i="1"/>
  <c r="J65" i="1"/>
  <c r="J47" i="1"/>
  <c r="K47" i="1"/>
  <c r="J48" i="1"/>
  <c r="K48" i="1"/>
  <c r="J49" i="1"/>
  <c r="K49" i="1"/>
  <c r="J50" i="1"/>
  <c r="K50" i="1"/>
  <c r="J51" i="1"/>
  <c r="K51" i="1"/>
  <c r="J52" i="1"/>
  <c r="K52" i="1"/>
  <c r="J53" i="1"/>
  <c r="K53" i="1"/>
  <c r="J54" i="1"/>
  <c r="K54" i="1"/>
  <c r="J55" i="1"/>
  <c r="K55" i="1"/>
  <c r="J56" i="1"/>
  <c r="K56" i="1"/>
  <c r="J57" i="1"/>
  <c r="K57" i="1"/>
  <c r="J58" i="1"/>
  <c r="K58" i="1"/>
  <c r="J59" i="1"/>
  <c r="K59" i="1"/>
  <c r="J60" i="1"/>
  <c r="K60" i="1"/>
  <c r="K46" i="1"/>
  <c r="J46" i="1"/>
  <c r="J34" i="1"/>
  <c r="K34" i="1"/>
  <c r="J35" i="1"/>
  <c r="K35" i="1"/>
  <c r="J36" i="1"/>
  <c r="K36" i="1"/>
  <c r="J37" i="1"/>
  <c r="K37" i="1"/>
  <c r="J38" i="1"/>
  <c r="K38" i="1"/>
  <c r="J39" i="1"/>
  <c r="K39" i="1"/>
  <c r="J40" i="1"/>
  <c r="K40" i="1"/>
  <c r="J41" i="1"/>
  <c r="K41" i="1"/>
  <c r="E95" i="2"/>
  <c r="E92" i="2"/>
  <c r="E89" i="2"/>
  <c r="E88" i="2"/>
  <c r="D917" i="6"/>
  <c r="D817" i="6"/>
  <c r="D717" i="6"/>
  <c r="D617" i="6"/>
  <c r="D517" i="6"/>
  <c r="D417" i="6"/>
  <c r="D317" i="6"/>
  <c r="D17" i="6"/>
  <c r="D117" i="6"/>
  <c r="D217" i="6"/>
  <c r="E75" i="10"/>
  <c r="E125" i="10"/>
  <c r="E175" i="10"/>
  <c r="G146" i="2" l="1"/>
  <c r="C360" i="3"/>
  <c r="C361" i="3"/>
  <c r="J935" i="6"/>
  <c r="J934" i="6"/>
  <c r="J835" i="6"/>
  <c r="J834" i="6"/>
  <c r="J735" i="6"/>
  <c r="J734" i="6"/>
  <c r="J635" i="6"/>
  <c r="J634" i="6"/>
  <c r="J535" i="6"/>
  <c r="J534" i="6"/>
  <c r="J435" i="6"/>
  <c r="J434" i="6"/>
  <c r="J335" i="6"/>
  <c r="J334" i="6"/>
  <c r="J235" i="6"/>
  <c r="J234" i="6"/>
  <c r="J135" i="6"/>
  <c r="J134" i="6"/>
  <c r="K32" i="6"/>
  <c r="K33" i="6"/>
  <c r="J35" i="6"/>
  <c r="J34" i="6"/>
  <c r="F1217" i="10"/>
  <c r="F1167" i="10"/>
  <c r="F1117" i="10"/>
  <c r="F1067" i="10"/>
  <c r="F1017" i="10"/>
  <c r="F967" i="10"/>
  <c r="F917" i="10"/>
  <c r="F867" i="10"/>
  <c r="F817" i="10"/>
  <c r="F767" i="10"/>
  <c r="F717" i="10"/>
  <c r="F667" i="10"/>
  <c r="F617" i="10"/>
  <c r="F567" i="10"/>
  <c r="F517" i="10"/>
  <c r="F467" i="10"/>
  <c r="F417" i="10"/>
  <c r="F367" i="10"/>
  <c r="F317" i="10"/>
  <c r="F267" i="10"/>
  <c r="F217" i="10"/>
  <c r="F167" i="10"/>
  <c r="F117" i="10"/>
  <c r="F67" i="10"/>
  <c r="G147" i="2"/>
  <c r="I13" i="18" l="1"/>
  <c r="I14" i="18"/>
  <c r="I15" i="18"/>
  <c r="I16" i="18"/>
  <c r="I17" i="18"/>
  <c r="I18" i="18"/>
  <c r="I19" i="18"/>
  <c r="I20" i="18"/>
  <c r="I21" i="18"/>
  <c r="I12" i="18"/>
  <c r="J1246" i="10"/>
  <c r="J1245" i="10"/>
  <c r="J1196" i="10"/>
  <c r="J1195" i="10"/>
  <c r="J1146" i="10"/>
  <c r="J1145" i="10"/>
  <c r="J1096" i="10"/>
  <c r="J1095" i="10"/>
  <c r="J1046" i="10"/>
  <c r="J1045" i="10"/>
  <c r="J996" i="10"/>
  <c r="J995" i="10"/>
  <c r="J946" i="10"/>
  <c r="J945" i="10"/>
  <c r="J896" i="10"/>
  <c r="J895" i="10"/>
  <c r="J846" i="10"/>
  <c r="J845" i="10"/>
  <c r="J796" i="10"/>
  <c r="J795" i="10"/>
  <c r="J696" i="10"/>
  <c r="J695" i="10"/>
  <c r="J646" i="10"/>
  <c r="J645" i="10"/>
  <c r="J596" i="10"/>
  <c r="J595" i="10"/>
  <c r="J546" i="10"/>
  <c r="J545" i="10"/>
  <c r="J496" i="10"/>
  <c r="J495" i="10"/>
  <c r="J446" i="10"/>
  <c r="J445" i="10"/>
  <c r="J396" i="10"/>
  <c r="J395" i="10"/>
  <c r="J346" i="10"/>
  <c r="J345" i="10"/>
  <c r="J296" i="10"/>
  <c r="J295" i="10"/>
  <c r="J246" i="10"/>
  <c r="J245" i="10"/>
  <c r="J196" i="10"/>
  <c r="J195" i="10"/>
  <c r="J146" i="10"/>
  <c r="J145" i="10"/>
  <c r="J96" i="10"/>
  <c r="J95" i="10"/>
  <c r="J46" i="10"/>
  <c r="J45" i="10"/>
  <c r="F99" i="2"/>
  <c r="K170" i="2"/>
  <c r="K169" i="2"/>
  <c r="G127" i="2" l="1"/>
  <c r="J26" i="10" l="1"/>
  <c r="D75" i="10"/>
  <c r="C75" i="10"/>
  <c r="E1225" i="10"/>
  <c r="D1225" i="10"/>
  <c r="C1225" i="10"/>
  <c r="E1175" i="10"/>
  <c r="D1175" i="10"/>
  <c r="C1175" i="10"/>
  <c r="E1125" i="10"/>
  <c r="D1125" i="10"/>
  <c r="C1125" i="10"/>
  <c r="J1125" i="10" s="1"/>
  <c r="E1075" i="10"/>
  <c r="D1075" i="10"/>
  <c r="C1075" i="10"/>
  <c r="E1025" i="10"/>
  <c r="D1025" i="10"/>
  <c r="C1025" i="10"/>
  <c r="E975" i="10"/>
  <c r="D975" i="10"/>
  <c r="C975" i="10"/>
  <c r="E925" i="10"/>
  <c r="D925" i="10"/>
  <c r="C925" i="10"/>
  <c r="E875" i="10"/>
  <c r="D875" i="10"/>
  <c r="C875" i="10"/>
  <c r="E825" i="10"/>
  <c r="D825" i="10"/>
  <c r="C825" i="10"/>
  <c r="E775" i="10"/>
  <c r="D775" i="10"/>
  <c r="C775" i="10"/>
  <c r="E725" i="10"/>
  <c r="D725" i="10"/>
  <c r="C725" i="10"/>
  <c r="J725" i="10" s="1"/>
  <c r="E675" i="10"/>
  <c r="D675" i="10"/>
  <c r="C675" i="10"/>
  <c r="J675" i="10" s="1"/>
  <c r="E625" i="10"/>
  <c r="D625" i="10"/>
  <c r="C625" i="10"/>
  <c r="E575" i="10"/>
  <c r="D575" i="10"/>
  <c r="C575" i="10"/>
  <c r="E525" i="10"/>
  <c r="D525" i="10"/>
  <c r="C525" i="10"/>
  <c r="E475" i="10"/>
  <c r="D475" i="10"/>
  <c r="C475" i="10"/>
  <c r="E425" i="10"/>
  <c r="D425" i="10"/>
  <c r="C425" i="10"/>
  <c r="E375" i="10"/>
  <c r="D375" i="10"/>
  <c r="C375" i="10"/>
  <c r="E325" i="10"/>
  <c r="D325" i="10"/>
  <c r="C325" i="10"/>
  <c r="E275" i="10"/>
  <c r="D275" i="10"/>
  <c r="C275" i="10"/>
  <c r="E225" i="10"/>
  <c r="D225" i="10"/>
  <c r="C225" i="10"/>
  <c r="D175" i="10"/>
  <c r="C175" i="10"/>
  <c r="D125" i="10"/>
  <c r="C125" i="10"/>
  <c r="E25" i="10"/>
  <c r="D25" i="10"/>
  <c r="C25" i="10"/>
  <c r="D979" i="6"/>
  <c r="C979" i="6"/>
  <c r="J979" i="6" s="1"/>
  <c r="D978" i="6"/>
  <c r="C978" i="6"/>
  <c r="D879" i="6"/>
  <c r="C879" i="6"/>
  <c r="J879" i="6" s="1"/>
  <c r="D878" i="6"/>
  <c r="C878" i="6"/>
  <c r="D779" i="6"/>
  <c r="C779" i="6"/>
  <c r="D778" i="6"/>
  <c r="C778" i="6"/>
  <c r="J778" i="6" s="1"/>
  <c r="D679" i="6"/>
  <c r="C679" i="6"/>
  <c r="J679" i="6" s="1"/>
  <c r="D678" i="6"/>
  <c r="C678" i="6"/>
  <c r="J678" i="6" s="1"/>
  <c r="D579" i="6"/>
  <c r="C579" i="6"/>
  <c r="J579" i="6" s="1"/>
  <c r="D578" i="6"/>
  <c r="C578" i="6"/>
  <c r="J578" i="6" s="1"/>
  <c r="D479" i="6"/>
  <c r="C479" i="6"/>
  <c r="D478" i="6"/>
  <c r="C478" i="6"/>
  <c r="J478" i="6" s="1"/>
  <c r="D379" i="6"/>
  <c r="C379" i="6"/>
  <c r="J379" i="6" s="1"/>
  <c r="D378" i="6"/>
  <c r="C378" i="6"/>
  <c r="D279" i="6"/>
  <c r="C279" i="6"/>
  <c r="J279" i="6" s="1"/>
  <c r="D278" i="6"/>
  <c r="C278" i="6"/>
  <c r="J278" i="6" s="1"/>
  <c r="D179" i="6"/>
  <c r="C179" i="6"/>
  <c r="D178" i="6"/>
  <c r="C178" i="6"/>
  <c r="J178" i="6" s="1"/>
  <c r="J974" i="6"/>
  <c r="K974" i="6"/>
  <c r="J74" i="6"/>
  <c r="K74" i="6"/>
  <c r="C973" i="6"/>
  <c r="D973" i="6" s="1"/>
  <c r="C873" i="6"/>
  <c r="D873" i="6" s="1"/>
  <c r="C773" i="6"/>
  <c r="D773" i="6" s="1"/>
  <c r="C673" i="6"/>
  <c r="D673" i="6" s="1"/>
  <c r="C573" i="6"/>
  <c r="D573" i="6" s="1"/>
  <c r="C473" i="6"/>
  <c r="D473" i="6" s="1"/>
  <c r="C373" i="6"/>
  <c r="D373" i="6" s="1"/>
  <c r="C273" i="6"/>
  <c r="D273" i="6" s="1"/>
  <c r="C965" i="6"/>
  <c r="E965" i="6" s="1"/>
  <c r="C865" i="6"/>
  <c r="D865" i="6" s="1"/>
  <c r="C765" i="6"/>
  <c r="E765" i="6" s="1"/>
  <c r="C665" i="6"/>
  <c r="D665" i="6" s="1"/>
  <c r="C565" i="6"/>
  <c r="E565" i="6" s="1"/>
  <c r="C465" i="6"/>
  <c r="E465" i="6" s="1"/>
  <c r="C365" i="6"/>
  <c r="E365" i="6" s="1"/>
  <c r="C265" i="6"/>
  <c r="D265" i="6" s="1"/>
  <c r="F353" i="6"/>
  <c r="C353" i="6"/>
  <c r="E353" i="6" s="1"/>
  <c r="F453" i="6"/>
  <c r="C453" i="6"/>
  <c r="E453" i="6" s="1"/>
  <c r="F553" i="6"/>
  <c r="E553" i="6"/>
  <c r="C553" i="6"/>
  <c r="D553" i="6" s="1" a="1"/>
  <c r="D553" i="6" s="1"/>
  <c r="F653" i="6"/>
  <c r="C653" i="6"/>
  <c r="E653" i="6" s="1"/>
  <c r="F753" i="6"/>
  <c r="C753" i="6"/>
  <c r="D753" i="6" s="1" a="1"/>
  <c r="D753" i="6" s="1"/>
  <c r="F853" i="6"/>
  <c r="C853" i="6"/>
  <c r="E853" i="6" s="1"/>
  <c r="F953" i="6"/>
  <c r="C953" i="6"/>
  <c r="E953" i="6" s="1"/>
  <c r="F945" i="6"/>
  <c r="C945" i="6"/>
  <c r="E945" i="6" s="1" a="1"/>
  <c r="E945" i="6" s="1"/>
  <c r="F845" i="6"/>
  <c r="C845" i="6"/>
  <c r="E845" i="6" s="1" a="1"/>
  <c r="E845" i="6" s="1"/>
  <c r="F745" i="6"/>
  <c r="C745" i="6"/>
  <c r="E745" i="6" s="1" a="1"/>
  <c r="E745" i="6" s="1"/>
  <c r="F645" i="6"/>
  <c r="E645" i="6" a="1"/>
  <c r="E645" i="6" s="1"/>
  <c r="C645" i="6"/>
  <c r="D645" i="6" s="1" a="1"/>
  <c r="D645" i="6" s="1"/>
  <c r="F545" i="6"/>
  <c r="C545" i="6"/>
  <c r="D545" i="6" s="1" a="1"/>
  <c r="D545" i="6" s="1"/>
  <c r="F445" i="6"/>
  <c r="C445" i="6"/>
  <c r="D445" i="6" s="1" a="1"/>
  <c r="D445" i="6" s="1"/>
  <c r="F345" i="6"/>
  <c r="C345" i="6"/>
  <c r="E345" i="6" s="1" a="1"/>
  <c r="E345" i="6" s="1"/>
  <c r="F245" i="6"/>
  <c r="C245" i="6"/>
  <c r="D245" i="6" s="1" a="1"/>
  <c r="D245" i="6" s="1"/>
  <c r="F145" i="6"/>
  <c r="C145" i="6"/>
  <c r="D145" i="6" s="1" a="1"/>
  <c r="D145" i="6" s="1"/>
  <c r="F937" i="6"/>
  <c r="C937" i="6"/>
  <c r="E937" i="6" s="1"/>
  <c r="F837" i="6"/>
  <c r="C837" i="6"/>
  <c r="E837" i="6" s="1"/>
  <c r="F737" i="6"/>
  <c r="D737" i="6" a="1"/>
  <c r="D737" i="6" s="1"/>
  <c r="C737" i="6"/>
  <c r="E737" i="6" s="1"/>
  <c r="F637" i="6"/>
  <c r="C637" i="6"/>
  <c r="E637" i="6" s="1"/>
  <c r="F537" i="6"/>
  <c r="C537" i="6"/>
  <c r="E537" i="6" s="1"/>
  <c r="F437" i="6"/>
  <c r="C437" i="6"/>
  <c r="E437" i="6" s="1"/>
  <c r="F337" i="6"/>
  <c r="C337" i="6"/>
  <c r="E337" i="6" s="1"/>
  <c r="F237" i="6"/>
  <c r="C237" i="6"/>
  <c r="D237" i="6" s="1" a="1"/>
  <c r="D237" i="6" s="1"/>
  <c r="C173" i="6"/>
  <c r="D173" i="6" s="1"/>
  <c r="C165" i="6"/>
  <c r="E165" i="6" s="1"/>
  <c r="F153" i="6"/>
  <c r="C153" i="6"/>
  <c r="E153" i="6" s="1"/>
  <c r="D154" i="6"/>
  <c r="E154" i="6"/>
  <c r="F137" i="6"/>
  <c r="C137" i="6"/>
  <c r="E137" i="6" s="1"/>
  <c r="J174" i="6"/>
  <c r="K174" i="6"/>
  <c r="J274" i="6"/>
  <c r="K274" i="6"/>
  <c r="J374" i="6"/>
  <c r="K374" i="6"/>
  <c r="J474" i="6"/>
  <c r="K474" i="6"/>
  <c r="J574" i="6"/>
  <c r="K574" i="6"/>
  <c r="J674" i="6"/>
  <c r="K674" i="6"/>
  <c r="J774" i="6"/>
  <c r="K774" i="6"/>
  <c r="J874" i="6"/>
  <c r="K874" i="6"/>
  <c r="F253" i="6"/>
  <c r="C253" i="6"/>
  <c r="E253" i="6" s="1"/>
  <c r="E928" i="6"/>
  <c r="D928" i="6"/>
  <c r="C928" i="6"/>
  <c r="E828" i="6"/>
  <c r="C828" i="6"/>
  <c r="D828" i="6" s="1"/>
  <c r="E728" i="6"/>
  <c r="C728" i="6"/>
  <c r="D728" i="6" s="1"/>
  <c r="E628" i="6"/>
  <c r="C628" i="6"/>
  <c r="D628" i="6" s="1"/>
  <c r="E528" i="6"/>
  <c r="C528" i="6"/>
  <c r="D528" i="6" s="1"/>
  <c r="E428" i="6"/>
  <c r="C428" i="6"/>
  <c r="D428" i="6" s="1"/>
  <c r="E328" i="6"/>
  <c r="C328" i="6"/>
  <c r="D328" i="6" s="1"/>
  <c r="E228" i="6"/>
  <c r="C228" i="6"/>
  <c r="D228" i="6" s="1"/>
  <c r="E128" i="6"/>
  <c r="C128" i="6"/>
  <c r="D128" i="6" s="1"/>
  <c r="F920" i="6"/>
  <c r="E920" i="6"/>
  <c r="C920" i="6"/>
  <c r="D920" i="6" s="1"/>
  <c r="F820" i="6"/>
  <c r="E820" i="6"/>
  <c r="C820" i="6"/>
  <c r="D820" i="6" s="1"/>
  <c r="F720" i="6"/>
  <c r="E720" i="6"/>
  <c r="C720" i="6"/>
  <c r="D720" i="6" s="1"/>
  <c r="F620" i="6"/>
  <c r="E620" i="6"/>
  <c r="C620" i="6"/>
  <c r="D620" i="6" s="1"/>
  <c r="F520" i="6"/>
  <c r="E520" i="6"/>
  <c r="C520" i="6"/>
  <c r="D520" i="6" s="1"/>
  <c r="F420" i="6"/>
  <c r="E420" i="6"/>
  <c r="C420" i="6"/>
  <c r="D420" i="6" s="1"/>
  <c r="F320" i="6"/>
  <c r="E320" i="6"/>
  <c r="C320" i="6"/>
  <c r="D320" i="6" s="1"/>
  <c r="F220" i="6"/>
  <c r="E220" i="6"/>
  <c r="C220" i="6"/>
  <c r="D220" i="6" s="1"/>
  <c r="F120" i="6"/>
  <c r="E120" i="6"/>
  <c r="C120" i="6"/>
  <c r="D120" i="6" s="1"/>
  <c r="E28" i="6"/>
  <c r="C73" i="6"/>
  <c r="F53" i="6"/>
  <c r="F45" i="6"/>
  <c r="F37" i="6"/>
  <c r="C53" i="6"/>
  <c r="E53" i="6" s="1"/>
  <c r="J1075" i="10" l="1"/>
  <c r="J875" i="10"/>
  <c r="J775" i="10"/>
  <c r="J575" i="10"/>
  <c r="J975" i="10"/>
  <c r="J925" i="10"/>
  <c r="J225" i="10"/>
  <c r="J625" i="10"/>
  <c r="J475" i="10"/>
  <c r="J375" i="10"/>
  <c r="J1175" i="10"/>
  <c r="J1025" i="10"/>
  <c r="J425" i="10"/>
  <c r="J825" i="10"/>
  <c r="J1225" i="10"/>
  <c r="D653" i="6" a="1"/>
  <c r="D653" i="6" s="1"/>
  <c r="J275" i="10"/>
  <c r="J175" i="10"/>
  <c r="D945" i="6" a="1"/>
  <c r="D945" i="6" s="1"/>
  <c r="D845" i="6" a="1"/>
  <c r="D845" i="6" s="1"/>
  <c r="E753" i="6"/>
  <c r="D637" i="6" a="1"/>
  <c r="D637" i="6" s="1"/>
  <c r="D345" i="6" a="1"/>
  <c r="D345" i="6" s="1"/>
  <c r="J525" i="10"/>
  <c r="E665" i="6"/>
  <c r="J325" i="10"/>
  <c r="J125" i="10"/>
  <c r="J779" i="6"/>
  <c r="E545" i="6" a="1"/>
  <c r="E545" i="6" s="1"/>
  <c r="E445" i="6" a="1"/>
  <c r="E445" i="6" s="1"/>
  <c r="D453" i="6" a="1"/>
  <c r="D453" i="6" s="1"/>
  <c r="D365" i="6"/>
  <c r="D337" i="6" a="1"/>
  <c r="D337" i="6" s="1"/>
  <c r="E145" i="6" a="1"/>
  <c r="E145" i="6" s="1"/>
  <c r="D137" i="6" a="1"/>
  <c r="D137" i="6" s="1"/>
  <c r="J179" i="6"/>
  <c r="D153" i="6" a="1"/>
  <c r="D153" i="6" s="1"/>
  <c r="E245" i="6" a="1"/>
  <c r="E245" i="6" s="1"/>
  <c r="D353" i="6" a="1"/>
  <c r="D353" i="6" s="1"/>
  <c r="J378" i="6"/>
  <c r="D437" i="6" a="1"/>
  <c r="D437" i="6" s="1"/>
  <c r="J479" i="6"/>
  <c r="D465" i="6"/>
  <c r="D537" i="6" a="1"/>
  <c r="D537" i="6" s="1"/>
  <c r="D745" i="6" a="1"/>
  <c r="D745" i="6" s="1"/>
  <c r="D837" i="6" a="1"/>
  <c r="D837" i="6" s="1"/>
  <c r="E865" i="6"/>
  <c r="J878" i="6"/>
  <c r="D853" i="6" a="1"/>
  <c r="D853" i="6" s="1"/>
  <c r="D937" i="6" a="1"/>
  <c r="D937" i="6" s="1"/>
  <c r="J978" i="6"/>
  <c r="D953" i="6" a="1"/>
  <c r="D953" i="6" s="1"/>
  <c r="D165" i="6"/>
  <c r="E237" i="6"/>
  <c r="E265" i="6"/>
  <c r="D965" i="6"/>
  <c r="D765" i="6"/>
  <c r="D565" i="6"/>
  <c r="D253" i="6" a="1"/>
  <c r="D253" i="6" s="1"/>
  <c r="D53" i="6" a="1"/>
  <c r="D53" i="6" s="1"/>
  <c r="D79" i="6"/>
  <c r="C79" i="6"/>
  <c r="D78" i="6"/>
  <c r="C28" i="6"/>
  <c r="E20" i="6"/>
  <c r="C20" i="6"/>
  <c r="D20" i="6" s="1"/>
  <c r="C45" i="6"/>
  <c r="E45" i="6" s="1" a="1"/>
  <c r="E45" i="6" s="1"/>
  <c r="C37" i="6"/>
  <c r="E37" i="6" s="1"/>
  <c r="C65" i="6"/>
  <c r="E65" i="6" s="1"/>
  <c r="D73" i="6"/>
  <c r="C78" i="6"/>
  <c r="D28" i="6" l="1"/>
  <c r="D37" i="6" a="1"/>
  <c r="D37" i="6" s="1"/>
  <c r="D45" i="6" a="1"/>
  <c r="D45" i="6" s="1"/>
  <c r="D65" i="6"/>
  <c r="D24" i="12" l="1"/>
  <c r="F24" i="12" s="1"/>
  <c r="L98" i="1" l="1"/>
  <c r="L97" i="1"/>
  <c r="L96" i="1"/>
  <c r="L95" i="1"/>
  <c r="L12" i="4"/>
  <c r="L13" i="4"/>
  <c r="L14" i="4"/>
  <c r="L15" i="4"/>
  <c r="L16" i="4"/>
  <c r="L17" i="4"/>
  <c r="L18" i="4"/>
  <c r="L19" i="4"/>
  <c r="L20" i="4"/>
  <c r="L11" i="4"/>
  <c r="D162" i="3"/>
  <c r="I95" i="1"/>
  <c r="I96" i="1"/>
  <c r="I97" i="1"/>
  <c r="I98" i="1"/>
  <c r="I66" i="1"/>
  <c r="I67" i="1"/>
  <c r="I68" i="1"/>
  <c r="I69" i="1"/>
  <c r="I70" i="1"/>
  <c r="I71" i="1"/>
  <c r="I72" i="1"/>
  <c r="I73" i="1"/>
  <c r="I74" i="1"/>
  <c r="I75" i="1"/>
  <c r="I76" i="1"/>
  <c r="I77" i="1"/>
  <c r="I78" i="1"/>
  <c r="I79" i="1"/>
  <c r="I80" i="1"/>
  <c r="I81" i="1"/>
  <c r="I82" i="1"/>
  <c r="I83" i="1"/>
  <c r="I84" i="1"/>
  <c r="I85" i="1"/>
  <c r="I86" i="1"/>
  <c r="I87" i="1"/>
  <c r="I88" i="1"/>
  <c r="I89" i="1"/>
  <c r="I47" i="1"/>
  <c r="I48" i="1"/>
  <c r="I49" i="1"/>
  <c r="I50" i="1"/>
  <c r="I51" i="1"/>
  <c r="I52" i="1"/>
  <c r="I53" i="1"/>
  <c r="I54" i="1"/>
  <c r="I55" i="1"/>
  <c r="I56" i="1"/>
  <c r="I57" i="1"/>
  <c r="I58" i="1"/>
  <c r="I59" i="1"/>
  <c r="I60" i="1"/>
  <c r="I34" i="1"/>
  <c r="I35" i="1"/>
  <c r="I36" i="1"/>
  <c r="I37" i="1"/>
  <c r="I38" i="1"/>
  <c r="I39" i="1"/>
  <c r="I40" i="1"/>
  <c r="I41" i="1"/>
  <c r="J17" i="20"/>
  <c r="J18" i="20"/>
  <c r="J19" i="20"/>
  <c r="F19" i="20"/>
  <c r="F16" i="20"/>
  <c r="J16" i="20" s="1"/>
  <c r="F17" i="20"/>
  <c r="F18" i="20"/>
  <c r="I19" i="20"/>
  <c r="I18" i="20"/>
  <c r="I17" i="20"/>
  <c r="I16" i="20"/>
  <c r="I15" i="20"/>
  <c r="F105" i="2" l="1" a="1"/>
  <c r="F105" i="2" s="1"/>
  <c r="F104" i="2" a="1"/>
  <c r="F104" i="2" s="1"/>
  <c r="F15" i="20" l="1"/>
  <c r="J25" i="10"/>
  <c r="J75" i="10"/>
  <c r="E184" i="2"/>
  <c r="D167" i="2"/>
  <c r="E221" i="2" l="1"/>
  <c r="E185" i="2" s="1"/>
  <c r="F220" i="2"/>
  <c r="D278" i="3"/>
  <c r="D267" i="3"/>
  <c r="G95" i="1" l="1"/>
  <c r="G96" i="1"/>
  <c r="G97" i="1"/>
  <c r="G98" i="1"/>
  <c r="F95" i="1"/>
  <c r="F96" i="1"/>
  <c r="F97" i="1"/>
  <c r="F98" i="1"/>
  <c r="D98" i="1"/>
  <c r="D97" i="1"/>
  <c r="D96" i="1"/>
  <c r="D95" i="1"/>
  <c r="G66" i="1"/>
  <c r="G67" i="1"/>
  <c r="G68" i="1"/>
  <c r="G69" i="1"/>
  <c r="G70" i="1"/>
  <c r="G71" i="1"/>
  <c r="G72" i="1"/>
  <c r="G73" i="1"/>
  <c r="G74" i="1"/>
  <c r="G75" i="1"/>
  <c r="G76" i="1"/>
  <c r="G77" i="1"/>
  <c r="G78" i="1"/>
  <c r="G79" i="1"/>
  <c r="G80" i="1"/>
  <c r="G81" i="1"/>
  <c r="G82" i="1"/>
  <c r="G83" i="1"/>
  <c r="G84" i="1"/>
  <c r="G85" i="1"/>
  <c r="G86" i="1"/>
  <c r="G87" i="1"/>
  <c r="G88" i="1"/>
  <c r="G89" i="1"/>
  <c r="D89" i="1"/>
  <c r="D88" i="1"/>
  <c r="D87" i="1"/>
  <c r="D86" i="1"/>
  <c r="D85" i="1"/>
  <c r="D84" i="1"/>
  <c r="D83" i="1"/>
  <c r="D82" i="1"/>
  <c r="D81" i="1"/>
  <c r="D80" i="1"/>
  <c r="D79" i="1"/>
  <c r="D78" i="1"/>
  <c r="D77" i="1"/>
  <c r="D76" i="1"/>
  <c r="D75" i="1"/>
  <c r="D74" i="1"/>
  <c r="D73" i="1"/>
  <c r="D72" i="1"/>
  <c r="D71" i="1"/>
  <c r="D70" i="1"/>
  <c r="D69" i="1"/>
  <c r="D68" i="1"/>
  <c r="D67" i="1"/>
  <c r="D66" i="1"/>
  <c r="F116" i="2"/>
  <c r="F115" i="2"/>
  <c r="F127" i="2"/>
  <c r="F128" i="2"/>
  <c r="F129" i="2"/>
  <c r="F126" i="2"/>
  <c r="L66" i="1"/>
  <c r="L67" i="1"/>
  <c r="L68" i="1"/>
  <c r="L69" i="1"/>
  <c r="L70" i="1"/>
  <c r="L71" i="1"/>
  <c r="L72" i="1"/>
  <c r="L73" i="1"/>
  <c r="L74" i="1"/>
  <c r="L75" i="1"/>
  <c r="L76" i="1"/>
  <c r="L77" i="1"/>
  <c r="L78" i="1"/>
  <c r="L79" i="1"/>
  <c r="L80" i="1"/>
  <c r="L81" i="1"/>
  <c r="L82" i="1"/>
  <c r="L83" i="1"/>
  <c r="L84" i="1"/>
  <c r="L85" i="1"/>
  <c r="L86" i="1"/>
  <c r="L87" i="1"/>
  <c r="L88" i="1"/>
  <c r="L89" i="1"/>
  <c r="F31" i="17"/>
  <c r="F32" i="17"/>
  <c r="F33" i="17"/>
  <c r="F34" i="17"/>
  <c r="F30" i="17"/>
  <c r="F16" i="17"/>
  <c r="F17" i="17"/>
  <c r="F18" i="17"/>
  <c r="F19" i="17"/>
  <c r="F15" i="17"/>
  <c r="H103" i="1"/>
  <c r="I103" i="1"/>
  <c r="H104" i="1"/>
  <c r="I104" i="1"/>
  <c r="H105" i="1"/>
  <c r="I105" i="1"/>
  <c r="H106" i="1"/>
  <c r="I106" i="1"/>
  <c r="H107" i="1"/>
  <c r="I107" i="1"/>
  <c r="H96" i="1"/>
  <c r="H97" i="1"/>
  <c r="H98" i="1"/>
  <c r="H95" i="1"/>
  <c r="H94" i="1"/>
  <c r="H89" i="1"/>
  <c r="H67" i="1"/>
  <c r="H68" i="1"/>
  <c r="H69" i="1"/>
  <c r="H70" i="1"/>
  <c r="H71" i="1"/>
  <c r="H72" i="1"/>
  <c r="H73" i="1"/>
  <c r="H74" i="1"/>
  <c r="H75" i="1"/>
  <c r="H76" i="1"/>
  <c r="H77" i="1"/>
  <c r="H78" i="1"/>
  <c r="H79" i="1"/>
  <c r="H80" i="1"/>
  <c r="H81" i="1"/>
  <c r="H82" i="1"/>
  <c r="H83" i="1"/>
  <c r="H84" i="1"/>
  <c r="H85" i="1"/>
  <c r="H86" i="1"/>
  <c r="H87" i="1"/>
  <c r="H88" i="1"/>
  <c r="H66" i="1"/>
  <c r="H65" i="1"/>
  <c r="H48" i="1"/>
  <c r="H49" i="1"/>
  <c r="H50" i="1"/>
  <c r="H51" i="1"/>
  <c r="H52" i="1"/>
  <c r="H53" i="1"/>
  <c r="H54" i="1"/>
  <c r="H55" i="1"/>
  <c r="H56" i="1"/>
  <c r="H57" i="1"/>
  <c r="H58" i="1"/>
  <c r="H59" i="1"/>
  <c r="H60" i="1"/>
  <c r="H47" i="1"/>
  <c r="H46" i="1"/>
  <c r="H33" i="1"/>
  <c r="H34" i="1"/>
  <c r="H35" i="1"/>
  <c r="H36" i="1"/>
  <c r="H37" i="1"/>
  <c r="H38" i="1"/>
  <c r="H39" i="1"/>
  <c r="H40" i="1"/>
  <c r="H41" i="1"/>
  <c r="H32" i="1"/>
  <c r="E105" i="1"/>
  <c r="E106" i="1"/>
  <c r="E107" i="1"/>
  <c r="E104" i="1"/>
  <c r="F104" i="1"/>
  <c r="E103" i="1"/>
  <c r="E96" i="1"/>
  <c r="E97" i="1"/>
  <c r="E98" i="1"/>
  <c r="E95" i="1"/>
  <c r="E94" i="1"/>
  <c r="E67" i="1"/>
  <c r="E68" i="1"/>
  <c r="E69" i="1"/>
  <c r="E70" i="1"/>
  <c r="E71" i="1"/>
  <c r="E72" i="1"/>
  <c r="E73" i="1"/>
  <c r="E74" i="1"/>
  <c r="E75" i="1"/>
  <c r="E76" i="1"/>
  <c r="E77" i="1"/>
  <c r="E78" i="1"/>
  <c r="E79" i="1"/>
  <c r="E80" i="1"/>
  <c r="E81" i="1"/>
  <c r="E82" i="1"/>
  <c r="E83" i="1"/>
  <c r="E84" i="1"/>
  <c r="E85" i="1"/>
  <c r="E86" i="1"/>
  <c r="E87" i="1"/>
  <c r="E88" i="1"/>
  <c r="E89" i="1"/>
  <c r="E66" i="1"/>
  <c r="E65" i="1"/>
  <c r="E47" i="1"/>
  <c r="E48" i="1"/>
  <c r="E49" i="1"/>
  <c r="E50" i="1"/>
  <c r="E51" i="1"/>
  <c r="E52" i="1"/>
  <c r="E53" i="1"/>
  <c r="E54" i="1"/>
  <c r="E55" i="1"/>
  <c r="E56" i="1"/>
  <c r="E57" i="1"/>
  <c r="E58" i="1"/>
  <c r="E59" i="1"/>
  <c r="E60" i="1"/>
  <c r="E46" i="1"/>
  <c r="C21" i="19"/>
  <c r="L21" i="19" s="1"/>
  <c r="C20" i="19"/>
  <c r="L20" i="19" s="1"/>
  <c r="C19" i="19"/>
  <c r="L19" i="19" s="1"/>
  <c r="C18" i="19"/>
  <c r="L18" i="19" s="1"/>
  <c r="C17" i="19"/>
  <c r="L17" i="19" s="1"/>
  <c r="C16" i="19"/>
  <c r="L16" i="19" s="1"/>
  <c r="C15" i="19"/>
  <c r="L15" i="19" s="1"/>
  <c r="C14" i="19"/>
  <c r="L14" i="19" s="1"/>
  <c r="C13" i="19"/>
  <c r="L13" i="19" s="1"/>
  <c r="C12" i="19"/>
  <c r="L12" i="19" s="1"/>
  <c r="C13" i="18"/>
  <c r="C14" i="18"/>
  <c r="C15" i="18"/>
  <c r="C16" i="18"/>
  <c r="C17" i="18"/>
  <c r="C18" i="18"/>
  <c r="C19" i="18"/>
  <c r="C20" i="18"/>
  <c r="C21" i="18"/>
  <c r="C12" i="18"/>
  <c r="L12" i="18" s="1"/>
  <c r="F105" i="1"/>
  <c r="F106" i="1"/>
  <c r="F107" i="1"/>
  <c r="F103" i="1"/>
  <c r="F66" i="1"/>
  <c r="F67" i="1"/>
  <c r="F68" i="1"/>
  <c r="F69" i="1"/>
  <c r="F70" i="1"/>
  <c r="F71" i="1"/>
  <c r="F72" i="1"/>
  <c r="F73" i="1"/>
  <c r="F74" i="1"/>
  <c r="F75" i="1"/>
  <c r="F76" i="1"/>
  <c r="F77" i="1"/>
  <c r="F78" i="1"/>
  <c r="F79" i="1"/>
  <c r="F80" i="1"/>
  <c r="F81" i="1"/>
  <c r="F82" i="1"/>
  <c r="F83" i="1"/>
  <c r="F84" i="1"/>
  <c r="F85" i="1"/>
  <c r="F86" i="1"/>
  <c r="F87" i="1"/>
  <c r="F88" i="1"/>
  <c r="F89" i="1"/>
  <c r="F65" i="1"/>
  <c r="F47" i="1"/>
  <c r="F48" i="1"/>
  <c r="F49" i="1"/>
  <c r="F50" i="1"/>
  <c r="F51" i="1"/>
  <c r="F52" i="1"/>
  <c r="F53" i="1"/>
  <c r="F54" i="1"/>
  <c r="F55" i="1"/>
  <c r="F56" i="1"/>
  <c r="F57" i="1"/>
  <c r="F58" i="1"/>
  <c r="F59" i="1"/>
  <c r="F60" i="1"/>
  <c r="F46" i="1"/>
  <c r="Q164" i="2" l="1"/>
  <c r="L18" i="18"/>
  <c r="L16" i="18"/>
  <c r="L15" i="18"/>
  <c r="L17" i="18"/>
  <c r="L14" i="18"/>
  <c r="L13" i="18"/>
  <c r="L20" i="18"/>
  <c r="L21" i="18"/>
  <c r="L19" i="18"/>
  <c r="F111" i="2"/>
  <c r="Q147" i="2" s="1"/>
  <c r="J116" i="2"/>
  <c r="J129" i="2"/>
  <c r="J127" i="2"/>
  <c r="F123" i="2"/>
  <c r="G123" i="2" s="1"/>
  <c r="G99" i="2" l="1"/>
  <c r="G115" i="2"/>
  <c r="C34" i="12"/>
  <c r="F217" i="2"/>
  <c r="S85" i="1"/>
  <c r="S86" i="1"/>
  <c r="S87" i="1"/>
  <c r="S88" i="1"/>
  <c r="S89" i="1"/>
  <c r="M59" i="4"/>
  <c r="L59" i="4"/>
  <c r="J59" i="4"/>
  <c r="K59" i="4"/>
  <c r="J58" i="4"/>
  <c r="J57" i="4"/>
  <c r="J56" i="4"/>
  <c r="J55" i="4"/>
  <c r="H79" i="4"/>
  <c r="H80" i="4"/>
  <c r="H81" i="4"/>
  <c r="H82" i="4"/>
  <c r="H78" i="4"/>
  <c r="H71" i="4"/>
  <c r="H72" i="4"/>
  <c r="H73" i="4"/>
  <c r="H74" i="4"/>
  <c r="H70" i="4"/>
  <c r="H43" i="4"/>
  <c r="H44" i="4"/>
  <c r="H45" i="4"/>
  <c r="H46" i="4"/>
  <c r="H47" i="4"/>
  <c r="H48" i="4"/>
  <c r="H49" i="4"/>
  <c r="H50" i="4"/>
  <c r="H51" i="4"/>
  <c r="H52" i="4"/>
  <c r="H53" i="4"/>
  <c r="H54" i="4"/>
  <c r="H55" i="4"/>
  <c r="H56" i="4"/>
  <c r="H57" i="4"/>
  <c r="H58" i="4"/>
  <c r="H59" i="4"/>
  <c r="H60" i="4"/>
  <c r="H61" i="4"/>
  <c r="H62" i="4"/>
  <c r="H63" i="4"/>
  <c r="H64" i="4"/>
  <c r="H65" i="4"/>
  <c r="H66" i="4"/>
  <c r="H42" i="4"/>
  <c r="H25" i="4"/>
  <c r="H26" i="4"/>
  <c r="H27" i="4"/>
  <c r="H28" i="4"/>
  <c r="H29" i="4"/>
  <c r="H30" i="4"/>
  <c r="H31" i="4"/>
  <c r="H32" i="4"/>
  <c r="H33" i="4"/>
  <c r="H34" i="4"/>
  <c r="H35" i="4"/>
  <c r="H36" i="4"/>
  <c r="H37" i="4"/>
  <c r="H38" i="4"/>
  <c r="H24" i="4"/>
  <c r="E76" i="2"/>
  <c r="E77" i="2"/>
  <c r="E78" i="2"/>
  <c r="E79" i="2"/>
  <c r="E75" i="2"/>
  <c r="E70" i="2"/>
  <c r="E71" i="2"/>
  <c r="E72" i="2"/>
  <c r="E73" i="2"/>
  <c r="E69" i="2"/>
  <c r="E44" i="2"/>
  <c r="E45" i="2"/>
  <c r="E46" i="2"/>
  <c r="E47" i="2"/>
  <c r="E48" i="2"/>
  <c r="E49" i="2"/>
  <c r="E50" i="2"/>
  <c r="E51" i="2"/>
  <c r="E52" i="2"/>
  <c r="E53" i="2"/>
  <c r="E54" i="2"/>
  <c r="E55" i="2"/>
  <c r="E56" i="2"/>
  <c r="E57" i="2"/>
  <c r="E58" i="2"/>
  <c r="E59" i="2"/>
  <c r="E60" i="2"/>
  <c r="E61" i="2"/>
  <c r="E62" i="2"/>
  <c r="E63" i="2"/>
  <c r="E64" i="2"/>
  <c r="E65" i="2"/>
  <c r="E66" i="2"/>
  <c r="E67" i="2"/>
  <c r="E43" i="2"/>
  <c r="E28" i="2"/>
  <c r="E29" i="2"/>
  <c r="E30" i="2"/>
  <c r="E31" i="2"/>
  <c r="E32" i="2"/>
  <c r="E33" i="2"/>
  <c r="E34" i="2"/>
  <c r="E35" i="2"/>
  <c r="E36" i="2"/>
  <c r="E37" i="2"/>
  <c r="E38" i="2"/>
  <c r="E39" i="2"/>
  <c r="E40" i="2"/>
  <c r="E41" i="2"/>
  <c r="E27" i="2"/>
  <c r="E17" i="2"/>
  <c r="E18" i="2"/>
  <c r="E19" i="2"/>
  <c r="E20" i="2"/>
  <c r="E21" i="2"/>
  <c r="E22" i="2"/>
  <c r="E23" i="2"/>
  <c r="E24" i="2"/>
  <c r="E25" i="2"/>
  <c r="E16" i="2"/>
  <c r="C76" i="2"/>
  <c r="C77" i="2"/>
  <c r="C78" i="2"/>
  <c r="C79" i="2"/>
  <c r="C75" i="2"/>
  <c r="C70" i="2"/>
  <c r="C71" i="2"/>
  <c r="C72" i="2"/>
  <c r="C73" i="2"/>
  <c r="C69" i="2"/>
  <c r="C44" i="2"/>
  <c r="C45" i="2"/>
  <c r="C46" i="2"/>
  <c r="C47" i="2"/>
  <c r="C48" i="2"/>
  <c r="C49" i="2"/>
  <c r="C50" i="2"/>
  <c r="C51" i="2"/>
  <c r="C52" i="2"/>
  <c r="C53" i="2"/>
  <c r="C54" i="2"/>
  <c r="C55" i="2"/>
  <c r="C56" i="2"/>
  <c r="C57" i="2"/>
  <c r="C58" i="2"/>
  <c r="C59" i="2"/>
  <c r="C60" i="2"/>
  <c r="C61" i="2"/>
  <c r="C62" i="2"/>
  <c r="C63" i="2"/>
  <c r="C64" i="2"/>
  <c r="C65" i="2"/>
  <c r="C66" i="2"/>
  <c r="C67" i="2"/>
  <c r="C43" i="2"/>
  <c r="C28" i="2"/>
  <c r="C29" i="2"/>
  <c r="C30" i="2"/>
  <c r="C31" i="2"/>
  <c r="C32" i="2"/>
  <c r="C33" i="2"/>
  <c r="C34" i="2"/>
  <c r="C35" i="2"/>
  <c r="C36" i="2"/>
  <c r="C37" i="2"/>
  <c r="C38" i="2"/>
  <c r="C39" i="2"/>
  <c r="C40" i="2"/>
  <c r="C41" i="2"/>
  <c r="C27" i="2"/>
  <c r="C17" i="2"/>
  <c r="C18" i="2"/>
  <c r="C19" i="2"/>
  <c r="C20" i="2"/>
  <c r="C21" i="2"/>
  <c r="C22" i="2"/>
  <c r="C23" i="2"/>
  <c r="C24" i="2"/>
  <c r="C25" i="2"/>
  <c r="C16" i="2"/>
  <c r="L104" i="1"/>
  <c r="L105" i="1"/>
  <c r="L106" i="1"/>
  <c r="L107" i="1"/>
  <c r="K104" i="1"/>
  <c r="K105" i="1"/>
  <c r="K106" i="1"/>
  <c r="K107" i="1"/>
  <c r="J104" i="1"/>
  <c r="J105" i="1"/>
  <c r="J106" i="1"/>
  <c r="J107" i="1"/>
  <c r="K103" i="1"/>
  <c r="L103" i="1"/>
  <c r="J34" i="17"/>
  <c r="J33" i="17"/>
  <c r="J32" i="17"/>
  <c r="J31" i="17"/>
  <c r="J16" i="17"/>
  <c r="J17" i="17"/>
  <c r="J19" i="17"/>
  <c r="I34" i="17"/>
  <c r="I33" i="17"/>
  <c r="I32" i="17"/>
  <c r="I31" i="17"/>
  <c r="I30" i="17"/>
  <c r="I16" i="17"/>
  <c r="I17" i="17"/>
  <c r="I18" i="17"/>
  <c r="I19" i="17"/>
  <c r="I15" i="17"/>
  <c r="J103" i="1" l="1"/>
  <c r="J18" i="17"/>
  <c r="T104" i="1"/>
  <c r="T105" i="1"/>
  <c r="T106" i="1"/>
  <c r="T107" i="1"/>
  <c r="T103" i="1"/>
  <c r="S104" i="1"/>
  <c r="S105" i="1"/>
  <c r="S106" i="1"/>
  <c r="S107" i="1"/>
  <c r="S103" i="1"/>
  <c r="W104" i="1"/>
  <c r="W105" i="1"/>
  <c r="W106" i="1"/>
  <c r="W107" i="1"/>
  <c r="W103" i="1"/>
  <c r="Q104" i="1"/>
  <c r="Q105" i="1"/>
  <c r="Q106" i="1"/>
  <c r="Q107" i="1"/>
  <c r="Q103" i="1"/>
  <c r="D76" i="2"/>
  <c r="D77" i="2"/>
  <c r="D78" i="2"/>
  <c r="D79" i="2"/>
  <c r="D75" i="2"/>
  <c r="F79" i="2" l="1"/>
  <c r="F78" i="2"/>
  <c r="F76" i="2"/>
  <c r="F77" i="2"/>
  <c r="G104" i="1"/>
  <c r="G105" i="1"/>
  <c r="G106" i="1"/>
  <c r="G107" i="1"/>
  <c r="G103" i="1"/>
  <c r="D104" i="1"/>
  <c r="D105" i="1"/>
  <c r="D106" i="1"/>
  <c r="D107" i="1"/>
  <c r="D103" i="1"/>
  <c r="C104" i="1"/>
  <c r="C105" i="1"/>
  <c r="C106" i="1"/>
  <c r="C107" i="1"/>
  <c r="C103" i="1"/>
  <c r="B104" i="1"/>
  <c r="V104" i="1" s="1"/>
  <c r="B105" i="1"/>
  <c r="V105" i="1" s="1"/>
  <c r="B106" i="1"/>
  <c r="V106" i="1" s="1"/>
  <c r="B107" i="1"/>
  <c r="V107" i="1" s="1"/>
  <c r="B103" i="1"/>
  <c r="E183" i="2"/>
  <c r="C162" i="2"/>
  <c r="F75" i="2" l="1"/>
  <c r="N103" i="1"/>
  <c r="V103" i="1"/>
  <c r="N104" i="1"/>
  <c r="N107" i="1"/>
  <c r="N106" i="1"/>
  <c r="N105" i="1"/>
  <c r="W69" i="1"/>
  <c r="W70" i="1"/>
  <c r="W71" i="1"/>
  <c r="W72" i="1"/>
  <c r="W73" i="1"/>
  <c r="W74" i="1"/>
  <c r="W75" i="1"/>
  <c r="W76" i="1"/>
  <c r="W77" i="1"/>
  <c r="W78" i="1"/>
  <c r="W79" i="1"/>
  <c r="W80" i="1"/>
  <c r="W81" i="1"/>
  <c r="W82" i="1"/>
  <c r="W83" i="1"/>
  <c r="W84" i="1"/>
  <c r="W85" i="1"/>
  <c r="W86" i="1"/>
  <c r="W87" i="1"/>
  <c r="W88" i="1"/>
  <c r="W89" i="1"/>
  <c r="C15" i="16"/>
  <c r="K15" i="16" s="1"/>
  <c r="C16" i="16"/>
  <c r="K16" i="16" s="1"/>
  <c r="D15" i="16"/>
  <c r="D16" i="16"/>
  <c r="E15" i="16"/>
  <c r="E16" i="16"/>
  <c r="D2710" i="7"/>
  <c r="D2660" i="7"/>
  <c r="B2708" i="7"/>
  <c r="B2658" i="7"/>
  <c r="C2727" i="7"/>
  <c r="D2723" i="7"/>
  <c r="E2723" i="7" s="1"/>
  <c r="J2720" i="7" s="1"/>
  <c r="J2715" i="7" s="1"/>
  <c r="F2719" i="7"/>
  <c r="C2677" i="7"/>
  <c r="D2673" i="7"/>
  <c r="E2673" i="7" s="1"/>
  <c r="J2670" i="7" s="1"/>
  <c r="J2665" i="7" s="1"/>
  <c r="F2669" i="7"/>
  <c r="D72" i="2"/>
  <c r="D73" i="2"/>
  <c r="S95" i="1"/>
  <c r="S96" i="1"/>
  <c r="S97" i="1"/>
  <c r="S98" i="1"/>
  <c r="S94" i="1"/>
  <c r="C98" i="1"/>
  <c r="B98" i="1"/>
  <c r="C97" i="1"/>
  <c r="B97" i="1"/>
  <c r="B94" i="1"/>
  <c r="V94" i="1" s="1"/>
  <c r="F16" i="16" l="1"/>
  <c r="G16" i="16" s="1"/>
  <c r="H16" i="16" s="1"/>
  <c r="F15" i="16"/>
  <c r="G15" i="16" s="1"/>
  <c r="H15" i="16" s="1"/>
  <c r="N98" i="1"/>
  <c r="V98" i="1"/>
  <c r="N97" i="1"/>
  <c r="V97" i="1"/>
  <c r="F73" i="2"/>
  <c r="F72" i="2"/>
  <c r="C13" i="16" l="1"/>
  <c r="K13" i="16" s="1"/>
  <c r="D13" i="16"/>
  <c r="E13" i="16"/>
  <c r="C14" i="16"/>
  <c r="K14" i="16" s="1"/>
  <c r="D14" i="16"/>
  <c r="E14" i="16"/>
  <c r="D12" i="16"/>
  <c r="E12" i="16"/>
  <c r="C12" i="16"/>
  <c r="K12" i="16" s="1"/>
  <c r="F14" i="16" l="1"/>
  <c r="G14" i="16" s="1"/>
  <c r="H14" i="16" s="1"/>
  <c r="F12" i="16"/>
  <c r="G12" i="16" s="1"/>
  <c r="H12" i="16" s="1"/>
  <c r="F13" i="16"/>
  <c r="G13" i="16" s="1"/>
  <c r="H13" i="16" s="1"/>
  <c r="C96" i="1" l="1"/>
  <c r="C95" i="1"/>
  <c r="C94" i="1"/>
  <c r="D2610" i="7"/>
  <c r="B2608" i="7"/>
  <c r="D2560" i="7"/>
  <c r="B2558" i="7"/>
  <c r="D2510" i="7"/>
  <c r="B2508" i="7"/>
  <c r="C2627" i="7"/>
  <c r="D2623" i="7"/>
  <c r="E2623" i="7" s="1"/>
  <c r="J2620" i="7" s="1"/>
  <c r="J2615" i="7" s="1"/>
  <c r="F2619" i="7"/>
  <c r="C2577" i="7"/>
  <c r="D2573" i="7"/>
  <c r="E2573" i="7" s="1"/>
  <c r="J2570" i="7" s="1"/>
  <c r="J2565" i="7" s="1"/>
  <c r="F2569" i="7"/>
  <c r="C2527" i="7"/>
  <c r="D2523" i="7"/>
  <c r="E2523" i="7" s="1"/>
  <c r="J2520" i="7" s="1"/>
  <c r="J2515" i="7" s="1"/>
  <c r="F2519" i="7"/>
  <c r="D2460" i="7"/>
  <c r="D2410" i="7"/>
  <c r="D2360" i="7"/>
  <c r="D2310" i="7"/>
  <c r="D2260" i="7"/>
  <c r="D2210" i="7"/>
  <c r="D2160" i="7"/>
  <c r="D2110" i="7"/>
  <c r="D2060" i="7"/>
  <c r="D2010" i="7"/>
  <c r="D1960" i="7"/>
  <c r="D1910" i="7"/>
  <c r="D1860" i="7"/>
  <c r="D1810" i="7"/>
  <c r="D1760" i="7"/>
  <c r="D1710" i="7"/>
  <c r="D1660" i="7"/>
  <c r="D1610" i="7"/>
  <c r="D1560" i="7"/>
  <c r="D1510" i="7"/>
  <c r="D1460" i="7"/>
  <c r="D1410" i="7"/>
  <c r="D1360" i="7"/>
  <c r="D1310" i="7"/>
  <c r="D1260" i="7"/>
  <c r="D1210" i="7" l="1"/>
  <c r="D1160" i="7"/>
  <c r="D1110" i="7"/>
  <c r="D1060" i="7"/>
  <c r="D1010" i="7"/>
  <c r="B2458" i="7"/>
  <c r="C2477" i="7"/>
  <c r="D2473" i="7"/>
  <c r="E2473" i="7" s="1"/>
  <c r="J2470" i="7" s="1"/>
  <c r="J2465" i="7" s="1"/>
  <c r="F2469" i="7"/>
  <c r="B2408" i="7"/>
  <c r="B2358" i="7"/>
  <c r="B2308" i="7"/>
  <c r="B2258" i="7"/>
  <c r="C2427" i="7"/>
  <c r="D2423" i="7"/>
  <c r="E2423" i="7" s="1"/>
  <c r="J2420" i="7" s="1"/>
  <c r="J2415" i="7" s="1"/>
  <c r="F2419" i="7"/>
  <c r="C2377" i="7"/>
  <c r="D2373" i="7"/>
  <c r="E2373" i="7" s="1"/>
  <c r="J2370" i="7" s="1"/>
  <c r="J2365" i="7" s="1"/>
  <c r="F2369" i="7"/>
  <c r="C2327" i="7"/>
  <c r="D2323" i="7"/>
  <c r="E2323" i="7" s="1"/>
  <c r="J2320" i="7" s="1"/>
  <c r="J2315" i="7" s="1"/>
  <c r="F2319" i="7"/>
  <c r="C2277" i="7"/>
  <c r="D2273" i="7"/>
  <c r="E2273" i="7" s="1"/>
  <c r="J2270" i="7" s="1"/>
  <c r="J2265" i="7" s="1"/>
  <c r="F2269" i="7"/>
  <c r="B2208" i="7"/>
  <c r="B2158" i="7"/>
  <c r="B2108" i="7"/>
  <c r="B2058" i="7"/>
  <c r="B2008" i="7"/>
  <c r="B1958" i="7"/>
  <c r="B1908" i="7"/>
  <c r="B1858" i="7"/>
  <c r="B1808" i="7"/>
  <c r="C2227" i="7"/>
  <c r="D2223" i="7"/>
  <c r="E2223" i="7" s="1"/>
  <c r="J2220" i="7" s="1"/>
  <c r="J2215" i="7" s="1"/>
  <c r="F2219" i="7"/>
  <c r="C2177" i="7"/>
  <c r="D2173" i="7"/>
  <c r="E2173" i="7" s="1"/>
  <c r="J2170" i="7" s="1"/>
  <c r="J2165" i="7" s="1"/>
  <c r="F2169" i="7"/>
  <c r="C2127" i="7"/>
  <c r="D2123" i="7"/>
  <c r="E2123" i="7" s="1"/>
  <c r="J2120" i="7" s="1"/>
  <c r="J2115" i="7" s="1"/>
  <c r="F2119" i="7"/>
  <c r="C2077" i="7"/>
  <c r="D2073" i="7"/>
  <c r="E2073" i="7" s="1"/>
  <c r="J2070" i="7" s="1"/>
  <c r="J2065" i="7" s="1"/>
  <c r="F2069" i="7"/>
  <c r="C2027" i="7"/>
  <c r="D2023" i="7"/>
  <c r="E2023" i="7" s="1"/>
  <c r="J2020" i="7" s="1"/>
  <c r="J2015" i="7" s="1"/>
  <c r="F2019" i="7"/>
  <c r="C1977" i="7"/>
  <c r="D1973" i="7"/>
  <c r="E1973" i="7" s="1"/>
  <c r="J1970" i="7" s="1"/>
  <c r="J1965" i="7" s="1"/>
  <c r="F1969" i="7"/>
  <c r="C1927" i="7"/>
  <c r="D1923" i="7"/>
  <c r="E1923" i="7" s="1"/>
  <c r="J1920" i="7" s="1"/>
  <c r="J1915" i="7" s="1"/>
  <c r="F1919" i="7"/>
  <c r="C1877" i="7"/>
  <c r="D1873" i="7"/>
  <c r="E1873" i="7" s="1"/>
  <c r="J1870" i="7" s="1"/>
  <c r="J1865" i="7" s="1"/>
  <c r="F1869" i="7"/>
  <c r="C1827" i="7"/>
  <c r="D1823" i="7"/>
  <c r="E1823" i="7" s="1"/>
  <c r="J1820" i="7" s="1"/>
  <c r="J1815" i="7" s="1"/>
  <c r="F1819" i="7"/>
  <c r="B1758" i="7"/>
  <c r="B1708" i="7"/>
  <c r="B1658" i="7"/>
  <c r="B1608" i="7"/>
  <c r="B1558" i="7"/>
  <c r="B1508" i="7"/>
  <c r="B1458" i="7"/>
  <c r="B1408" i="7"/>
  <c r="C1777" i="7"/>
  <c r="D1773" i="7"/>
  <c r="E1773" i="7" s="1"/>
  <c r="J1770" i="7" s="1"/>
  <c r="J1765" i="7" s="1"/>
  <c r="F1769" i="7"/>
  <c r="C1727" i="7"/>
  <c r="D1723" i="7"/>
  <c r="E1723" i="7" s="1"/>
  <c r="J1720" i="7" s="1"/>
  <c r="J1715" i="7" s="1"/>
  <c r="F1719" i="7"/>
  <c r="C1677" i="7"/>
  <c r="D1673" i="7"/>
  <c r="E1673" i="7" s="1"/>
  <c r="J1670" i="7" s="1"/>
  <c r="J1665" i="7" s="1"/>
  <c r="F1669" i="7"/>
  <c r="C1627" i="7"/>
  <c r="D1623" i="7"/>
  <c r="E1623" i="7" s="1"/>
  <c r="J1620" i="7" s="1"/>
  <c r="J1615" i="7" s="1"/>
  <c r="F1619" i="7"/>
  <c r="C1577" i="7"/>
  <c r="D1573" i="7"/>
  <c r="E1573" i="7" s="1"/>
  <c r="J1570" i="7" s="1"/>
  <c r="J1565" i="7" s="1"/>
  <c r="F1569" i="7"/>
  <c r="C1527" i="7"/>
  <c r="D1523" i="7"/>
  <c r="E1523" i="7" s="1"/>
  <c r="J1520" i="7" s="1"/>
  <c r="J1515" i="7" s="1"/>
  <c r="F1519" i="7"/>
  <c r="C1477" i="7"/>
  <c r="D1473" i="7"/>
  <c r="E1473" i="7" s="1"/>
  <c r="J1470" i="7" s="1"/>
  <c r="J1465" i="7" s="1"/>
  <c r="F1469" i="7"/>
  <c r="C1427" i="7"/>
  <c r="D1423" i="7"/>
  <c r="E1423" i="7" s="1"/>
  <c r="J1420" i="7" s="1"/>
  <c r="J1415" i="7" s="1"/>
  <c r="F1419" i="7"/>
  <c r="B1358" i="7"/>
  <c r="B1308" i="7"/>
  <c r="B1258" i="7"/>
  <c r="C1377" i="7"/>
  <c r="D1373" i="7"/>
  <c r="E1373" i="7" s="1"/>
  <c r="J1370" i="7" s="1"/>
  <c r="J1365" i="7" s="1"/>
  <c r="F1369" i="7"/>
  <c r="C1327" i="7"/>
  <c r="D1323" i="7"/>
  <c r="E1323" i="7" s="1"/>
  <c r="J1320" i="7" s="1"/>
  <c r="J1315" i="7" s="1"/>
  <c r="F1319" i="7"/>
  <c r="C1277" i="7"/>
  <c r="D1273" i="7"/>
  <c r="E1273" i="7" s="1"/>
  <c r="J1270" i="7" s="1"/>
  <c r="J1265" i="7" s="1"/>
  <c r="F1269" i="7"/>
  <c r="E86" i="2" l="1"/>
  <c r="E87" i="2"/>
  <c r="E90" i="2"/>
  <c r="F106" i="2" a="1"/>
  <c r="F106" i="2" s="1"/>
  <c r="D18" i="12" l="1"/>
  <c r="T95" i="1"/>
  <c r="T66" i="1"/>
  <c r="T74" i="1"/>
  <c r="T82" i="1"/>
  <c r="T67" i="1"/>
  <c r="T75" i="1"/>
  <c r="T83" i="1"/>
  <c r="T68" i="1"/>
  <c r="T76" i="1"/>
  <c r="T84" i="1"/>
  <c r="T96" i="1"/>
  <c r="T97" i="1"/>
  <c r="T98" i="1"/>
  <c r="T70" i="1"/>
  <c r="T78" i="1"/>
  <c r="T86" i="1"/>
  <c r="T80" i="1"/>
  <c r="T81" i="1"/>
  <c r="T69" i="1"/>
  <c r="T77" i="1"/>
  <c r="T85" i="1"/>
  <c r="T71" i="1"/>
  <c r="T79" i="1"/>
  <c r="T87" i="1"/>
  <c r="T88" i="1"/>
  <c r="T89" i="1"/>
  <c r="T72" i="1"/>
  <c r="T73" i="1"/>
  <c r="F18" i="12" l="1"/>
  <c r="D20" i="12" s="1"/>
  <c r="F20" i="12" s="1"/>
  <c r="B1208" i="7"/>
  <c r="B1158" i="7"/>
  <c r="B1108" i="7"/>
  <c r="B1058" i="7"/>
  <c r="B1008" i="7"/>
  <c r="C1227" i="7"/>
  <c r="D1223" i="7"/>
  <c r="E1223" i="7" s="1"/>
  <c r="J1220" i="7" s="1"/>
  <c r="J1215" i="7" s="1"/>
  <c r="F1219" i="7"/>
  <c r="D1216" i="10" s="1"/>
  <c r="C1177" i="7"/>
  <c r="D1173" i="7"/>
  <c r="E1173" i="7" s="1"/>
  <c r="J1170" i="7" s="1"/>
  <c r="J1165" i="7" s="1"/>
  <c r="F1169" i="7"/>
  <c r="D1166" i="10" s="1"/>
  <c r="C1127" i="7"/>
  <c r="D1123" i="7"/>
  <c r="E1123" i="7" s="1"/>
  <c r="J1120" i="7" s="1"/>
  <c r="J1115" i="7" s="1"/>
  <c r="F1119" i="7"/>
  <c r="D1116" i="10" s="1"/>
  <c r="C1077" i="7"/>
  <c r="D1073" i="7"/>
  <c r="E1073" i="7" s="1"/>
  <c r="J1070" i="7" s="1"/>
  <c r="J1065" i="7" s="1"/>
  <c r="F1069" i="7"/>
  <c r="D1066" i="10" s="1"/>
  <c r="C1027" i="7"/>
  <c r="D1023" i="7"/>
  <c r="E1023" i="7" s="1"/>
  <c r="J1020" i="7" s="1"/>
  <c r="J1015" i="7" s="1"/>
  <c r="F1019" i="7"/>
  <c r="D1016" i="10" s="1"/>
  <c r="B85" i="1"/>
  <c r="B86" i="1"/>
  <c r="B87" i="1"/>
  <c r="B88" i="1"/>
  <c r="B89" i="1"/>
  <c r="C85" i="1"/>
  <c r="C86" i="1"/>
  <c r="C87" i="1"/>
  <c r="C88" i="1"/>
  <c r="C89" i="1"/>
  <c r="B56" i="1"/>
  <c r="N56" i="1" s="1"/>
  <c r="B57" i="1"/>
  <c r="N57" i="1" s="1"/>
  <c r="B58" i="1"/>
  <c r="N58" i="1" s="1"/>
  <c r="B59" i="1"/>
  <c r="N59" i="1" s="1"/>
  <c r="B60" i="1"/>
  <c r="N60" i="1" s="1"/>
  <c r="C56" i="1"/>
  <c r="C57" i="1"/>
  <c r="C58" i="1"/>
  <c r="C59" i="1"/>
  <c r="C60" i="1"/>
  <c r="D63" i="2"/>
  <c r="D64" i="2"/>
  <c r="D65" i="2"/>
  <c r="D66" i="2"/>
  <c r="D67" i="2"/>
  <c r="D37" i="2"/>
  <c r="D38" i="2"/>
  <c r="D39" i="2"/>
  <c r="D40" i="2"/>
  <c r="D41" i="2"/>
  <c r="B1208" i="10"/>
  <c r="B1158" i="10"/>
  <c r="B1108" i="10"/>
  <c r="B1058" i="10"/>
  <c r="B1008" i="10"/>
  <c r="J1239" i="10"/>
  <c r="I1239" i="10"/>
  <c r="J1238" i="10"/>
  <c r="I1238" i="10"/>
  <c r="J1237" i="10"/>
  <c r="I1237" i="10"/>
  <c r="J1236" i="10"/>
  <c r="I1236" i="10"/>
  <c r="J1235" i="10"/>
  <c r="I1235" i="10"/>
  <c r="J1234" i="10"/>
  <c r="I1234" i="10"/>
  <c r="J1233" i="10"/>
  <c r="I1233" i="10"/>
  <c r="J1232" i="10"/>
  <c r="I1232" i="10"/>
  <c r="J1228" i="10"/>
  <c r="I1228" i="10"/>
  <c r="J1227" i="10"/>
  <c r="I1227" i="10"/>
  <c r="J1226" i="10"/>
  <c r="I1226" i="10"/>
  <c r="I1225" i="10"/>
  <c r="J1221" i="10"/>
  <c r="J1189" i="10"/>
  <c r="I1189" i="10"/>
  <c r="J1188" i="10"/>
  <c r="I1188" i="10"/>
  <c r="J1187" i="10"/>
  <c r="I1187" i="10"/>
  <c r="J1186" i="10"/>
  <c r="I1186" i="10"/>
  <c r="J1185" i="10"/>
  <c r="I1185" i="10"/>
  <c r="J1184" i="10"/>
  <c r="I1184" i="10"/>
  <c r="J1183" i="10"/>
  <c r="I1183" i="10"/>
  <c r="J1182" i="10"/>
  <c r="I1182" i="10"/>
  <c r="J1178" i="10"/>
  <c r="I1178" i="10"/>
  <c r="J1177" i="10"/>
  <c r="I1177" i="10"/>
  <c r="J1176" i="10"/>
  <c r="I1176" i="10"/>
  <c r="I1175" i="10"/>
  <c r="J1171" i="10"/>
  <c r="J1139" i="10"/>
  <c r="I1139" i="10"/>
  <c r="J1138" i="10"/>
  <c r="I1138" i="10"/>
  <c r="J1137" i="10"/>
  <c r="I1137" i="10"/>
  <c r="J1136" i="10"/>
  <c r="I1136" i="10"/>
  <c r="J1135" i="10"/>
  <c r="I1135" i="10"/>
  <c r="J1134" i="10"/>
  <c r="I1134" i="10"/>
  <c r="J1133" i="10"/>
  <c r="I1133" i="10"/>
  <c r="J1132" i="10"/>
  <c r="I1132" i="10"/>
  <c r="J1128" i="10"/>
  <c r="I1128" i="10"/>
  <c r="J1127" i="10"/>
  <c r="I1127" i="10"/>
  <c r="J1126" i="10"/>
  <c r="I1126" i="10"/>
  <c r="I1125" i="10"/>
  <c r="J1121" i="10"/>
  <c r="J1089" i="10"/>
  <c r="I1089" i="10"/>
  <c r="J1088" i="10"/>
  <c r="I1088" i="10"/>
  <c r="J1087" i="10"/>
  <c r="I1087" i="10"/>
  <c r="J1086" i="10"/>
  <c r="I1086" i="10"/>
  <c r="J1085" i="10"/>
  <c r="I1085" i="10"/>
  <c r="J1084" i="10"/>
  <c r="I1084" i="10"/>
  <c r="J1083" i="10"/>
  <c r="I1083" i="10"/>
  <c r="J1082" i="10"/>
  <c r="I1082" i="10"/>
  <c r="J1078" i="10"/>
  <c r="I1078" i="10"/>
  <c r="J1077" i="10"/>
  <c r="I1077" i="10"/>
  <c r="J1076" i="10"/>
  <c r="I1076" i="10"/>
  <c r="I1075" i="10"/>
  <c r="J1071" i="10"/>
  <c r="J1039" i="10"/>
  <c r="I1039" i="10"/>
  <c r="J1038" i="10"/>
  <c r="I1038" i="10"/>
  <c r="J1037" i="10"/>
  <c r="I1037" i="10"/>
  <c r="J1036" i="10"/>
  <c r="I1036" i="10"/>
  <c r="J1035" i="10"/>
  <c r="I1035" i="10"/>
  <c r="J1034" i="10"/>
  <c r="I1034" i="10"/>
  <c r="J1033" i="10"/>
  <c r="I1033" i="10"/>
  <c r="J1032" i="10"/>
  <c r="I1032" i="10"/>
  <c r="J1028" i="10"/>
  <c r="I1028" i="10"/>
  <c r="J1027" i="10"/>
  <c r="I1027" i="10"/>
  <c r="J1026" i="10"/>
  <c r="I1026" i="10"/>
  <c r="I1025" i="10"/>
  <c r="J1021" i="10"/>
  <c r="E11" i="12" l="1"/>
  <c r="J1016" i="10"/>
  <c r="J1216" i="10"/>
  <c r="J1066" i="10"/>
  <c r="J1166" i="10"/>
  <c r="J1116" i="10"/>
  <c r="N85" i="1"/>
  <c r="V85" i="1"/>
  <c r="N89" i="1"/>
  <c r="V89" i="1"/>
  <c r="N86" i="1"/>
  <c r="V86" i="1"/>
  <c r="S59" i="1"/>
  <c r="V59" i="1"/>
  <c r="S56" i="1"/>
  <c r="V56" i="1"/>
  <c r="S60" i="1"/>
  <c r="V60" i="1"/>
  <c r="S58" i="1"/>
  <c r="V58" i="1"/>
  <c r="N88" i="1"/>
  <c r="V88" i="1"/>
  <c r="S57" i="1"/>
  <c r="V57" i="1"/>
  <c r="N87" i="1"/>
  <c r="V87" i="1"/>
  <c r="F67" i="2"/>
  <c r="F66" i="2"/>
  <c r="F65" i="2"/>
  <c r="F64" i="2"/>
  <c r="F63" i="2"/>
  <c r="F38" i="2"/>
  <c r="F40" i="2"/>
  <c r="F39" i="2"/>
  <c r="F41" i="2"/>
  <c r="F37" i="2"/>
  <c r="B608" i="7"/>
  <c r="D11" i="2" l="1"/>
  <c r="D11" i="12"/>
  <c r="Q146" i="2"/>
  <c r="O95" i="3"/>
  <c r="K95" i="3"/>
  <c r="L95" i="3" s="1"/>
  <c r="M95" i="3" s="1"/>
  <c r="D163" i="2"/>
  <c r="D162" i="2"/>
  <c r="K154" i="2" l="1"/>
  <c r="K158" i="2"/>
  <c r="D33" i="12"/>
  <c r="C33" i="12"/>
  <c r="M55" i="4" l="1"/>
  <c r="M56" i="4"/>
  <c r="M57" i="4"/>
  <c r="M58" i="4"/>
  <c r="L58" i="4"/>
  <c r="L57" i="4"/>
  <c r="L56" i="4"/>
  <c r="L55" i="4"/>
  <c r="K58" i="4"/>
  <c r="K57" i="4"/>
  <c r="K56" i="4"/>
  <c r="K55" i="4"/>
  <c r="B958" i="10"/>
  <c r="B908" i="10"/>
  <c r="B858" i="10"/>
  <c r="B808" i="10"/>
  <c r="B758" i="10"/>
  <c r="B708" i="10"/>
  <c r="B658" i="10"/>
  <c r="B608" i="10"/>
  <c r="B558" i="10"/>
  <c r="B508" i="10"/>
  <c r="J989" i="10"/>
  <c r="I989" i="10"/>
  <c r="J988" i="10"/>
  <c r="I988" i="10"/>
  <c r="J987" i="10"/>
  <c r="I987" i="10"/>
  <c r="J986" i="10"/>
  <c r="I986" i="10"/>
  <c r="J985" i="10"/>
  <c r="I985" i="10"/>
  <c r="J984" i="10"/>
  <c r="I984" i="10"/>
  <c r="J983" i="10"/>
  <c r="I983" i="10"/>
  <c r="J982" i="10"/>
  <c r="I982" i="10"/>
  <c r="J978" i="10"/>
  <c r="I978" i="10"/>
  <c r="J977" i="10"/>
  <c r="I977" i="10"/>
  <c r="J976" i="10"/>
  <c r="I976" i="10"/>
  <c r="I975" i="10"/>
  <c r="J971" i="10"/>
  <c r="J939" i="10"/>
  <c r="I939" i="10"/>
  <c r="J938" i="10"/>
  <c r="I938" i="10"/>
  <c r="J937" i="10"/>
  <c r="I937" i="10"/>
  <c r="J936" i="10"/>
  <c r="I936" i="10"/>
  <c r="J935" i="10"/>
  <c r="I935" i="10"/>
  <c r="J934" i="10"/>
  <c r="I934" i="10"/>
  <c r="J933" i="10"/>
  <c r="I933" i="10"/>
  <c r="J932" i="10"/>
  <c r="I932" i="10"/>
  <c r="J928" i="10"/>
  <c r="I928" i="10"/>
  <c r="J927" i="10"/>
  <c r="I927" i="10"/>
  <c r="J926" i="10"/>
  <c r="I926" i="10"/>
  <c r="I925" i="10"/>
  <c r="J921" i="10"/>
  <c r="J889" i="10"/>
  <c r="I889" i="10"/>
  <c r="J888" i="10"/>
  <c r="I888" i="10"/>
  <c r="J887" i="10"/>
  <c r="I887" i="10"/>
  <c r="J886" i="10"/>
  <c r="I886" i="10"/>
  <c r="J885" i="10"/>
  <c r="I885" i="10"/>
  <c r="J884" i="10"/>
  <c r="I884" i="10"/>
  <c r="J883" i="10"/>
  <c r="I883" i="10"/>
  <c r="J882" i="10"/>
  <c r="I882" i="10"/>
  <c r="J878" i="10"/>
  <c r="I878" i="10"/>
  <c r="J877" i="10"/>
  <c r="I877" i="10"/>
  <c r="J876" i="10"/>
  <c r="I876" i="10"/>
  <c r="I875" i="10"/>
  <c r="J871" i="10"/>
  <c r="J839" i="10"/>
  <c r="I839" i="10"/>
  <c r="J838" i="10"/>
  <c r="I838" i="10"/>
  <c r="J837" i="10"/>
  <c r="I837" i="10"/>
  <c r="J836" i="10"/>
  <c r="I836" i="10"/>
  <c r="J835" i="10"/>
  <c r="I835" i="10"/>
  <c r="J834" i="10"/>
  <c r="I834" i="10"/>
  <c r="J833" i="10"/>
  <c r="I833" i="10"/>
  <c r="J832" i="10"/>
  <c r="I832" i="10"/>
  <c r="J828" i="10"/>
  <c r="I828" i="10"/>
  <c r="J827" i="10"/>
  <c r="I827" i="10"/>
  <c r="J826" i="10"/>
  <c r="I826" i="10"/>
  <c r="I825" i="10"/>
  <c r="J821" i="10"/>
  <c r="J789" i="10"/>
  <c r="I789" i="10"/>
  <c r="J788" i="10"/>
  <c r="I788" i="10"/>
  <c r="J787" i="10"/>
  <c r="I787" i="10"/>
  <c r="J786" i="10"/>
  <c r="I786" i="10"/>
  <c r="J785" i="10"/>
  <c r="I785" i="10"/>
  <c r="J784" i="10"/>
  <c r="I784" i="10"/>
  <c r="J783" i="10"/>
  <c r="I783" i="10"/>
  <c r="J782" i="10"/>
  <c r="I782" i="10"/>
  <c r="J778" i="10"/>
  <c r="I778" i="10"/>
  <c r="J777" i="10"/>
  <c r="I777" i="10"/>
  <c r="J776" i="10"/>
  <c r="I776" i="10"/>
  <c r="I775" i="10"/>
  <c r="J771" i="10"/>
  <c r="J739" i="10"/>
  <c r="I739" i="10"/>
  <c r="J738" i="10"/>
  <c r="I738" i="10"/>
  <c r="J737" i="10"/>
  <c r="I737" i="10"/>
  <c r="J736" i="10"/>
  <c r="I736" i="10"/>
  <c r="J735" i="10"/>
  <c r="I735" i="10"/>
  <c r="J734" i="10"/>
  <c r="I734" i="10"/>
  <c r="J733" i="10"/>
  <c r="I733" i="10"/>
  <c r="J732" i="10"/>
  <c r="I732" i="10"/>
  <c r="J728" i="10"/>
  <c r="I728" i="10"/>
  <c r="J727" i="10"/>
  <c r="I727" i="10"/>
  <c r="J726" i="10"/>
  <c r="I726" i="10"/>
  <c r="I725" i="10"/>
  <c r="J721" i="10"/>
  <c r="J689" i="10"/>
  <c r="I689" i="10"/>
  <c r="J688" i="10"/>
  <c r="I688" i="10"/>
  <c r="J687" i="10"/>
  <c r="I687" i="10"/>
  <c r="J686" i="10"/>
  <c r="I686" i="10"/>
  <c r="J685" i="10"/>
  <c r="I685" i="10"/>
  <c r="J684" i="10"/>
  <c r="I684" i="10"/>
  <c r="J683" i="10"/>
  <c r="I683" i="10"/>
  <c r="J682" i="10"/>
  <c r="I682" i="10"/>
  <c r="J678" i="10"/>
  <c r="I678" i="10"/>
  <c r="J677" i="10"/>
  <c r="I677" i="10"/>
  <c r="J676" i="10"/>
  <c r="I676" i="10"/>
  <c r="I675" i="10"/>
  <c r="J671" i="10"/>
  <c r="J639" i="10"/>
  <c r="I639" i="10"/>
  <c r="J638" i="10"/>
  <c r="I638" i="10"/>
  <c r="J637" i="10"/>
  <c r="I637" i="10"/>
  <c r="J636" i="10"/>
  <c r="I636" i="10"/>
  <c r="J635" i="10"/>
  <c r="I635" i="10"/>
  <c r="J634" i="10"/>
  <c r="I634" i="10"/>
  <c r="J633" i="10"/>
  <c r="I633" i="10"/>
  <c r="J632" i="10"/>
  <c r="I632" i="10"/>
  <c r="J628" i="10"/>
  <c r="I628" i="10"/>
  <c r="J627" i="10"/>
  <c r="I627" i="10"/>
  <c r="J626" i="10"/>
  <c r="I626" i="10"/>
  <c r="I625" i="10"/>
  <c r="J621" i="10"/>
  <c r="J589" i="10"/>
  <c r="I589" i="10"/>
  <c r="J588" i="10"/>
  <c r="I588" i="10"/>
  <c r="J587" i="10"/>
  <c r="I587" i="10"/>
  <c r="J586" i="10"/>
  <c r="I586" i="10"/>
  <c r="J585" i="10"/>
  <c r="I585" i="10"/>
  <c r="J584" i="10"/>
  <c r="I584" i="10"/>
  <c r="J583" i="10"/>
  <c r="I583" i="10"/>
  <c r="J582" i="10"/>
  <c r="I582" i="10"/>
  <c r="J578" i="10"/>
  <c r="I578" i="10"/>
  <c r="J577" i="10"/>
  <c r="I577" i="10"/>
  <c r="J576" i="10"/>
  <c r="I576" i="10"/>
  <c r="I575" i="10"/>
  <c r="J571" i="10"/>
  <c r="J539" i="10"/>
  <c r="I539" i="10"/>
  <c r="J538" i="10"/>
  <c r="I538" i="10"/>
  <c r="J537" i="10"/>
  <c r="I537" i="10"/>
  <c r="J536" i="10"/>
  <c r="I536" i="10"/>
  <c r="J535" i="10"/>
  <c r="I535" i="10"/>
  <c r="J534" i="10"/>
  <c r="I534" i="10"/>
  <c r="J533" i="10"/>
  <c r="I533" i="10"/>
  <c r="J532" i="10"/>
  <c r="I532" i="10"/>
  <c r="J528" i="10"/>
  <c r="I528" i="10"/>
  <c r="J527" i="10"/>
  <c r="I527" i="10"/>
  <c r="J526" i="10"/>
  <c r="I526" i="10"/>
  <c r="I525" i="10"/>
  <c r="J521" i="10"/>
  <c r="S84" i="1"/>
  <c r="S83" i="1"/>
  <c r="S82" i="1"/>
  <c r="S81" i="1"/>
  <c r="S80" i="1"/>
  <c r="S79" i="1"/>
  <c r="S78" i="1"/>
  <c r="S77" i="1"/>
  <c r="S76" i="1"/>
  <c r="S75" i="1"/>
  <c r="S74" i="1"/>
  <c r="S73" i="1"/>
  <c r="S72" i="1"/>
  <c r="S71" i="1"/>
  <c r="S70" i="1"/>
  <c r="S69" i="1"/>
  <c r="S68" i="1"/>
  <c r="S67" i="1"/>
  <c r="S66" i="1"/>
  <c r="S65" i="1"/>
  <c r="B96" i="1"/>
  <c r="V96" i="1" s="1"/>
  <c r="B95" i="1"/>
  <c r="V95" i="1" s="1"/>
  <c r="D44" i="2"/>
  <c r="D45" i="2"/>
  <c r="D46" i="2"/>
  <c r="D47" i="2"/>
  <c r="D48" i="2"/>
  <c r="D49" i="2"/>
  <c r="D50" i="2"/>
  <c r="D51" i="2"/>
  <c r="D52" i="2"/>
  <c r="D53" i="2"/>
  <c r="D54" i="2"/>
  <c r="D55" i="2"/>
  <c r="D56" i="2"/>
  <c r="D57" i="2"/>
  <c r="D58" i="2"/>
  <c r="D59" i="2"/>
  <c r="D60" i="2"/>
  <c r="D61" i="2"/>
  <c r="D62" i="2"/>
  <c r="B33" i="1"/>
  <c r="B34" i="1"/>
  <c r="B35" i="1"/>
  <c r="B36" i="1"/>
  <c r="B37" i="1"/>
  <c r="B38" i="1"/>
  <c r="B39" i="1"/>
  <c r="B40" i="1"/>
  <c r="B41" i="1"/>
  <c r="B32" i="1"/>
  <c r="D28" i="2"/>
  <c r="D29" i="2"/>
  <c r="D30" i="2"/>
  <c r="D31" i="2"/>
  <c r="D32" i="2"/>
  <c r="D33" i="2"/>
  <c r="D34" i="2"/>
  <c r="D35" i="2"/>
  <c r="D36" i="2"/>
  <c r="D27" i="2"/>
  <c r="D960" i="7"/>
  <c r="D910" i="7"/>
  <c r="D860" i="7"/>
  <c r="D810" i="7"/>
  <c r="D760" i="7"/>
  <c r="D710" i="7"/>
  <c r="D660" i="7"/>
  <c r="D610" i="7"/>
  <c r="D560" i="7"/>
  <c r="D510" i="7"/>
  <c r="B958" i="7"/>
  <c r="B908" i="7"/>
  <c r="B858" i="7"/>
  <c r="B808" i="7"/>
  <c r="B758" i="7"/>
  <c r="B708" i="7"/>
  <c r="B658" i="7"/>
  <c r="B558" i="7"/>
  <c r="B508" i="7"/>
  <c r="C977" i="7"/>
  <c r="D973" i="7"/>
  <c r="E973" i="7" s="1"/>
  <c r="J970" i="7" s="1"/>
  <c r="J965" i="7" s="1"/>
  <c r="F969" i="7"/>
  <c r="D966" i="10" s="1"/>
  <c r="C927" i="7"/>
  <c r="D923" i="7"/>
  <c r="E923" i="7" s="1"/>
  <c r="J920" i="7" s="1"/>
  <c r="J915" i="7" s="1"/>
  <c r="F919" i="7"/>
  <c r="D916" i="10" s="1"/>
  <c r="C877" i="7"/>
  <c r="D873" i="7"/>
  <c r="E873" i="7" s="1"/>
  <c r="J870" i="7" s="1"/>
  <c r="J865" i="7" s="1"/>
  <c r="F869" i="7"/>
  <c r="D866" i="10" s="1"/>
  <c r="C827" i="7"/>
  <c r="D823" i="7"/>
  <c r="E823" i="7" s="1"/>
  <c r="J820" i="7" s="1"/>
  <c r="J815" i="7" s="1"/>
  <c r="F819" i="7"/>
  <c r="D816" i="10" s="1"/>
  <c r="C777" i="7"/>
  <c r="D773" i="7"/>
  <c r="E773" i="7" s="1"/>
  <c r="J770" i="7" s="1"/>
  <c r="J765" i="7" s="1"/>
  <c r="F769" i="7"/>
  <c r="D766" i="10" s="1"/>
  <c r="C727" i="7"/>
  <c r="D723" i="7"/>
  <c r="E723" i="7" s="1"/>
  <c r="J720" i="7" s="1"/>
  <c r="J715" i="7" s="1"/>
  <c r="F719" i="7"/>
  <c r="D716" i="10" s="1"/>
  <c r="C677" i="7"/>
  <c r="D673" i="7"/>
  <c r="E673" i="7" s="1"/>
  <c r="J670" i="7" s="1"/>
  <c r="J665" i="7" s="1"/>
  <c r="F669" i="7"/>
  <c r="D666" i="10" s="1"/>
  <c r="C627" i="7"/>
  <c r="D623" i="7"/>
  <c r="E623" i="7" s="1"/>
  <c r="J620" i="7" s="1"/>
  <c r="J615" i="7" s="1"/>
  <c r="F619" i="7"/>
  <c r="D616" i="10" s="1"/>
  <c r="C577" i="7"/>
  <c r="D573" i="7"/>
  <c r="E573" i="7" s="1"/>
  <c r="J570" i="7" s="1"/>
  <c r="J565" i="7" s="1"/>
  <c r="F569" i="7"/>
  <c r="D566" i="10" s="1"/>
  <c r="C527" i="7"/>
  <c r="D523" i="7"/>
  <c r="E523" i="7" s="1"/>
  <c r="J520" i="7" s="1"/>
  <c r="J515" i="7" s="1"/>
  <c r="F519" i="7"/>
  <c r="D516" i="10" s="1"/>
  <c r="C66" i="1"/>
  <c r="C67" i="1"/>
  <c r="C68" i="1"/>
  <c r="C69" i="1"/>
  <c r="C70" i="1"/>
  <c r="C71" i="1"/>
  <c r="C72" i="1"/>
  <c r="C73" i="1"/>
  <c r="C74" i="1"/>
  <c r="C75" i="1"/>
  <c r="C76" i="1"/>
  <c r="C77" i="1"/>
  <c r="C78" i="1"/>
  <c r="C79" i="1"/>
  <c r="C80" i="1"/>
  <c r="C81" i="1"/>
  <c r="C82" i="1"/>
  <c r="C83" i="1"/>
  <c r="C84" i="1"/>
  <c r="C65" i="1"/>
  <c r="B66" i="1"/>
  <c r="B67" i="1"/>
  <c r="B68" i="1"/>
  <c r="B69" i="1"/>
  <c r="B70" i="1"/>
  <c r="B71" i="1"/>
  <c r="B72" i="1"/>
  <c r="B73" i="1"/>
  <c r="B74" i="1"/>
  <c r="B75" i="1"/>
  <c r="B76" i="1"/>
  <c r="B77" i="1"/>
  <c r="B78" i="1"/>
  <c r="B79" i="1"/>
  <c r="B80" i="1"/>
  <c r="B81" i="1"/>
  <c r="B82" i="1"/>
  <c r="B83" i="1"/>
  <c r="B84" i="1"/>
  <c r="B65" i="1"/>
  <c r="C47" i="1"/>
  <c r="C48" i="1"/>
  <c r="C49" i="1"/>
  <c r="C50" i="1"/>
  <c r="C51" i="1"/>
  <c r="C52" i="1"/>
  <c r="C53" i="1"/>
  <c r="C54" i="1"/>
  <c r="C55" i="1"/>
  <c r="B47" i="1"/>
  <c r="B48" i="1"/>
  <c r="N48" i="1" s="1"/>
  <c r="B49" i="1"/>
  <c r="N49" i="1" s="1"/>
  <c r="B50" i="1"/>
  <c r="N50" i="1" s="1"/>
  <c r="B51" i="1"/>
  <c r="N51" i="1" s="1"/>
  <c r="B52" i="1"/>
  <c r="N52" i="1" s="1"/>
  <c r="B53" i="1"/>
  <c r="N53" i="1" s="1"/>
  <c r="B54" i="1"/>
  <c r="N54" i="1" s="1"/>
  <c r="B55" i="1"/>
  <c r="N55" i="1" s="1"/>
  <c r="B46" i="1"/>
  <c r="C46" i="1"/>
  <c r="J566" i="10" l="1"/>
  <c r="J916" i="10"/>
  <c r="J766" i="10"/>
  <c r="J816" i="10"/>
  <c r="J616" i="10"/>
  <c r="J666" i="10"/>
  <c r="J716" i="10"/>
  <c r="J866" i="10"/>
  <c r="J966" i="10"/>
  <c r="J516" i="10"/>
  <c r="L60" i="4"/>
  <c r="J147" i="2" s="1"/>
  <c r="S55" i="1"/>
  <c r="V55" i="1"/>
  <c r="N74" i="1"/>
  <c r="V74" i="1"/>
  <c r="N73" i="1"/>
  <c r="V73" i="1"/>
  <c r="S39" i="1"/>
  <c r="V39" i="1"/>
  <c r="S52" i="1"/>
  <c r="V52" i="1"/>
  <c r="N79" i="1"/>
  <c r="V79" i="1"/>
  <c r="N71" i="1"/>
  <c r="V71" i="1"/>
  <c r="S38" i="1"/>
  <c r="V38" i="1"/>
  <c r="S48" i="1"/>
  <c r="V48" i="1"/>
  <c r="S47" i="1"/>
  <c r="V47" i="1"/>
  <c r="N66" i="1"/>
  <c r="V66" i="1"/>
  <c r="N81" i="1"/>
  <c r="V81" i="1"/>
  <c r="S40" i="1"/>
  <c r="V40" i="1"/>
  <c r="S51" i="1"/>
  <c r="V51" i="1"/>
  <c r="N78" i="1"/>
  <c r="V78" i="1"/>
  <c r="N70" i="1"/>
  <c r="V70" i="1"/>
  <c r="S37" i="1"/>
  <c r="V37" i="1"/>
  <c r="N83" i="1"/>
  <c r="V83" i="1"/>
  <c r="S54" i="1"/>
  <c r="V54" i="1"/>
  <c r="S53" i="1"/>
  <c r="V53" i="1"/>
  <c r="N80" i="1"/>
  <c r="V80" i="1"/>
  <c r="N65" i="1"/>
  <c r="V65" i="1"/>
  <c r="N77" i="1"/>
  <c r="V77" i="1"/>
  <c r="N69" i="1"/>
  <c r="V69" i="1"/>
  <c r="S36" i="1"/>
  <c r="V36" i="1"/>
  <c r="S46" i="1"/>
  <c r="V46" i="1"/>
  <c r="N72" i="1"/>
  <c r="V72" i="1"/>
  <c r="S50" i="1"/>
  <c r="V50" i="1"/>
  <c r="S49" i="1"/>
  <c r="V49" i="1"/>
  <c r="N84" i="1"/>
  <c r="V84" i="1"/>
  <c r="N76" i="1"/>
  <c r="V76" i="1"/>
  <c r="N68" i="1"/>
  <c r="V68" i="1"/>
  <c r="S35" i="1"/>
  <c r="V35" i="1"/>
  <c r="N75" i="1"/>
  <c r="V75" i="1"/>
  <c r="N67" i="1"/>
  <c r="V67" i="1"/>
  <c r="S32" i="1"/>
  <c r="V32" i="1"/>
  <c r="S34" i="1"/>
  <c r="V34" i="1"/>
  <c r="N82" i="1"/>
  <c r="V82" i="1"/>
  <c r="S41" i="1"/>
  <c r="V41" i="1"/>
  <c r="S33" i="1"/>
  <c r="V33" i="1"/>
  <c r="K60" i="4"/>
  <c r="M60" i="4"/>
  <c r="N47" i="1"/>
  <c r="N35" i="1"/>
  <c r="N36" i="1"/>
  <c r="N37" i="1"/>
  <c r="N38" i="1"/>
  <c r="N39" i="1"/>
  <c r="N34" i="1"/>
  <c r="N32" i="1"/>
  <c r="N40" i="1"/>
  <c r="N46" i="1"/>
  <c r="N33" i="1"/>
  <c r="N41" i="1"/>
  <c r="F58" i="2"/>
  <c r="F52" i="2"/>
  <c r="F60" i="2"/>
  <c r="F55" i="2"/>
  <c r="F57" i="2"/>
  <c r="F56" i="2"/>
  <c r="F59" i="2"/>
  <c r="F54" i="2"/>
  <c r="F53" i="2"/>
  <c r="F62" i="2"/>
  <c r="F61" i="2"/>
  <c r="D70" i="2" l="1"/>
  <c r="D71" i="2"/>
  <c r="D69" i="2"/>
  <c r="N96" i="1"/>
  <c r="N95" i="1"/>
  <c r="N94" i="1"/>
  <c r="F70" i="2" l="1"/>
  <c r="F69" i="2"/>
  <c r="F71" i="2"/>
  <c r="F27" i="2"/>
  <c r="F28" i="2"/>
  <c r="F35" i="2"/>
  <c r="F32" i="2"/>
  <c r="F34" i="2"/>
  <c r="F33" i="2"/>
  <c r="F31" i="2"/>
  <c r="F30" i="2"/>
  <c r="F29" i="2"/>
  <c r="F36" i="2"/>
  <c r="P30" i="12" l="1"/>
  <c r="Q161" i="2"/>
  <c r="G126" i="2"/>
  <c r="D21" i="3" l="1"/>
  <c r="G163" i="2"/>
  <c r="C382" i="3" l="1"/>
  <c r="C383" i="3"/>
  <c r="C384" i="3"/>
  <c r="C385" i="3"/>
  <c r="C371" i="3"/>
  <c r="C368" i="3"/>
  <c r="C369" i="3"/>
  <c r="C370" i="3"/>
  <c r="C358" i="3"/>
  <c r="C359" i="3"/>
  <c r="C381" i="3"/>
  <c r="C367" i="3"/>
  <c r="C357" i="3"/>
  <c r="C335" i="3"/>
  <c r="C336" i="3"/>
  <c r="C337" i="3"/>
  <c r="C338" i="3"/>
  <c r="C334" i="3"/>
  <c r="C312" i="3"/>
  <c r="C313" i="3"/>
  <c r="C314" i="3"/>
  <c r="C315" i="3"/>
  <c r="G148" i="2" l="1"/>
  <c r="M43" i="4" l="1"/>
  <c r="M42" i="4"/>
  <c r="L42" i="4"/>
  <c r="L43" i="4"/>
  <c r="K42" i="4"/>
  <c r="K43" i="4"/>
  <c r="E131" i="2" l="1"/>
  <c r="J11" i="4" l="1"/>
  <c r="Q163" i="2" l="1"/>
  <c r="G162" i="2" l="1"/>
  <c r="D64" i="12" l="1"/>
  <c r="D54" i="12"/>
  <c r="G108" i="2" l="1"/>
  <c r="J68" i="12" l="1"/>
  <c r="J65" i="12"/>
  <c r="J57" i="12"/>
  <c r="E64" i="12" l="1"/>
  <c r="J41" i="12"/>
  <c r="J42" i="12"/>
  <c r="J43" i="12"/>
  <c r="J44" i="12"/>
  <c r="J45" i="12"/>
  <c r="J46" i="12"/>
  <c r="J47" i="12"/>
  <c r="J40" i="12"/>
  <c r="J35" i="12"/>
  <c r="J36" i="12"/>
  <c r="I36" i="12"/>
  <c r="I35" i="12"/>
  <c r="I34" i="12"/>
  <c r="I33" i="12"/>
  <c r="I41" i="12"/>
  <c r="I42" i="12"/>
  <c r="I43" i="12"/>
  <c r="I44" i="12"/>
  <c r="I45" i="12"/>
  <c r="I46" i="12"/>
  <c r="I47" i="12"/>
  <c r="I40" i="12"/>
  <c r="J24" i="12"/>
  <c r="G130" i="2"/>
  <c r="E118" i="2"/>
  <c r="Q162" i="2" s="1"/>
  <c r="G117" i="2"/>
  <c r="B58" i="10"/>
  <c r="B108" i="10"/>
  <c r="B158" i="10"/>
  <c r="B208" i="10"/>
  <c r="B258" i="10"/>
  <c r="B308" i="10"/>
  <c r="B358" i="10"/>
  <c r="B408" i="10"/>
  <c r="B458" i="10"/>
  <c r="B8" i="10"/>
  <c r="Q166" i="2" l="1"/>
  <c r="K109" i="2"/>
  <c r="Q149" i="2" s="1"/>
  <c r="K110" i="2"/>
  <c r="Q148" i="2" s="1"/>
  <c r="J489" i="10"/>
  <c r="J488" i="10"/>
  <c r="J487" i="10"/>
  <c r="J486" i="10"/>
  <c r="J485" i="10"/>
  <c r="J484" i="10"/>
  <c r="J483" i="10"/>
  <c r="J482" i="10"/>
  <c r="J439" i="10"/>
  <c r="J438" i="10"/>
  <c r="J437" i="10"/>
  <c r="J436" i="10"/>
  <c r="J435" i="10"/>
  <c r="J434" i="10"/>
  <c r="J433" i="10"/>
  <c r="J432" i="10"/>
  <c r="J389" i="10"/>
  <c r="J388" i="10"/>
  <c r="J387" i="10"/>
  <c r="J386" i="10"/>
  <c r="J385" i="10"/>
  <c r="J384" i="10"/>
  <c r="J383" i="10"/>
  <c r="J382" i="10"/>
  <c r="J339" i="10"/>
  <c r="J338" i="10"/>
  <c r="J337" i="10"/>
  <c r="J336" i="10"/>
  <c r="J335" i="10"/>
  <c r="J334" i="10"/>
  <c r="J333" i="10"/>
  <c r="J332" i="10"/>
  <c r="J289" i="10"/>
  <c r="J288" i="10"/>
  <c r="J287" i="10"/>
  <c r="J286" i="10"/>
  <c r="J285" i="10"/>
  <c r="J284" i="10"/>
  <c r="J283" i="10"/>
  <c r="J282" i="10"/>
  <c r="J239" i="10"/>
  <c r="J238" i="10"/>
  <c r="J237" i="10"/>
  <c r="J236" i="10"/>
  <c r="J235" i="10"/>
  <c r="J234" i="10"/>
  <c r="J233" i="10"/>
  <c r="J232" i="10"/>
  <c r="J189" i="10"/>
  <c r="J188" i="10"/>
  <c r="J187" i="10"/>
  <c r="J186" i="10"/>
  <c r="J185" i="10"/>
  <c r="J184" i="10"/>
  <c r="J183" i="10"/>
  <c r="J182" i="10"/>
  <c r="J139" i="10"/>
  <c r="J138" i="10"/>
  <c r="J137" i="10"/>
  <c r="J136" i="10"/>
  <c r="J135" i="10"/>
  <c r="J134" i="10"/>
  <c r="J133" i="10"/>
  <c r="J132" i="10"/>
  <c r="J89" i="10"/>
  <c r="J88" i="10"/>
  <c r="J87" i="10"/>
  <c r="J86" i="10"/>
  <c r="J85" i="10"/>
  <c r="J84" i="10"/>
  <c r="J83" i="10"/>
  <c r="J82" i="10"/>
  <c r="J478" i="10"/>
  <c r="J477" i="10"/>
  <c r="J476" i="10"/>
  <c r="J428" i="10"/>
  <c r="J427" i="10"/>
  <c r="J426" i="10"/>
  <c r="J378" i="10"/>
  <c r="J377" i="10"/>
  <c r="J376" i="10"/>
  <c r="J328" i="10"/>
  <c r="J327" i="10"/>
  <c r="J326" i="10"/>
  <c r="J278" i="10"/>
  <c r="J277" i="10"/>
  <c r="J276" i="10"/>
  <c r="J228" i="10"/>
  <c r="J227" i="10"/>
  <c r="J226" i="10"/>
  <c r="J178" i="10"/>
  <c r="J177" i="10"/>
  <c r="J176" i="10"/>
  <c r="J128" i="10"/>
  <c r="J127" i="10"/>
  <c r="J126" i="10"/>
  <c r="J78" i="10"/>
  <c r="J77" i="10"/>
  <c r="J76" i="10"/>
  <c r="J39" i="10"/>
  <c r="J38" i="10"/>
  <c r="J37" i="10"/>
  <c r="J36" i="10"/>
  <c r="J35" i="10"/>
  <c r="J28" i="10"/>
  <c r="J34" i="10"/>
  <c r="J27" i="10"/>
  <c r="J33" i="10"/>
  <c r="R161" i="2" l="1"/>
  <c r="R164" i="2"/>
  <c r="R163" i="2"/>
  <c r="R162" i="2"/>
  <c r="J15" i="20" l="1"/>
  <c r="J12" i="20" s="1"/>
  <c r="J30" i="17"/>
  <c r="J27" i="17" s="1"/>
  <c r="K33" i="1" s="1"/>
  <c r="J15" i="17"/>
  <c r="J12" i="17" s="1"/>
  <c r="J33" i="1" s="1"/>
  <c r="Q152" i="2"/>
  <c r="R166" i="2"/>
  <c r="J32" i="1" l="1"/>
  <c r="J94" i="1"/>
  <c r="K32" i="1"/>
  <c r="K94" i="1"/>
  <c r="I46" i="1"/>
  <c r="I33" i="1"/>
  <c r="I94" i="1"/>
  <c r="I32" i="1"/>
  <c r="I65" i="1"/>
  <c r="K981" i="6"/>
  <c r="J981" i="6"/>
  <c r="K980" i="6"/>
  <c r="J980" i="6"/>
  <c r="J973" i="6"/>
  <c r="K969" i="6"/>
  <c r="J969" i="6"/>
  <c r="K968" i="6"/>
  <c r="J968" i="6"/>
  <c r="K967" i="6"/>
  <c r="J967" i="6"/>
  <c r="K966" i="6"/>
  <c r="J966" i="6"/>
  <c r="J965" i="6"/>
  <c r="K957" i="6"/>
  <c r="J957" i="6"/>
  <c r="E957" i="6"/>
  <c r="D957" i="6"/>
  <c r="K956" i="6"/>
  <c r="J956" i="6"/>
  <c r="E956" i="6"/>
  <c r="D956" i="6"/>
  <c r="K955" i="6"/>
  <c r="J955" i="6"/>
  <c r="E955" i="6"/>
  <c r="D955" i="6"/>
  <c r="K954" i="6"/>
  <c r="J954" i="6"/>
  <c r="E954" i="6"/>
  <c r="D954" i="6"/>
  <c r="J953" i="6"/>
  <c r="K951" i="6"/>
  <c r="J951" i="6"/>
  <c r="K950" i="6"/>
  <c r="J950" i="6"/>
  <c r="K949" i="6"/>
  <c r="J949" i="6"/>
  <c r="K948" i="6"/>
  <c r="J948" i="6"/>
  <c r="K947" i="6"/>
  <c r="J947" i="6"/>
  <c r="E947" i="6"/>
  <c r="D947" i="6"/>
  <c r="K946" i="6"/>
  <c r="J946" i="6"/>
  <c r="E946" i="6"/>
  <c r="D946" i="6"/>
  <c r="J945" i="6"/>
  <c r="K943" i="6"/>
  <c r="J943" i="6"/>
  <c r="K942" i="6"/>
  <c r="J942" i="6"/>
  <c r="K941" i="6"/>
  <c r="K940" i="6"/>
  <c r="D940" i="6"/>
  <c r="K939" i="6"/>
  <c r="D939" i="6"/>
  <c r="K938" i="6"/>
  <c r="J938" i="6"/>
  <c r="D938" i="6"/>
  <c r="J937" i="6"/>
  <c r="K933" i="6"/>
  <c r="J933" i="6"/>
  <c r="K932" i="6"/>
  <c r="J932" i="6"/>
  <c r="K931" i="6"/>
  <c r="J931" i="6"/>
  <c r="D931" i="6"/>
  <c r="K930" i="6"/>
  <c r="J930" i="6"/>
  <c r="D930" i="6"/>
  <c r="J929" i="6"/>
  <c r="J928" i="6"/>
  <c r="K926" i="6"/>
  <c r="J926" i="6"/>
  <c r="K925" i="6"/>
  <c r="J925" i="6"/>
  <c r="K924" i="6"/>
  <c r="J924" i="6"/>
  <c r="K923" i="6"/>
  <c r="J923" i="6"/>
  <c r="D923" i="6"/>
  <c r="K922" i="6"/>
  <c r="J922" i="6"/>
  <c r="D922" i="6"/>
  <c r="K921" i="6"/>
  <c r="J921" i="6"/>
  <c r="D921" i="6"/>
  <c r="J920" i="6"/>
  <c r="G916" i="6"/>
  <c r="K881" i="6"/>
  <c r="J881" i="6"/>
  <c r="K880" i="6"/>
  <c r="J880" i="6"/>
  <c r="J873" i="6"/>
  <c r="K869" i="6"/>
  <c r="J869" i="6"/>
  <c r="K868" i="6"/>
  <c r="J868" i="6"/>
  <c r="K867" i="6"/>
  <c r="J867" i="6"/>
  <c r="K866" i="6"/>
  <c r="J866" i="6"/>
  <c r="J865" i="6"/>
  <c r="K857" i="6"/>
  <c r="J857" i="6"/>
  <c r="E857" i="6"/>
  <c r="D857" i="6"/>
  <c r="K856" i="6"/>
  <c r="J856" i="6"/>
  <c r="E856" i="6"/>
  <c r="D856" i="6"/>
  <c r="K855" i="6"/>
  <c r="J855" i="6"/>
  <c r="E855" i="6"/>
  <c r="D855" i="6"/>
  <c r="K854" i="6"/>
  <c r="J854" i="6"/>
  <c r="E854" i="6"/>
  <c r="D854" i="6"/>
  <c r="J853" i="6"/>
  <c r="K851" i="6"/>
  <c r="J851" i="6"/>
  <c r="K850" i="6"/>
  <c r="J850" i="6"/>
  <c r="K849" i="6"/>
  <c r="J849" i="6"/>
  <c r="K848" i="6"/>
  <c r="J848" i="6"/>
  <c r="K847" i="6"/>
  <c r="J847" i="6"/>
  <c r="E847" i="6"/>
  <c r="D847" i="6"/>
  <c r="K846" i="6"/>
  <c r="J846" i="6"/>
  <c r="E846" i="6"/>
  <c r="D846" i="6"/>
  <c r="J845" i="6"/>
  <c r="K843" i="6"/>
  <c r="J843" i="6"/>
  <c r="K842" i="6"/>
  <c r="J842" i="6"/>
  <c r="K841" i="6"/>
  <c r="K840" i="6"/>
  <c r="D840" i="6"/>
  <c r="K839" i="6"/>
  <c r="D839" i="6"/>
  <c r="K838" i="6"/>
  <c r="J838" i="6"/>
  <c r="D838" i="6"/>
  <c r="J837" i="6"/>
  <c r="K833" i="6"/>
  <c r="J833" i="6"/>
  <c r="K832" i="6"/>
  <c r="J832" i="6"/>
  <c r="K831" i="6"/>
  <c r="J831" i="6"/>
  <c r="D831" i="6"/>
  <c r="K830" i="6"/>
  <c r="J830" i="6"/>
  <c r="D830" i="6"/>
  <c r="J829" i="6"/>
  <c r="J828" i="6"/>
  <c r="K826" i="6"/>
  <c r="J826" i="6"/>
  <c r="K825" i="6"/>
  <c r="J825" i="6"/>
  <c r="K824" i="6"/>
  <c r="J824" i="6"/>
  <c r="K823" i="6"/>
  <c r="J823" i="6"/>
  <c r="D823" i="6"/>
  <c r="K822" i="6"/>
  <c r="J822" i="6"/>
  <c r="D822" i="6"/>
  <c r="K821" i="6"/>
  <c r="J821" i="6"/>
  <c r="D821" i="6"/>
  <c r="J820" i="6"/>
  <c r="G816" i="6"/>
  <c r="K781" i="6"/>
  <c r="J781" i="6"/>
  <c r="K780" i="6"/>
  <c r="J780" i="6"/>
  <c r="J773" i="6"/>
  <c r="K769" i="6"/>
  <c r="J769" i="6"/>
  <c r="K768" i="6"/>
  <c r="J768" i="6"/>
  <c r="K767" i="6"/>
  <c r="J767" i="6"/>
  <c r="K766" i="6"/>
  <c r="J766" i="6"/>
  <c r="J765" i="6"/>
  <c r="K757" i="6"/>
  <c r="J757" i="6"/>
  <c r="E757" i="6"/>
  <c r="D757" i="6"/>
  <c r="K756" i="6"/>
  <c r="J756" i="6"/>
  <c r="E756" i="6"/>
  <c r="D756" i="6"/>
  <c r="K755" i="6"/>
  <c r="J755" i="6"/>
  <c r="E755" i="6"/>
  <c r="D755" i="6"/>
  <c r="K754" i="6"/>
  <c r="J754" i="6"/>
  <c r="E754" i="6"/>
  <c r="D754" i="6"/>
  <c r="J753" i="6"/>
  <c r="K751" i="6"/>
  <c r="J751" i="6"/>
  <c r="K750" i="6"/>
  <c r="J750" i="6"/>
  <c r="K749" i="6"/>
  <c r="J749" i="6"/>
  <c r="K748" i="6"/>
  <c r="J748" i="6"/>
  <c r="K747" i="6"/>
  <c r="J747" i="6"/>
  <c r="E747" i="6"/>
  <c r="D747" i="6"/>
  <c r="K746" i="6"/>
  <c r="J746" i="6"/>
  <c r="E746" i="6"/>
  <c r="D746" i="6"/>
  <c r="J745" i="6"/>
  <c r="K743" i="6"/>
  <c r="J743" i="6"/>
  <c r="K742" i="6"/>
  <c r="J742" i="6"/>
  <c r="K741" i="6"/>
  <c r="K740" i="6"/>
  <c r="D740" i="6"/>
  <c r="K739" i="6"/>
  <c r="D739" i="6"/>
  <c r="K738" i="6"/>
  <c r="J738" i="6"/>
  <c r="D738" i="6"/>
  <c r="J737" i="6"/>
  <c r="K733" i="6"/>
  <c r="J733" i="6"/>
  <c r="K732" i="6"/>
  <c r="J732" i="6"/>
  <c r="K731" i="6"/>
  <c r="J731" i="6"/>
  <c r="D731" i="6"/>
  <c r="K730" i="6"/>
  <c r="J730" i="6"/>
  <c r="D730" i="6"/>
  <c r="J729" i="6"/>
  <c r="J728" i="6"/>
  <c r="K726" i="6"/>
  <c r="J726" i="6"/>
  <c r="K725" i="6"/>
  <c r="J725" i="6"/>
  <c r="K724" i="6"/>
  <c r="J724" i="6"/>
  <c r="K723" i="6"/>
  <c r="J723" i="6"/>
  <c r="D723" i="6"/>
  <c r="K722" i="6"/>
  <c r="J722" i="6"/>
  <c r="D722" i="6"/>
  <c r="K721" i="6"/>
  <c r="J721" i="6"/>
  <c r="D721" i="6"/>
  <c r="J720" i="6"/>
  <c r="G716" i="6"/>
  <c r="K681" i="6"/>
  <c r="J681" i="6"/>
  <c r="K680" i="6"/>
  <c r="J680" i="6"/>
  <c r="J673" i="6"/>
  <c r="K669" i="6"/>
  <c r="J669" i="6"/>
  <c r="K668" i="6"/>
  <c r="J668" i="6"/>
  <c r="K667" i="6"/>
  <c r="J667" i="6"/>
  <c r="K666" i="6"/>
  <c r="J666" i="6"/>
  <c r="J665" i="6"/>
  <c r="K657" i="6"/>
  <c r="J657" i="6"/>
  <c r="E657" i="6"/>
  <c r="D657" i="6"/>
  <c r="K656" i="6"/>
  <c r="J656" i="6"/>
  <c r="E656" i="6"/>
  <c r="D656" i="6"/>
  <c r="K655" i="6"/>
  <c r="J655" i="6"/>
  <c r="E655" i="6"/>
  <c r="D655" i="6"/>
  <c r="K654" i="6"/>
  <c r="J654" i="6"/>
  <c r="E654" i="6"/>
  <c r="D654" i="6"/>
  <c r="J653" i="6"/>
  <c r="K651" i="6"/>
  <c r="J651" i="6"/>
  <c r="K650" i="6"/>
  <c r="J650" i="6"/>
  <c r="K649" i="6"/>
  <c r="J649" i="6"/>
  <c r="K648" i="6"/>
  <c r="J648" i="6"/>
  <c r="K647" i="6"/>
  <c r="J647" i="6"/>
  <c r="E647" i="6"/>
  <c r="D647" i="6"/>
  <c r="K646" i="6"/>
  <c r="J646" i="6"/>
  <c r="E646" i="6"/>
  <c r="D646" i="6"/>
  <c r="J645" i="6"/>
  <c r="K643" i="6"/>
  <c r="J643" i="6"/>
  <c r="K642" i="6"/>
  <c r="J642" i="6"/>
  <c r="K641" i="6"/>
  <c r="K640" i="6"/>
  <c r="D640" i="6"/>
  <c r="K639" i="6"/>
  <c r="D639" i="6"/>
  <c r="K638" i="6"/>
  <c r="J638" i="6"/>
  <c r="D638" i="6"/>
  <c r="J637" i="6"/>
  <c r="K633" i="6"/>
  <c r="J633" i="6"/>
  <c r="K632" i="6"/>
  <c r="J632" i="6"/>
  <c r="K631" i="6"/>
  <c r="J631" i="6"/>
  <c r="D631" i="6"/>
  <c r="K630" i="6"/>
  <c r="J630" i="6"/>
  <c r="D630" i="6"/>
  <c r="J629" i="6"/>
  <c r="J628" i="6"/>
  <c r="K626" i="6"/>
  <c r="J626" i="6"/>
  <c r="K625" i="6"/>
  <c r="J625" i="6"/>
  <c r="K624" i="6"/>
  <c r="J624" i="6"/>
  <c r="K623" i="6"/>
  <c r="J623" i="6"/>
  <c r="D623" i="6"/>
  <c r="K622" i="6"/>
  <c r="J622" i="6"/>
  <c r="D622" i="6"/>
  <c r="K621" i="6"/>
  <c r="J621" i="6"/>
  <c r="D621" i="6"/>
  <c r="J620" i="6"/>
  <c r="G616" i="6"/>
  <c r="K581" i="6"/>
  <c r="J581" i="6"/>
  <c r="K580" i="6"/>
  <c r="J580" i="6"/>
  <c r="J573" i="6"/>
  <c r="K569" i="6"/>
  <c r="J569" i="6"/>
  <c r="K568" i="6"/>
  <c r="J568" i="6"/>
  <c r="K567" i="6"/>
  <c r="J567" i="6"/>
  <c r="K566" i="6"/>
  <c r="J566" i="6"/>
  <c r="J565" i="6"/>
  <c r="K557" i="6"/>
  <c r="J557" i="6"/>
  <c r="E557" i="6"/>
  <c r="D557" i="6"/>
  <c r="K556" i="6"/>
  <c r="J556" i="6"/>
  <c r="E556" i="6"/>
  <c r="D556" i="6"/>
  <c r="K555" i="6"/>
  <c r="J555" i="6"/>
  <c r="E555" i="6"/>
  <c r="D555" i="6"/>
  <c r="K554" i="6"/>
  <c r="J554" i="6"/>
  <c r="E554" i="6"/>
  <c r="D554" i="6"/>
  <c r="J553" i="6"/>
  <c r="K551" i="6"/>
  <c r="J551" i="6"/>
  <c r="K550" i="6"/>
  <c r="J550" i="6"/>
  <c r="K549" i="6"/>
  <c r="J549" i="6"/>
  <c r="K548" i="6"/>
  <c r="J548" i="6"/>
  <c r="K547" i="6"/>
  <c r="J547" i="6"/>
  <c r="E547" i="6"/>
  <c r="D547" i="6"/>
  <c r="K546" i="6"/>
  <c r="J546" i="6"/>
  <c r="E546" i="6"/>
  <c r="D546" i="6"/>
  <c r="J545" i="6"/>
  <c r="K543" i="6"/>
  <c r="J543" i="6"/>
  <c r="K542" i="6"/>
  <c r="J542" i="6"/>
  <c r="K541" i="6"/>
  <c r="K540" i="6"/>
  <c r="D540" i="6"/>
  <c r="K539" i="6"/>
  <c r="D539" i="6"/>
  <c r="K538" i="6"/>
  <c r="J538" i="6"/>
  <c r="D538" i="6"/>
  <c r="J537" i="6"/>
  <c r="K533" i="6"/>
  <c r="J533" i="6"/>
  <c r="K532" i="6"/>
  <c r="J532" i="6"/>
  <c r="K531" i="6"/>
  <c r="J531" i="6"/>
  <c r="D531" i="6"/>
  <c r="K530" i="6"/>
  <c r="J530" i="6"/>
  <c r="D530" i="6"/>
  <c r="J529" i="6"/>
  <c r="J528" i="6"/>
  <c r="K526" i="6"/>
  <c r="J526" i="6"/>
  <c r="K525" i="6"/>
  <c r="J525" i="6"/>
  <c r="K524" i="6"/>
  <c r="J524" i="6"/>
  <c r="K523" i="6"/>
  <c r="J523" i="6"/>
  <c r="D523" i="6"/>
  <c r="K522" i="6"/>
  <c r="J522" i="6"/>
  <c r="D522" i="6"/>
  <c r="K521" i="6"/>
  <c r="J521" i="6"/>
  <c r="D521" i="6"/>
  <c r="J520" i="6"/>
  <c r="G516" i="6"/>
  <c r="K481" i="6"/>
  <c r="J481" i="6"/>
  <c r="K480" i="6"/>
  <c r="J480" i="6"/>
  <c r="J473" i="6"/>
  <c r="K469" i="6"/>
  <c r="J469" i="6"/>
  <c r="K468" i="6"/>
  <c r="J468" i="6"/>
  <c r="K467" i="6"/>
  <c r="J467" i="6"/>
  <c r="K466" i="6"/>
  <c r="J466" i="6"/>
  <c r="J465" i="6"/>
  <c r="K457" i="6"/>
  <c r="J457" i="6"/>
  <c r="E457" i="6"/>
  <c r="D457" i="6"/>
  <c r="K456" i="6"/>
  <c r="J456" i="6"/>
  <c r="E456" i="6"/>
  <c r="D456" i="6"/>
  <c r="K455" i="6"/>
  <c r="J455" i="6"/>
  <c r="E455" i="6"/>
  <c r="D455" i="6"/>
  <c r="K454" i="6"/>
  <c r="J454" i="6"/>
  <c r="E454" i="6"/>
  <c r="D454" i="6"/>
  <c r="J453" i="6"/>
  <c r="K451" i="6"/>
  <c r="J451" i="6"/>
  <c r="K450" i="6"/>
  <c r="J450" i="6"/>
  <c r="K449" i="6"/>
  <c r="J449" i="6"/>
  <c r="K448" i="6"/>
  <c r="J448" i="6"/>
  <c r="K447" i="6"/>
  <c r="J447" i="6"/>
  <c r="E447" i="6"/>
  <c r="D447" i="6"/>
  <c r="K446" i="6"/>
  <c r="J446" i="6"/>
  <c r="E446" i="6"/>
  <c r="D446" i="6"/>
  <c r="J445" i="6"/>
  <c r="K443" i="6"/>
  <c r="J443" i="6"/>
  <c r="K442" i="6"/>
  <c r="J442" i="6"/>
  <c r="K441" i="6"/>
  <c r="K440" i="6"/>
  <c r="D440" i="6"/>
  <c r="K439" i="6"/>
  <c r="D439" i="6"/>
  <c r="K438" i="6"/>
  <c r="J438" i="6"/>
  <c r="D438" i="6"/>
  <c r="J437" i="6"/>
  <c r="K433" i="6"/>
  <c r="J433" i="6"/>
  <c r="K432" i="6"/>
  <c r="J432" i="6"/>
  <c r="K431" i="6"/>
  <c r="J431" i="6"/>
  <c r="D431" i="6"/>
  <c r="K430" i="6"/>
  <c r="J430" i="6"/>
  <c r="D430" i="6"/>
  <c r="J429" i="6"/>
  <c r="J428" i="6"/>
  <c r="K426" i="6"/>
  <c r="J426" i="6"/>
  <c r="K425" i="6"/>
  <c r="J425" i="6"/>
  <c r="K424" i="6"/>
  <c r="J424" i="6"/>
  <c r="K423" i="6"/>
  <c r="J423" i="6"/>
  <c r="D423" i="6"/>
  <c r="K422" i="6"/>
  <c r="J422" i="6"/>
  <c r="D422" i="6"/>
  <c r="K421" i="6"/>
  <c r="J421" i="6"/>
  <c r="D421" i="6"/>
  <c r="J420" i="6"/>
  <c r="G416" i="6"/>
  <c r="K381" i="6"/>
  <c r="J381" i="6"/>
  <c r="K380" i="6"/>
  <c r="J380" i="6"/>
  <c r="J373" i="6"/>
  <c r="K369" i="6"/>
  <c r="J369" i="6"/>
  <c r="K368" i="6"/>
  <c r="J368" i="6"/>
  <c r="K367" i="6"/>
  <c r="J367" i="6"/>
  <c r="K366" i="6"/>
  <c r="J366" i="6"/>
  <c r="J365" i="6"/>
  <c r="K357" i="6"/>
  <c r="J357" i="6"/>
  <c r="E357" i="6"/>
  <c r="D357" i="6"/>
  <c r="K356" i="6"/>
  <c r="J356" i="6"/>
  <c r="E356" i="6"/>
  <c r="D356" i="6"/>
  <c r="K355" i="6"/>
  <c r="J355" i="6"/>
  <c r="E355" i="6"/>
  <c r="D355" i="6"/>
  <c r="K354" i="6"/>
  <c r="J354" i="6"/>
  <c r="E354" i="6"/>
  <c r="D354" i="6"/>
  <c r="J353" i="6"/>
  <c r="K351" i="6"/>
  <c r="J351" i="6"/>
  <c r="K350" i="6"/>
  <c r="J350" i="6"/>
  <c r="K349" i="6"/>
  <c r="J349" i="6"/>
  <c r="K348" i="6"/>
  <c r="J348" i="6"/>
  <c r="K347" i="6"/>
  <c r="J347" i="6"/>
  <c r="E347" i="6"/>
  <c r="D347" i="6"/>
  <c r="K346" i="6"/>
  <c r="J346" i="6"/>
  <c r="E346" i="6"/>
  <c r="D346" i="6"/>
  <c r="J345" i="6"/>
  <c r="K343" i="6"/>
  <c r="J343" i="6"/>
  <c r="K342" i="6"/>
  <c r="J342" i="6"/>
  <c r="K341" i="6"/>
  <c r="K340" i="6"/>
  <c r="D340" i="6"/>
  <c r="K339" i="6"/>
  <c r="D339" i="6"/>
  <c r="K338" i="6"/>
  <c r="J338" i="6"/>
  <c r="D338" i="6"/>
  <c r="J337" i="6"/>
  <c r="K333" i="6"/>
  <c r="J333" i="6"/>
  <c r="K332" i="6"/>
  <c r="J332" i="6"/>
  <c r="K331" i="6"/>
  <c r="J331" i="6"/>
  <c r="D331" i="6"/>
  <c r="K330" i="6"/>
  <c r="J330" i="6"/>
  <c r="D330" i="6"/>
  <c r="J329" i="6"/>
  <c r="J328" i="6"/>
  <c r="K326" i="6"/>
  <c r="J326" i="6"/>
  <c r="K325" i="6"/>
  <c r="J325" i="6"/>
  <c r="K324" i="6"/>
  <c r="J324" i="6"/>
  <c r="K323" i="6"/>
  <c r="J323" i="6"/>
  <c r="D323" i="6"/>
  <c r="K322" i="6"/>
  <c r="J322" i="6"/>
  <c r="D322" i="6"/>
  <c r="K321" i="6"/>
  <c r="J321" i="6"/>
  <c r="D321" i="6"/>
  <c r="J320" i="6"/>
  <c r="G316" i="6"/>
  <c r="K281" i="6"/>
  <c r="J281" i="6"/>
  <c r="K280" i="6"/>
  <c r="J280" i="6"/>
  <c r="J273" i="6"/>
  <c r="K269" i="6"/>
  <c r="J269" i="6"/>
  <c r="K268" i="6"/>
  <c r="J268" i="6"/>
  <c r="K267" i="6"/>
  <c r="J267" i="6"/>
  <c r="K266" i="6"/>
  <c r="J266" i="6"/>
  <c r="J265" i="6"/>
  <c r="K257" i="6"/>
  <c r="J257" i="6"/>
  <c r="E257" i="6"/>
  <c r="D257" i="6"/>
  <c r="K256" i="6"/>
  <c r="J256" i="6"/>
  <c r="E256" i="6"/>
  <c r="D256" i="6"/>
  <c r="K255" i="6"/>
  <c r="J255" i="6"/>
  <c r="E255" i="6"/>
  <c r="D255" i="6"/>
  <c r="K254" i="6"/>
  <c r="J254" i="6"/>
  <c r="E254" i="6"/>
  <c r="D254" i="6"/>
  <c r="J253" i="6"/>
  <c r="K251" i="6"/>
  <c r="J251" i="6"/>
  <c r="K250" i="6"/>
  <c r="J250" i="6"/>
  <c r="K249" i="6"/>
  <c r="J249" i="6"/>
  <c r="K248" i="6"/>
  <c r="J248" i="6"/>
  <c r="K247" i="6"/>
  <c r="J247" i="6"/>
  <c r="E247" i="6"/>
  <c r="D247" i="6"/>
  <c r="K246" i="6"/>
  <c r="J246" i="6"/>
  <c r="E246" i="6"/>
  <c r="D246" i="6"/>
  <c r="J245" i="6"/>
  <c r="K243" i="6"/>
  <c r="J243" i="6"/>
  <c r="K242" i="6"/>
  <c r="J242" i="6"/>
  <c r="K241" i="6"/>
  <c r="K240" i="6"/>
  <c r="D240" i="6"/>
  <c r="K239" i="6"/>
  <c r="D239" i="6"/>
  <c r="K238" i="6"/>
  <c r="J238" i="6"/>
  <c r="D238" i="6"/>
  <c r="J237" i="6"/>
  <c r="K233" i="6"/>
  <c r="J233" i="6"/>
  <c r="K232" i="6"/>
  <c r="J232" i="6"/>
  <c r="K231" i="6"/>
  <c r="J231" i="6"/>
  <c r="D231" i="6"/>
  <c r="K230" i="6"/>
  <c r="J230" i="6"/>
  <c r="D230" i="6"/>
  <c r="J229" i="6"/>
  <c r="J228" i="6"/>
  <c r="K226" i="6"/>
  <c r="J226" i="6"/>
  <c r="K225" i="6"/>
  <c r="J225" i="6"/>
  <c r="K224" i="6"/>
  <c r="J224" i="6"/>
  <c r="K223" i="6"/>
  <c r="J223" i="6"/>
  <c r="D223" i="6"/>
  <c r="K222" i="6"/>
  <c r="J222" i="6"/>
  <c r="D222" i="6"/>
  <c r="J221" i="6"/>
  <c r="D221" i="6"/>
  <c r="J220" i="6"/>
  <c r="G216" i="6"/>
  <c r="K181" i="6"/>
  <c r="J181" i="6"/>
  <c r="K180" i="6"/>
  <c r="J180" i="6"/>
  <c r="J173" i="6"/>
  <c r="K169" i="6"/>
  <c r="J169" i="6"/>
  <c r="K168" i="6"/>
  <c r="J168" i="6"/>
  <c r="K167" i="6"/>
  <c r="J167" i="6"/>
  <c r="K166" i="6"/>
  <c r="J166" i="6"/>
  <c r="J165" i="6"/>
  <c r="K157" i="6"/>
  <c r="J157" i="6"/>
  <c r="E157" i="6"/>
  <c r="D157" i="6"/>
  <c r="K156" i="6"/>
  <c r="J156" i="6"/>
  <c r="E156" i="6"/>
  <c r="D156" i="6"/>
  <c r="K155" i="6"/>
  <c r="J155" i="6"/>
  <c r="E155" i="6"/>
  <c r="D155" i="6"/>
  <c r="K154" i="6"/>
  <c r="J154" i="6"/>
  <c r="J153" i="6"/>
  <c r="K151" i="6"/>
  <c r="J151" i="6"/>
  <c r="K150" i="6"/>
  <c r="J150" i="6"/>
  <c r="K149" i="6"/>
  <c r="J149" i="6"/>
  <c r="K148" i="6"/>
  <c r="J148" i="6"/>
  <c r="K147" i="6"/>
  <c r="J147" i="6"/>
  <c r="E147" i="6"/>
  <c r="D147" i="6"/>
  <c r="K146" i="6"/>
  <c r="J146" i="6"/>
  <c r="E146" i="6"/>
  <c r="D146" i="6"/>
  <c r="J145" i="6"/>
  <c r="K143" i="6"/>
  <c r="J143" i="6"/>
  <c r="K142" i="6"/>
  <c r="J142" i="6"/>
  <c r="K141" i="6"/>
  <c r="K140" i="6"/>
  <c r="D140" i="6"/>
  <c r="K139" i="6"/>
  <c r="D139" i="6"/>
  <c r="K138" i="6"/>
  <c r="J138" i="6"/>
  <c r="D138" i="6"/>
  <c r="J137" i="6"/>
  <c r="K133" i="6"/>
  <c r="J133" i="6"/>
  <c r="K132" i="6"/>
  <c r="J132" i="6"/>
  <c r="K131" i="6"/>
  <c r="J131" i="6"/>
  <c r="D131" i="6"/>
  <c r="K130" i="6"/>
  <c r="J130" i="6"/>
  <c r="D130" i="6"/>
  <c r="J129" i="6"/>
  <c r="J128" i="6"/>
  <c r="K126" i="6"/>
  <c r="J126" i="6"/>
  <c r="K125" i="6"/>
  <c r="J125" i="6"/>
  <c r="K124" i="6"/>
  <c r="J124" i="6"/>
  <c r="K123" i="6"/>
  <c r="J123" i="6"/>
  <c r="D123" i="6"/>
  <c r="K122" i="6"/>
  <c r="J122" i="6"/>
  <c r="D122" i="6"/>
  <c r="J121" i="6"/>
  <c r="D121" i="6"/>
  <c r="J120" i="6"/>
  <c r="G116" i="6"/>
  <c r="K49" i="6"/>
  <c r="K41" i="6"/>
  <c r="K31" i="6"/>
  <c r="K30" i="6"/>
  <c r="K24" i="6"/>
  <c r="D261" i="6" l="1"/>
  <c r="D661" i="6"/>
  <c r="D561" i="6"/>
  <c r="D161" i="6"/>
  <c r="D361" i="6"/>
  <c r="D761" i="6"/>
  <c r="D861" i="6"/>
  <c r="D461" i="6"/>
  <c r="D961" i="6"/>
  <c r="B808" i="6"/>
  <c r="D22" i="6"/>
  <c r="D23" i="6"/>
  <c r="J29" i="6"/>
  <c r="J30" i="6"/>
  <c r="J31" i="6"/>
  <c r="J32" i="6"/>
  <c r="J33" i="6"/>
  <c r="J28" i="6"/>
  <c r="D30" i="6"/>
  <c r="D31" i="6"/>
  <c r="K81" i="6" l="1"/>
  <c r="K80" i="6"/>
  <c r="K69" i="6"/>
  <c r="K68" i="6"/>
  <c r="K67" i="6"/>
  <c r="K66" i="6"/>
  <c r="K57" i="6"/>
  <c r="K56" i="6"/>
  <c r="K55" i="6"/>
  <c r="K54" i="6"/>
  <c r="K51" i="6"/>
  <c r="K50" i="6"/>
  <c r="K48" i="6"/>
  <c r="K47" i="6"/>
  <c r="K46" i="6"/>
  <c r="K43" i="6"/>
  <c r="K42" i="6"/>
  <c r="K40" i="6"/>
  <c r="K39" i="6"/>
  <c r="K38" i="6"/>
  <c r="K26" i="6"/>
  <c r="K25" i="6"/>
  <c r="K23" i="6"/>
  <c r="K22" i="6"/>
  <c r="K21" i="6"/>
  <c r="J13" i="4" l="1"/>
  <c r="J14" i="4"/>
  <c r="J15" i="4"/>
  <c r="J16" i="4"/>
  <c r="J17" i="4"/>
  <c r="J18" i="4"/>
  <c r="J19" i="4"/>
  <c r="J20" i="4"/>
  <c r="J12" i="4"/>
  <c r="B458" i="7" l="1"/>
  <c r="B408" i="7"/>
  <c r="B358" i="7"/>
  <c r="B308" i="7"/>
  <c r="B258" i="7"/>
  <c r="B208" i="7"/>
  <c r="B158" i="7"/>
  <c r="B108" i="7"/>
  <c r="B58" i="7"/>
  <c r="B8" i="7"/>
  <c r="B458" i="9"/>
  <c r="B408" i="9"/>
  <c r="B358" i="9"/>
  <c r="B308" i="9"/>
  <c r="B258" i="9"/>
  <c r="B208" i="9"/>
  <c r="B158" i="9"/>
  <c r="B108" i="9"/>
  <c r="B58" i="9"/>
  <c r="B8" i="9"/>
  <c r="B908" i="6"/>
  <c r="B708" i="6"/>
  <c r="B608" i="6"/>
  <c r="B508" i="6"/>
  <c r="B408" i="6"/>
  <c r="B308" i="6"/>
  <c r="B208" i="6"/>
  <c r="B108" i="6"/>
  <c r="D473" i="7" l="1"/>
  <c r="D423" i="7"/>
  <c r="D373" i="7"/>
  <c r="D323" i="7"/>
  <c r="D273" i="7"/>
  <c r="D223" i="7"/>
  <c r="D173" i="7"/>
  <c r="D123" i="7"/>
  <c r="D73" i="7"/>
  <c r="D23" i="7"/>
  <c r="E23" i="7" s="1"/>
  <c r="J20" i="7" s="1"/>
  <c r="J15" i="7" s="1"/>
  <c r="D461" i="7"/>
  <c r="D461" i="10"/>
  <c r="D461" i="9"/>
  <c r="D411" i="7"/>
  <c r="D411" i="10"/>
  <c r="D411" i="9"/>
  <c r="D361" i="7"/>
  <c r="D361" i="10"/>
  <c r="D361" i="9"/>
  <c r="D311" i="7"/>
  <c r="D311" i="10"/>
  <c r="D311" i="9"/>
  <c r="D261" i="7"/>
  <c r="D261" i="10"/>
  <c r="D261" i="9"/>
  <c r="D211" i="7"/>
  <c r="D211" i="10"/>
  <c r="D211" i="9"/>
  <c r="D161" i="7"/>
  <c r="D161" i="10"/>
  <c r="D161" i="9"/>
  <c r="D111" i="7"/>
  <c r="D111" i="10"/>
  <c r="D111" i="9"/>
  <c r="D61" i="7"/>
  <c r="D61" i="10"/>
  <c r="D911" i="6"/>
  <c r="F917" i="6" s="1"/>
  <c r="D811" i="6"/>
  <c r="F817" i="6" s="1"/>
  <c r="D711" i="6"/>
  <c r="F717" i="6" s="1"/>
  <c r="D611" i="6"/>
  <c r="F617" i="6" s="1"/>
  <c r="D511" i="6"/>
  <c r="F517" i="6" s="1"/>
  <c r="D411" i="6"/>
  <c r="F417" i="6" s="1"/>
  <c r="D311" i="6"/>
  <c r="F317" i="6" s="1"/>
  <c r="D211" i="6"/>
  <c r="F217" i="6" s="1"/>
  <c r="D61" i="9"/>
  <c r="D111" i="6"/>
  <c r="F117" i="6" s="1"/>
  <c r="D11" i="7"/>
  <c r="D11" i="10"/>
  <c r="D11" i="9"/>
  <c r="D11" i="6"/>
  <c r="K961" i="6" l="1"/>
  <c r="K261" i="6"/>
  <c r="K161" i="6"/>
  <c r="K861" i="6"/>
  <c r="K878" i="6"/>
  <c r="K879" i="6"/>
  <c r="K761" i="6"/>
  <c r="K779" i="6"/>
  <c r="K778" i="6"/>
  <c r="K661" i="6"/>
  <c r="K678" i="6"/>
  <c r="K679" i="6"/>
  <c r="K561" i="6"/>
  <c r="K579" i="6"/>
  <c r="K578" i="6"/>
  <c r="K461" i="6"/>
  <c r="K479" i="6"/>
  <c r="K478" i="6"/>
  <c r="K361" i="6"/>
  <c r="K378" i="6"/>
  <c r="K379" i="6"/>
  <c r="K935" i="6" a="1"/>
  <c r="K935" i="6" s="1"/>
  <c r="K835" i="6" a="1"/>
  <c r="K835" i="6" s="1"/>
  <c r="K735" i="6" a="1"/>
  <c r="K735" i="6" s="1"/>
  <c r="K635" i="6" a="1"/>
  <c r="K635" i="6" s="1"/>
  <c r="K535" i="6" a="1"/>
  <c r="K535" i="6" s="1"/>
  <c r="K435" i="6" a="1"/>
  <c r="K435" i="6" s="1"/>
  <c r="K335" i="6" a="1"/>
  <c r="K335" i="6" s="1"/>
  <c r="K235" i="6" a="1"/>
  <c r="K235" i="6" s="1"/>
  <c r="K135" i="6" a="1"/>
  <c r="K135" i="6" s="1"/>
  <c r="K329" i="6"/>
  <c r="K129" i="6"/>
  <c r="K179" i="6"/>
  <c r="K178" i="6"/>
  <c r="K278" i="6"/>
  <c r="K279" i="6"/>
  <c r="K729" i="6"/>
  <c r="K753" i="6"/>
  <c r="K829" i="6"/>
  <c r="K853" i="6"/>
  <c r="K929" i="6"/>
  <c r="K920" i="6"/>
  <c r="K978" i="6"/>
  <c r="K979" i="6"/>
  <c r="K953" i="6"/>
  <c r="K429" i="6"/>
  <c r="K453" i="6"/>
  <c r="K629" i="6"/>
  <c r="K653" i="6"/>
  <c r="K529" i="6"/>
  <c r="K553" i="6"/>
  <c r="K229" i="6"/>
  <c r="K253" i="6"/>
  <c r="D18" i="19"/>
  <c r="D18" i="18"/>
  <c r="D19" i="19"/>
  <c r="D19" i="18"/>
  <c r="K121" i="6"/>
  <c r="D13" i="18"/>
  <c r="D13" i="19"/>
  <c r="D20" i="18"/>
  <c r="D20" i="19"/>
  <c r="D21" i="19"/>
  <c r="D21" i="18"/>
  <c r="K221" i="6"/>
  <c r="D14" i="19"/>
  <c r="D14" i="18"/>
  <c r="D15" i="19"/>
  <c r="D15" i="18"/>
  <c r="K428" i="6"/>
  <c r="D16" i="18"/>
  <c r="D16" i="19"/>
  <c r="D17" i="19"/>
  <c r="D17" i="18"/>
  <c r="K328" i="6"/>
  <c r="K353" i="6"/>
  <c r="K973" i="6"/>
  <c r="K945" i="6"/>
  <c r="K965" i="6"/>
  <c r="K928" i="6"/>
  <c r="K937" i="6"/>
  <c r="K573" i="6"/>
  <c r="K545" i="6"/>
  <c r="K537" i="6"/>
  <c r="K520" i="6"/>
  <c r="K565" i="6"/>
  <c r="K528" i="6"/>
  <c r="K765" i="6"/>
  <c r="K728" i="6"/>
  <c r="K773" i="6"/>
  <c r="K745" i="6"/>
  <c r="K737" i="6"/>
  <c r="K720" i="6"/>
  <c r="K620" i="6"/>
  <c r="K645" i="6"/>
  <c r="K665" i="6"/>
  <c r="K628" i="6"/>
  <c r="K673" i="6"/>
  <c r="K637" i="6"/>
  <c r="K828" i="6"/>
  <c r="K873" i="6"/>
  <c r="K845" i="6"/>
  <c r="K837" i="6"/>
  <c r="K820" i="6"/>
  <c r="K865" i="6"/>
  <c r="K128" i="6"/>
  <c r="K120" i="6"/>
  <c r="K153" i="6"/>
  <c r="K145" i="6"/>
  <c r="K173" i="6"/>
  <c r="K165" i="6"/>
  <c r="K137" i="6"/>
  <c r="K273" i="6"/>
  <c r="K265" i="6"/>
  <c r="K237" i="6"/>
  <c r="K228" i="6"/>
  <c r="K220" i="6"/>
  <c r="K245" i="6"/>
  <c r="K373" i="6"/>
  <c r="K345" i="6"/>
  <c r="K320" i="6"/>
  <c r="K365" i="6"/>
  <c r="K337" i="6"/>
  <c r="K473" i="6"/>
  <c r="K465" i="6"/>
  <c r="K445" i="6"/>
  <c r="K420" i="6"/>
  <c r="K437" i="6"/>
  <c r="J21" i="10"/>
  <c r="G16" i="6"/>
  <c r="K815" i="6" l="1"/>
  <c r="K915" i="6"/>
  <c r="K615" i="6"/>
  <c r="K715" i="6"/>
  <c r="K515" i="6"/>
  <c r="K315" i="6"/>
  <c r="K215" i="6"/>
  <c r="K115" i="6"/>
  <c r="K415" i="6"/>
  <c r="J471" i="10"/>
  <c r="J466" i="10" s="1"/>
  <c r="J421" i="10"/>
  <c r="J416" i="10" s="1"/>
  <c r="J371" i="10"/>
  <c r="J366" i="10" s="1"/>
  <c r="J321" i="10"/>
  <c r="J316" i="10" s="1"/>
  <c r="J271" i="10"/>
  <c r="J266" i="10" s="1"/>
  <c r="J221" i="10"/>
  <c r="J216" i="10" s="1"/>
  <c r="J171" i="10"/>
  <c r="J166" i="10" s="1"/>
  <c r="J121" i="10"/>
  <c r="J116" i="10" s="1"/>
  <c r="J71" i="10"/>
  <c r="J66" i="10" s="1"/>
  <c r="D16" i="2" l="1"/>
  <c r="F16" i="2" l="1"/>
  <c r="I489" i="10"/>
  <c r="I488" i="10"/>
  <c r="I487" i="10"/>
  <c r="I486" i="10"/>
  <c r="I485" i="10"/>
  <c r="I484" i="10"/>
  <c r="I483" i="10"/>
  <c r="I482" i="10"/>
  <c r="I478" i="10"/>
  <c r="I477" i="10"/>
  <c r="I476" i="10"/>
  <c r="I475" i="10"/>
  <c r="I439" i="10"/>
  <c r="I438" i="10"/>
  <c r="I437" i="10"/>
  <c r="I436" i="10"/>
  <c r="I435" i="10"/>
  <c r="I434" i="10"/>
  <c r="I433" i="10"/>
  <c r="I432" i="10"/>
  <c r="I428" i="10"/>
  <c r="I427" i="10"/>
  <c r="I426" i="10"/>
  <c r="I425" i="10"/>
  <c r="I389" i="10"/>
  <c r="I388" i="10"/>
  <c r="I387" i="10"/>
  <c r="I386" i="10"/>
  <c r="I385" i="10"/>
  <c r="I384" i="10"/>
  <c r="I383" i="10"/>
  <c r="I382" i="10"/>
  <c r="I378" i="10"/>
  <c r="I377" i="10"/>
  <c r="I376" i="10"/>
  <c r="I375" i="10"/>
  <c r="I339" i="10"/>
  <c r="I338" i="10"/>
  <c r="I337" i="10"/>
  <c r="I336" i="10"/>
  <c r="I335" i="10"/>
  <c r="I334" i="10"/>
  <c r="I333" i="10"/>
  <c r="I332" i="10"/>
  <c r="I328" i="10"/>
  <c r="I327" i="10"/>
  <c r="I326" i="10"/>
  <c r="I325" i="10"/>
  <c r="I289" i="10"/>
  <c r="I288" i="10"/>
  <c r="I287" i="10"/>
  <c r="I286" i="10"/>
  <c r="I285" i="10"/>
  <c r="I284" i="10"/>
  <c r="I283" i="10"/>
  <c r="I282" i="10"/>
  <c r="I278" i="10"/>
  <c r="I277" i="10"/>
  <c r="I276" i="10"/>
  <c r="I275" i="10"/>
  <c r="I239" i="10"/>
  <c r="I238" i="10"/>
  <c r="I237" i="10"/>
  <c r="I236" i="10"/>
  <c r="I235" i="10"/>
  <c r="I234" i="10"/>
  <c r="I233" i="10"/>
  <c r="I232" i="10"/>
  <c r="I228" i="10"/>
  <c r="I227" i="10"/>
  <c r="I226" i="10"/>
  <c r="I225" i="10"/>
  <c r="I189" i="10"/>
  <c r="I188" i="10"/>
  <c r="I187" i="10"/>
  <c r="I186" i="10"/>
  <c r="I185" i="10"/>
  <c r="I184" i="10"/>
  <c r="I183" i="10"/>
  <c r="I182" i="10"/>
  <c r="I178" i="10"/>
  <c r="I177" i="10"/>
  <c r="I176" i="10"/>
  <c r="I175" i="10"/>
  <c r="I139" i="10"/>
  <c r="I138" i="10"/>
  <c r="I137" i="10"/>
  <c r="I136" i="10"/>
  <c r="I135" i="10"/>
  <c r="I134" i="10"/>
  <c r="I133" i="10"/>
  <c r="I132" i="10"/>
  <c r="I128" i="10"/>
  <c r="I127" i="10"/>
  <c r="I126" i="10"/>
  <c r="I125" i="10"/>
  <c r="I89" i="10"/>
  <c r="I88" i="10"/>
  <c r="I87" i="10"/>
  <c r="I86" i="10"/>
  <c r="I85" i="10"/>
  <c r="I84" i="10"/>
  <c r="I83" i="10"/>
  <c r="I82" i="10"/>
  <c r="I78" i="10"/>
  <c r="I77" i="10"/>
  <c r="I76" i="10"/>
  <c r="I75" i="10"/>
  <c r="C477" i="7"/>
  <c r="E473" i="7"/>
  <c r="J470" i="7" s="1"/>
  <c r="J465" i="7" s="1"/>
  <c r="F469" i="7"/>
  <c r="C427" i="7"/>
  <c r="E423" i="7"/>
  <c r="J420" i="7" s="1"/>
  <c r="J415" i="7" s="1"/>
  <c r="F419" i="7"/>
  <c r="C377" i="7"/>
  <c r="E373" i="7"/>
  <c r="J370" i="7" s="1"/>
  <c r="J365" i="7" s="1"/>
  <c r="F369" i="7"/>
  <c r="C327" i="7"/>
  <c r="E323" i="7"/>
  <c r="J320" i="7" s="1"/>
  <c r="J315" i="7" s="1"/>
  <c r="F319" i="7"/>
  <c r="C277" i="7"/>
  <c r="E273" i="7"/>
  <c r="J270" i="7" s="1"/>
  <c r="J265" i="7" s="1"/>
  <c r="F269" i="7"/>
  <c r="C227" i="7"/>
  <c r="E223" i="7"/>
  <c r="J220" i="7" s="1"/>
  <c r="J215" i="7" s="1"/>
  <c r="F219" i="7"/>
  <c r="C177" i="7"/>
  <c r="E173" i="7"/>
  <c r="J170" i="7" s="1"/>
  <c r="J165" i="7" s="1"/>
  <c r="F169" i="7"/>
  <c r="C127" i="7"/>
  <c r="E123" i="7"/>
  <c r="J120" i="7" s="1"/>
  <c r="J115" i="7" s="1"/>
  <c r="F119" i="7"/>
  <c r="C77" i="7"/>
  <c r="E73" i="7"/>
  <c r="J70" i="7" s="1"/>
  <c r="J65" i="7" s="1"/>
  <c r="F69" i="7"/>
  <c r="C477" i="9"/>
  <c r="D473" i="9"/>
  <c r="E473" i="9" s="1"/>
  <c r="J470" i="9" s="1"/>
  <c r="J465" i="9" s="1"/>
  <c r="F469" i="9"/>
  <c r="C427" i="9"/>
  <c r="D423" i="9"/>
  <c r="E423" i="9" s="1"/>
  <c r="J420" i="9" s="1"/>
  <c r="J415" i="9" s="1"/>
  <c r="F419" i="9"/>
  <c r="D884" i="6" s="1"/>
  <c r="C377" i="9"/>
  <c r="D373" i="9"/>
  <c r="E373" i="9" s="1"/>
  <c r="J370" i="9" s="1"/>
  <c r="J365" i="9" s="1"/>
  <c r="F369" i="9"/>
  <c r="D784" i="6" s="1"/>
  <c r="C327" i="9"/>
  <c r="D323" i="9"/>
  <c r="E323" i="9" s="1"/>
  <c r="J320" i="9" s="1"/>
  <c r="J315" i="9" s="1"/>
  <c r="F319" i="9"/>
  <c r="D684" i="6" s="1"/>
  <c r="C277" i="9"/>
  <c r="D273" i="9"/>
  <c r="E273" i="9" s="1"/>
  <c r="J270" i="9" s="1"/>
  <c r="J265" i="9" s="1"/>
  <c r="F269" i="9"/>
  <c r="D584" i="6" s="1"/>
  <c r="C227" i="9"/>
  <c r="D223" i="9"/>
  <c r="E223" i="9" s="1"/>
  <c r="J220" i="9" s="1"/>
  <c r="J215" i="9" s="1"/>
  <c r="F219" i="9"/>
  <c r="C177" i="9"/>
  <c r="D173" i="9"/>
  <c r="E173" i="9" s="1"/>
  <c r="J170" i="9" s="1"/>
  <c r="J165" i="9" s="1"/>
  <c r="F169" i="9"/>
  <c r="D384" i="6" s="1"/>
  <c r="C127" i="9"/>
  <c r="D123" i="9"/>
  <c r="E123" i="9" s="1"/>
  <c r="J120" i="9" s="1"/>
  <c r="J115" i="9" s="1"/>
  <c r="F119" i="9"/>
  <c r="D284" i="6" s="1"/>
  <c r="C77" i="9"/>
  <c r="D73" i="9"/>
  <c r="E73" i="9" s="1"/>
  <c r="J70" i="9" s="1"/>
  <c r="J65" i="9" s="1"/>
  <c r="F69" i="9"/>
  <c r="D984" i="6" l="1"/>
  <c r="D484" i="6"/>
  <c r="D184" i="6"/>
  <c r="D66" i="10"/>
  <c r="D116" i="10"/>
  <c r="D166" i="10"/>
  <c r="D216" i="10"/>
  <c r="D266" i="10"/>
  <c r="D316" i="10"/>
  <c r="D366" i="10"/>
  <c r="D416" i="10"/>
  <c r="D466" i="10"/>
  <c r="J81" i="6"/>
  <c r="J80" i="6"/>
  <c r="J79" i="6"/>
  <c r="J78" i="6"/>
  <c r="J73" i="6"/>
  <c r="J69" i="6"/>
  <c r="J68" i="6"/>
  <c r="J67" i="6"/>
  <c r="J66" i="6"/>
  <c r="J65" i="6"/>
  <c r="J57" i="6"/>
  <c r="E57" i="6"/>
  <c r="D57" i="6"/>
  <c r="J56" i="6"/>
  <c r="E56" i="6"/>
  <c r="D56" i="6"/>
  <c r="J55" i="6"/>
  <c r="E55" i="6"/>
  <c r="D55" i="6"/>
  <c r="J54" i="6"/>
  <c r="E54" i="6"/>
  <c r="D54" i="6"/>
  <c r="J53" i="6"/>
  <c r="J51" i="6"/>
  <c r="J50" i="6"/>
  <c r="J49" i="6"/>
  <c r="J48" i="6"/>
  <c r="J47" i="6"/>
  <c r="E47" i="6"/>
  <c r="D47" i="6"/>
  <c r="J46" i="6"/>
  <c r="E46" i="6"/>
  <c r="D46" i="6"/>
  <c r="J45" i="6"/>
  <c r="J43" i="6"/>
  <c r="J42" i="6"/>
  <c r="D40" i="6"/>
  <c r="D39" i="6"/>
  <c r="J38" i="6"/>
  <c r="D38" i="6"/>
  <c r="D61" i="6" s="1"/>
  <c r="J37" i="6"/>
  <c r="J26" i="6"/>
  <c r="J25" i="6"/>
  <c r="J24" i="6"/>
  <c r="J23" i="6"/>
  <c r="J22" i="6"/>
  <c r="J21" i="6"/>
  <c r="J20" i="6"/>
  <c r="F17" i="6" l="1"/>
  <c r="K35" i="6" l="1" a="1"/>
  <c r="K35" i="6" s="1"/>
  <c r="K61" i="6"/>
  <c r="K78" i="6"/>
  <c r="K79" i="6"/>
  <c r="K29" i="6"/>
  <c r="D12" i="19"/>
  <c r="D12" i="18"/>
  <c r="K73" i="6"/>
  <c r="K53" i="6"/>
  <c r="K45" i="6"/>
  <c r="K37" i="6"/>
  <c r="K65" i="6"/>
  <c r="K20" i="6"/>
  <c r="K28" i="6"/>
  <c r="D17" i="2"/>
  <c r="D18" i="2"/>
  <c r="F18" i="2" s="1"/>
  <c r="D19" i="2"/>
  <c r="D20" i="2"/>
  <c r="F20" i="2" s="1"/>
  <c r="F19" i="2" l="1"/>
  <c r="F17" i="2"/>
  <c r="K15" i="6"/>
  <c r="K175" i="2"/>
  <c r="K176" i="2"/>
  <c r="F19" i="9"/>
  <c r="D84" i="6" s="1"/>
  <c r="F19" i="7"/>
  <c r="D16" i="10" l="1"/>
  <c r="D6" i="6"/>
  <c r="C27" i="7"/>
  <c r="K147" i="2" l="1"/>
  <c r="K146" i="2"/>
  <c r="K148" i="2"/>
  <c r="J32" i="10"/>
  <c r="J16" i="10" s="1"/>
  <c r="I39" i="10"/>
  <c r="I38" i="10"/>
  <c r="I37" i="10"/>
  <c r="I36" i="10"/>
  <c r="I35" i="10"/>
  <c r="I34" i="10"/>
  <c r="I33" i="10"/>
  <c r="I32" i="10"/>
  <c r="I28" i="10"/>
  <c r="I27" i="10"/>
  <c r="I26" i="10"/>
  <c r="I25" i="10"/>
  <c r="C27" i="9"/>
  <c r="D23" i="9"/>
  <c r="E23" i="9" s="1"/>
  <c r="K24" i="2" l="1"/>
  <c r="K23" i="2"/>
  <c r="J20" i="9"/>
  <c r="J15" i="9" s="1"/>
  <c r="D50" i="3"/>
  <c r="D48" i="3"/>
  <c r="J176" i="2"/>
  <c r="J175" i="2"/>
  <c r="J174" i="2"/>
  <c r="J170" i="2"/>
  <c r="J169" i="2"/>
  <c r="J168" i="2"/>
  <c r="J167" i="2"/>
  <c r="F51" i="2"/>
  <c r="F50" i="2"/>
  <c r="F49" i="2"/>
  <c r="F48" i="2"/>
  <c r="F47" i="2"/>
  <c r="F46" i="2"/>
  <c r="F45" i="2"/>
  <c r="F44" i="2"/>
  <c r="D43" i="2"/>
  <c r="D25" i="2"/>
  <c r="F25" i="2" s="1"/>
  <c r="D24" i="2"/>
  <c r="F24" i="2" s="1"/>
  <c r="D23" i="2"/>
  <c r="F23" i="2" s="1"/>
  <c r="D22" i="2"/>
  <c r="F22" i="2" s="1"/>
  <c r="D21" i="2"/>
  <c r="D81" i="2" l="1"/>
  <c r="F43" i="2"/>
  <c r="F21" i="2"/>
  <c r="K174" i="2"/>
  <c r="F81" i="2" l="1"/>
  <c r="E11" i="2"/>
  <c r="Q150" i="2"/>
  <c r="Q107" i="2" l="1"/>
  <c r="Q108" i="2" s="1"/>
  <c r="G16" i="2"/>
  <c r="Q112" i="2"/>
  <c r="Q110" i="2" s="1"/>
  <c r="G76" i="2"/>
  <c r="O104" i="1" s="1"/>
  <c r="P104" i="1" s="1"/>
  <c r="G78" i="2"/>
  <c r="O106" i="1" s="1"/>
  <c r="P106" i="1" s="1"/>
  <c r="G79" i="2"/>
  <c r="O107" i="1" s="1"/>
  <c r="P107" i="1" s="1"/>
  <c r="G77" i="2"/>
  <c r="O105" i="1" s="1"/>
  <c r="P105" i="1" s="1"/>
  <c r="G75" i="2"/>
  <c r="O103" i="1" s="1"/>
  <c r="P103" i="1" s="1"/>
  <c r="G73" i="2"/>
  <c r="J2712" i="7" s="1"/>
  <c r="G72" i="2"/>
  <c r="J2662" i="7" s="1"/>
  <c r="G63" i="2"/>
  <c r="G66" i="2"/>
  <c r="G65" i="2"/>
  <c r="G64" i="2"/>
  <c r="G67" i="2"/>
  <c r="Q183" i="2"/>
  <c r="G40" i="2"/>
  <c r="G37" i="2"/>
  <c r="G39" i="2"/>
  <c r="G41" i="2"/>
  <c r="G38" i="2"/>
  <c r="G43" i="2"/>
  <c r="G30" i="2"/>
  <c r="G34" i="2"/>
  <c r="J1112" i="10" s="1"/>
  <c r="G17" i="2"/>
  <c r="G69" i="2"/>
  <c r="J2512" i="7" s="1"/>
  <c r="G71" i="2"/>
  <c r="J2612" i="7" s="1"/>
  <c r="G21" i="2"/>
  <c r="G31" i="2"/>
  <c r="G33" i="2"/>
  <c r="J1062" i="10" s="1"/>
  <c r="G19" i="2"/>
  <c r="G51" i="2"/>
  <c r="G23" i="2"/>
  <c r="G70" i="2"/>
  <c r="J2562" i="7" s="1"/>
  <c r="G46" i="2"/>
  <c r="G27" i="2"/>
  <c r="G59" i="2"/>
  <c r="G54" i="2"/>
  <c r="G44" i="2"/>
  <c r="G24" i="2"/>
  <c r="G53" i="2"/>
  <c r="G60" i="2"/>
  <c r="G48" i="2"/>
  <c r="G18" i="2"/>
  <c r="G61" i="2"/>
  <c r="G56" i="2"/>
  <c r="G28" i="2"/>
  <c r="G20" i="2"/>
  <c r="G57" i="2"/>
  <c r="G52" i="2"/>
  <c r="G22" i="2"/>
  <c r="G32" i="2"/>
  <c r="J1012" i="10" s="1"/>
  <c r="G36" i="2"/>
  <c r="G55" i="2"/>
  <c r="G29" i="2"/>
  <c r="G49" i="2"/>
  <c r="G47" i="2"/>
  <c r="G62" i="2"/>
  <c r="G50" i="2"/>
  <c r="G35" i="2"/>
  <c r="J1162" i="10" s="1"/>
  <c r="G45" i="2"/>
  <c r="G25" i="2"/>
  <c r="G58" i="2"/>
  <c r="Q118" i="2"/>
  <c r="Q116" i="2"/>
  <c r="Q114" i="2" s="1"/>
  <c r="E21" i="19" l="1"/>
  <c r="M21" i="19" s="1"/>
  <c r="E21" i="18"/>
  <c r="M21" i="18" s="1"/>
  <c r="E20" i="19"/>
  <c r="M20" i="19" s="1"/>
  <c r="E20" i="18"/>
  <c r="M20" i="18" s="1"/>
  <c r="E19" i="19"/>
  <c r="M19" i="19" s="1"/>
  <c r="E19" i="18"/>
  <c r="M19" i="18" s="1"/>
  <c r="E18" i="18"/>
  <c r="M18" i="18" s="1"/>
  <c r="E18" i="19"/>
  <c r="M18" i="19" s="1"/>
  <c r="E17" i="18"/>
  <c r="M17" i="18" s="1"/>
  <c r="E17" i="19"/>
  <c r="M17" i="19" s="1"/>
  <c r="E16" i="18"/>
  <c r="M16" i="18" s="1"/>
  <c r="E16" i="19"/>
  <c r="M16" i="19" s="1"/>
  <c r="E15" i="19"/>
  <c r="M15" i="19" s="1"/>
  <c r="E15" i="18"/>
  <c r="M15" i="18" s="1"/>
  <c r="E14" i="19"/>
  <c r="M14" i="19" s="1"/>
  <c r="E14" i="18"/>
  <c r="M14" i="18" s="1"/>
  <c r="O25" i="1"/>
  <c r="Q25" i="1" s="1"/>
  <c r="E12" i="19"/>
  <c r="M12" i="19" s="1"/>
  <c r="E12" i="18"/>
  <c r="E13" i="19"/>
  <c r="M13" i="19" s="1"/>
  <c r="E13" i="18"/>
  <c r="J12" i="10"/>
  <c r="O34" i="1"/>
  <c r="P34" i="1" s="1"/>
  <c r="O38" i="1"/>
  <c r="P38" i="1" s="1"/>
  <c r="O39" i="1"/>
  <c r="P39" i="1" s="1"/>
  <c r="O33" i="1"/>
  <c r="P33" i="1" s="1"/>
  <c r="J212" i="9"/>
  <c r="J412" i="9"/>
  <c r="K912" i="6"/>
  <c r="O35" i="1"/>
  <c r="P35" i="1" s="1"/>
  <c r="J162" i="9"/>
  <c r="O97" i="1"/>
  <c r="L16" i="16"/>
  <c r="O98" i="1"/>
  <c r="L15" i="16"/>
  <c r="L14" i="16"/>
  <c r="L13" i="16"/>
  <c r="L12" i="16"/>
  <c r="O96" i="1"/>
  <c r="O70" i="1"/>
  <c r="J1512" i="7"/>
  <c r="O88" i="1"/>
  <c r="J2412" i="7"/>
  <c r="O73" i="1"/>
  <c r="J1662" i="7"/>
  <c r="O80" i="1"/>
  <c r="J2012" i="7"/>
  <c r="O84" i="1"/>
  <c r="J2212" i="7"/>
  <c r="O77" i="1"/>
  <c r="J1862" i="7"/>
  <c r="O76" i="1"/>
  <c r="J1812" i="7"/>
  <c r="O67" i="1"/>
  <c r="J1362" i="7"/>
  <c r="O69" i="1"/>
  <c r="J1462" i="7"/>
  <c r="O82" i="1"/>
  <c r="J2112" i="7"/>
  <c r="O81" i="1"/>
  <c r="J2062" i="7"/>
  <c r="O86" i="1"/>
  <c r="J2312" i="7"/>
  <c r="O85" i="1"/>
  <c r="J2262" i="7"/>
  <c r="O71" i="1"/>
  <c r="J1562" i="7"/>
  <c r="O78" i="1"/>
  <c r="J1912" i="7"/>
  <c r="O75" i="1"/>
  <c r="J1762" i="7"/>
  <c r="O72" i="1"/>
  <c r="J1612" i="7"/>
  <c r="O74" i="1"/>
  <c r="J1712" i="7"/>
  <c r="O83" i="1"/>
  <c r="J2162" i="7"/>
  <c r="O68" i="1"/>
  <c r="J1412" i="7"/>
  <c r="O79" i="1"/>
  <c r="J1962" i="7"/>
  <c r="O66" i="1"/>
  <c r="J1312" i="7"/>
  <c r="O95" i="1"/>
  <c r="O89" i="1"/>
  <c r="J2462" i="7"/>
  <c r="O87" i="1"/>
  <c r="J2362" i="7"/>
  <c r="O94" i="1"/>
  <c r="O58" i="1"/>
  <c r="J1112" i="7"/>
  <c r="D58" i="1" s="1"/>
  <c r="O56" i="1"/>
  <c r="J1012" i="7"/>
  <c r="D56" i="1" s="1"/>
  <c r="O59" i="1"/>
  <c r="J1162" i="7"/>
  <c r="D59" i="1" s="1"/>
  <c r="O65" i="1"/>
  <c r="J1262" i="7"/>
  <c r="O57" i="1"/>
  <c r="J1062" i="7"/>
  <c r="D57" i="1" s="1"/>
  <c r="O60" i="1"/>
  <c r="J1212" i="7"/>
  <c r="D60" i="1" s="1"/>
  <c r="J1212" i="10"/>
  <c r="J162" i="7"/>
  <c r="D35" i="1" s="1"/>
  <c r="J162" i="10"/>
  <c r="K312" i="6"/>
  <c r="K112" i="6"/>
  <c r="J62" i="9"/>
  <c r="J62" i="10"/>
  <c r="J12" i="9"/>
  <c r="K712" i="6"/>
  <c r="J62" i="7"/>
  <c r="J12" i="7"/>
  <c r="J462" i="7"/>
  <c r="D41" i="1" s="1"/>
  <c r="O32" i="1"/>
  <c r="K12" i="6"/>
  <c r="J362" i="7"/>
  <c r="D39" i="1" s="1"/>
  <c r="O36" i="1"/>
  <c r="J362" i="9"/>
  <c r="K412" i="6"/>
  <c r="J112" i="10"/>
  <c r="J362" i="10"/>
  <c r="J212" i="7"/>
  <c r="D36" i="1" s="1"/>
  <c r="J212" i="10"/>
  <c r="J462" i="10"/>
  <c r="O41" i="1"/>
  <c r="O48" i="1"/>
  <c r="J612" i="7"/>
  <c r="D48" i="1" s="1"/>
  <c r="J612" i="10"/>
  <c r="O47" i="1"/>
  <c r="J562" i="7"/>
  <c r="D47" i="1" s="1"/>
  <c r="J562" i="10"/>
  <c r="O53" i="1"/>
  <c r="J862" i="10"/>
  <c r="J862" i="7"/>
  <c r="D53" i="1" s="1"/>
  <c r="O54" i="1"/>
  <c r="J912" i="7"/>
  <c r="D54" i="1" s="1"/>
  <c r="J912" i="10"/>
  <c r="O51" i="1"/>
  <c r="J762" i="10"/>
  <c r="J762" i="7"/>
  <c r="D51" i="1" s="1"/>
  <c r="O46" i="1"/>
  <c r="J512" i="7"/>
  <c r="J512" i="10"/>
  <c r="O49" i="1"/>
  <c r="J662" i="7"/>
  <c r="D49" i="1" s="1"/>
  <c r="J662" i="10"/>
  <c r="O52" i="1"/>
  <c r="J812" i="7"/>
  <c r="D52" i="1" s="1"/>
  <c r="J812" i="10"/>
  <c r="O55" i="1"/>
  <c r="J962" i="7"/>
  <c r="D55" i="1" s="1"/>
  <c r="J962" i="10"/>
  <c r="O50" i="1"/>
  <c r="J712" i="10"/>
  <c r="J712" i="7"/>
  <c r="D50" i="1" s="1"/>
  <c r="J262" i="9"/>
  <c r="K512" i="6"/>
  <c r="J462" i="9"/>
  <c r="J262" i="10"/>
  <c r="O37" i="1"/>
  <c r="J262" i="7"/>
  <c r="D37" i="1" s="1"/>
  <c r="K212" i="6"/>
  <c r="J112" i="7"/>
  <c r="D34" i="1" s="1"/>
  <c r="J112" i="9"/>
  <c r="J312" i="9"/>
  <c r="K812" i="6"/>
  <c r="O40" i="1"/>
  <c r="J412" i="7"/>
  <c r="D40" i="1" s="1"/>
  <c r="J312" i="10"/>
  <c r="K612" i="6"/>
  <c r="J412" i="10"/>
  <c r="J312" i="7"/>
  <c r="D38" i="1" s="1"/>
  <c r="C38" i="1" l="1"/>
  <c r="C34" i="1"/>
  <c r="P25" i="1"/>
  <c r="M12" i="18"/>
  <c r="M13" i="18"/>
  <c r="C41" i="1"/>
  <c r="C35" i="1"/>
  <c r="O24" i="1"/>
  <c r="C36" i="1"/>
  <c r="C40" i="1"/>
  <c r="C39" i="1"/>
  <c r="C37" i="1"/>
  <c r="P50" i="1"/>
  <c r="P47" i="1"/>
  <c r="P59" i="1"/>
  <c r="P86" i="1"/>
  <c r="P37" i="1"/>
  <c r="P49" i="1"/>
  <c r="P89" i="1"/>
  <c r="P54" i="1"/>
  <c r="P60" i="1"/>
  <c r="P56" i="1"/>
  <c r="P95" i="1"/>
  <c r="P83" i="1"/>
  <c r="P78" i="1"/>
  <c r="P81" i="1"/>
  <c r="P76" i="1"/>
  <c r="P73" i="1"/>
  <c r="P80" i="1"/>
  <c r="P55" i="1"/>
  <c r="P48" i="1"/>
  <c r="P75" i="1"/>
  <c r="P46" i="1"/>
  <c r="P41" i="1"/>
  <c r="P36" i="1"/>
  <c r="P57" i="1"/>
  <c r="P58" i="1"/>
  <c r="P66" i="1"/>
  <c r="P74" i="1"/>
  <c r="P71" i="1"/>
  <c r="P82" i="1"/>
  <c r="P77" i="1"/>
  <c r="P88" i="1"/>
  <c r="P67" i="1"/>
  <c r="P53" i="1"/>
  <c r="P94" i="1"/>
  <c r="P97" i="1"/>
  <c r="P98" i="1"/>
  <c r="P40" i="1"/>
  <c r="P52" i="1"/>
  <c r="P65" i="1"/>
  <c r="P79" i="1"/>
  <c r="P72" i="1"/>
  <c r="P85" i="1"/>
  <c r="P69" i="1"/>
  <c r="P84" i="1"/>
  <c r="P70" i="1"/>
  <c r="P68" i="1"/>
  <c r="P51" i="1"/>
  <c r="P32" i="1"/>
  <c r="P87" i="1"/>
  <c r="P96" i="1"/>
  <c r="O23" i="1"/>
  <c r="O22" i="1"/>
  <c r="Q22" i="1" l="1"/>
  <c r="Q24" i="1"/>
  <c r="Q23" i="1"/>
  <c r="Q47" i="1"/>
  <c r="P23" i="1"/>
  <c r="Q32" i="1"/>
  <c r="Q84" i="1"/>
  <c r="Q79" i="1"/>
  <c r="Q98" i="1"/>
  <c r="Q67" i="1"/>
  <c r="Q71" i="1"/>
  <c r="Q57" i="1"/>
  <c r="Q75" i="1"/>
  <c r="Q73" i="1"/>
  <c r="Q83" i="1"/>
  <c r="Q54" i="1"/>
  <c r="Q86" i="1"/>
  <c r="P24" i="1"/>
  <c r="Q51" i="1"/>
  <c r="Q69" i="1"/>
  <c r="Q65" i="1"/>
  <c r="Q97" i="1"/>
  <c r="Q88" i="1"/>
  <c r="Q74" i="1"/>
  <c r="Q36" i="1"/>
  <c r="Q48" i="1"/>
  <c r="Q76" i="1"/>
  <c r="Q95" i="1"/>
  <c r="Q89" i="1"/>
  <c r="Q59" i="1"/>
  <c r="Q96" i="1"/>
  <c r="Q68" i="1"/>
  <c r="Q85" i="1"/>
  <c r="Q52" i="1"/>
  <c r="Q94" i="1"/>
  <c r="Q77" i="1"/>
  <c r="Q66" i="1"/>
  <c r="Q41" i="1"/>
  <c r="Q55" i="1"/>
  <c r="Q81" i="1"/>
  <c r="Q56" i="1"/>
  <c r="Q49" i="1"/>
  <c r="P22" i="1"/>
  <c r="Q35" i="1"/>
  <c r="Q33" i="1"/>
  <c r="Q38" i="1"/>
  <c r="Q34" i="1"/>
  <c r="Q39" i="1"/>
  <c r="Q87" i="1"/>
  <c r="Q70" i="1"/>
  <c r="Q72" i="1"/>
  <c r="Q40" i="1"/>
  <c r="Q53" i="1"/>
  <c r="Q82" i="1"/>
  <c r="Q58" i="1"/>
  <c r="Q46" i="1"/>
  <c r="Q80" i="1"/>
  <c r="Q78" i="1"/>
  <c r="Q60" i="1"/>
  <c r="Q37" i="1"/>
  <c r="Q50" i="1"/>
  <c r="E182" i="2"/>
  <c r="F182" i="2" s="1"/>
  <c r="P29" i="12" l="1"/>
  <c r="P31" i="12" l="1"/>
  <c r="P33" i="12" s="1"/>
  <c r="E168" i="2" s="1"/>
  <c r="E167" i="2" l="1"/>
  <c r="K167" i="2" s="1"/>
  <c r="K168" i="2"/>
  <c r="E162" i="2"/>
  <c r="K162" i="2" s="1"/>
  <c r="P32" i="12"/>
  <c r="E33" i="12" s="1"/>
  <c r="J33" i="12" s="1"/>
  <c r="E163" i="2"/>
  <c r="K163" i="2" s="1"/>
  <c r="E28" i="12" l="1"/>
  <c r="J28" i="12" s="1"/>
  <c r="E34" i="12"/>
  <c r="J34" i="12" s="1"/>
  <c r="E29" i="12"/>
  <c r="J29" i="12" s="1"/>
  <c r="K19" i="2"/>
  <c r="K16" i="2" s="1"/>
  <c r="J12" i="12" l="1"/>
  <c r="Q153" i="2"/>
  <c r="Q154" i="2" s="1"/>
  <c r="S163" i="2" s="1"/>
  <c r="T163" i="2" s="1"/>
  <c r="G51" i="1"/>
  <c r="L51" i="1" s="1"/>
  <c r="T51" i="1" s="1"/>
  <c r="G59" i="1"/>
  <c r="L59" i="1" s="1"/>
  <c r="T59" i="1" s="1"/>
  <c r="W59" i="1" s="1"/>
  <c r="G52" i="1"/>
  <c r="L52" i="1" s="1"/>
  <c r="T52" i="1" s="1"/>
  <c r="W52" i="1" s="1"/>
  <c r="G60" i="1"/>
  <c r="L60" i="1" s="1"/>
  <c r="T60" i="1" s="1"/>
  <c r="W60" i="1" s="1"/>
  <c r="G53" i="1"/>
  <c r="L53" i="1" s="1"/>
  <c r="T53" i="1" s="1"/>
  <c r="W53" i="1" s="1"/>
  <c r="G54" i="1"/>
  <c r="L54" i="1" s="1"/>
  <c r="T54" i="1" s="1"/>
  <c r="W54" i="1" s="1"/>
  <c r="G47" i="1"/>
  <c r="L47" i="1" s="1"/>
  <c r="T47" i="1" s="1"/>
  <c r="W47" i="1" s="1"/>
  <c r="G55" i="1"/>
  <c r="L55" i="1" s="1"/>
  <c r="T55" i="1" s="1"/>
  <c r="W55" i="1" s="1"/>
  <c r="G48" i="1"/>
  <c r="L48" i="1" s="1"/>
  <c r="T48" i="1" s="1"/>
  <c r="G56" i="1"/>
  <c r="L56" i="1" s="1"/>
  <c r="T56" i="1" s="1"/>
  <c r="W56" i="1" s="1"/>
  <c r="G49" i="1"/>
  <c r="L49" i="1" s="1"/>
  <c r="T49" i="1" s="1"/>
  <c r="G57" i="1"/>
  <c r="L57" i="1" s="1"/>
  <c r="T57" i="1" s="1"/>
  <c r="W57" i="1" s="1"/>
  <c r="G50" i="1"/>
  <c r="L50" i="1" s="1"/>
  <c r="T50" i="1" s="1"/>
  <c r="W50" i="1" s="1"/>
  <c r="G58" i="1"/>
  <c r="L58" i="1" s="1"/>
  <c r="T58" i="1" s="1"/>
  <c r="W58" i="1" s="1"/>
  <c r="G40" i="1"/>
  <c r="G41" i="1"/>
  <c r="G38" i="1"/>
  <c r="G39" i="1"/>
  <c r="G36" i="1"/>
  <c r="G37" i="1"/>
  <c r="G34" i="1"/>
  <c r="G35" i="1"/>
  <c r="S162" i="2" l="1"/>
  <c r="T162" i="2" s="1"/>
  <c r="Q170" i="2" s="1"/>
  <c r="R170" i="2" s="1"/>
  <c r="S164" i="2"/>
  <c r="T164" i="2" s="1"/>
  <c r="T165" i="2" s="1"/>
  <c r="S161" i="2"/>
  <c r="T161" i="2" l="1"/>
  <c r="Q169" i="2" s="1"/>
  <c r="S166" i="2"/>
  <c r="Q172" i="2"/>
  <c r="K107" i="2" s="1"/>
  <c r="Q171" i="2"/>
  <c r="R171" i="2" s="1"/>
  <c r="T166" i="2"/>
  <c r="K105" i="2"/>
  <c r="C33" i="1"/>
  <c r="D65" i="1"/>
  <c r="D94" i="1"/>
  <c r="D46" i="1"/>
  <c r="F94" i="1"/>
  <c r="G94" i="1"/>
  <c r="G46" i="1"/>
  <c r="G65" i="1"/>
  <c r="R169" i="2" l="1"/>
  <c r="K104" i="2"/>
  <c r="E38" i="1" s="1"/>
  <c r="D33" i="1"/>
  <c r="G33" i="1"/>
  <c r="G32" i="1"/>
  <c r="D32" i="1"/>
  <c r="C32" i="1"/>
  <c r="E33" i="1"/>
  <c r="R172" i="2"/>
  <c r="R173" i="2" s="1"/>
  <c r="S169" i="2" s="1"/>
  <c r="E37" i="1"/>
  <c r="F38" i="1"/>
  <c r="E35" i="1"/>
  <c r="E32" i="1"/>
  <c r="E41" i="1"/>
  <c r="F40" i="1"/>
  <c r="F35" i="1"/>
  <c r="F39" i="1"/>
  <c r="F37" i="1"/>
  <c r="E34" i="1"/>
  <c r="L34" i="1" s="1"/>
  <c r="T34" i="1" s="1"/>
  <c r="W34" i="1" s="1"/>
  <c r="E40" i="1"/>
  <c r="F33" i="1"/>
  <c r="F36" i="1"/>
  <c r="F32" i="1"/>
  <c r="E36" i="1"/>
  <c r="L36" i="1" s="1"/>
  <c r="T36" i="1" s="1"/>
  <c r="W36" i="1" s="1"/>
  <c r="F41" i="1"/>
  <c r="F34" i="1"/>
  <c r="K106" i="2"/>
  <c r="E39" i="1"/>
  <c r="L40" i="1"/>
  <c r="T40" i="1" s="1"/>
  <c r="W40" i="1" s="1"/>
  <c r="L35" i="1"/>
  <c r="T35" i="1" s="1"/>
  <c r="W35" i="1" s="1"/>
  <c r="L37" i="1"/>
  <c r="T37" i="1" s="1"/>
  <c r="W37" i="1" s="1"/>
  <c r="L41" i="1"/>
  <c r="T41" i="1" s="1"/>
  <c r="W41" i="1" s="1"/>
  <c r="L39" i="1"/>
  <c r="T39" i="1" s="1"/>
  <c r="W39" i="1" s="1"/>
  <c r="L38" i="1"/>
  <c r="T38" i="1" s="1"/>
  <c r="W38" i="1" s="1"/>
  <c r="L94" i="1"/>
  <c r="T94" i="1" s="1"/>
  <c r="L46" i="1"/>
  <c r="T46" i="1" s="1"/>
  <c r="W46" i="1" s="1"/>
  <c r="L65" i="1"/>
  <c r="T65" i="1" s="1"/>
  <c r="W65" i="1" s="1"/>
  <c r="W48" i="1"/>
  <c r="W49" i="1"/>
  <c r="W97" i="1"/>
  <c r="W67" i="1"/>
  <c r="W68" i="1"/>
  <c r="W95" i="1"/>
  <c r="W96" i="1"/>
  <c r="W51" i="1"/>
  <c r="W98" i="1"/>
  <c r="W66" i="1"/>
  <c r="L33" i="1" l="1"/>
  <c r="T33" i="1" s="1"/>
  <c r="W33" i="1" s="1"/>
  <c r="L32" i="1"/>
  <c r="T32" i="1" s="1"/>
  <c r="W32" i="1" s="1"/>
  <c r="W94" i="1"/>
  <c r="W27" i="1" l="1"/>
  <c r="Q18"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<sst xmlns="http://schemas.openxmlformats.org/spreadsheetml/2006/main" count="5555" uniqueCount="752">
  <si>
    <t>Background</t>
  </si>
  <si>
    <t xml:space="preserve">This Calculator has been developed by NNFCC to enable biomethane producers participating in the Green Gas Support Scheme (GGSS) to determine supply chain greenhouse gas (GHG) emissions. Emissions must be reported for each consignment of biomass used in the process. This Calculator is based on the NNFCC Biomethane &amp; Biogas Carbon Calculator for the UK Renewable Heat Incentive (RHI), updated for GGSS.  Further informaiton and links to the relevant Scheme and Method Guidance are included below. </t>
  </si>
  <si>
    <t>How to Use</t>
  </si>
  <si>
    <t>For full details, please see the User Guide, available to download alongside this tool.</t>
  </si>
  <si>
    <t>For every piece of information entered in this tool, evidence must be retained for audit (e.g. weighbridge tickets, lab reports, farming records, meter photos, etc).</t>
  </si>
  <si>
    <t>The tool is designed to be used working through the worksheets from left to right. Within each worksheet, it is necessary to scroll down to see all options.</t>
  </si>
  <si>
    <t>Start in the Feedstocks worksheet. Enter feedstocks as 'products', 'residues', 'waste', 'manures' and 'GGSS-ineligible feedstocks'. Data must be entered on tonnage, dry matter, volatile solids and biomethane potential. For products, the crop dry matter at the point of harvest should also be entered. See user guide for more information.</t>
  </si>
  <si>
    <t>For every feedstock classified as a product, complete the relevant section of 'Cultivation and harvesting', 'Transport 1', 'Feedstock conversion', 'Land-use change', 'Soil carbon', and 'Transport 2'. Please note that 'Transport 1' may not be needed for all crops, and that 'Land-use change' and 'Soil carbon' can be left blank if not applicable.</t>
  </si>
  <si>
    <t>For every feedstock classified as a residue, waste or manure, complete the relevant section of 'Transport 2'. No data entry is needed on the 'Manure credits' worksheet; this is included for calculation purposes only.</t>
  </si>
  <si>
    <t>Complete the worksheets 'Digestion &amp; outputs' and 'Final conversion' for all sites, regardless of feedstock types. If carbon capture is carried out, complete the 'Carbon capture' worksheet (leave blank if not applicable). 'Biomethane transport' should be left blank for GGSS.</t>
  </si>
  <si>
    <t>Greenhouse gas emissions are shown in the Summary tab.</t>
  </si>
  <si>
    <t>Further Information</t>
  </si>
  <si>
    <r>
      <rPr>
        <sz val="10"/>
        <color rgb="FF808080"/>
        <rFont val="Lao UI"/>
        <family val="2"/>
      </rPr>
      <t>Green Gas Support Scheme (GGSS) guidance (Ofgem):</t>
    </r>
    <r>
      <rPr>
        <sz val="10"/>
        <color theme="1" tint="0.34998626667073579"/>
        <rFont val="Lao UI"/>
        <family val="2"/>
      </rPr>
      <t xml:space="preserve"> </t>
    </r>
    <r>
      <rPr>
        <u/>
        <sz val="10"/>
        <color theme="10"/>
        <rFont val="Lao UI"/>
        <family val="2"/>
      </rPr>
      <t xml:space="preserve">https://www.ofgem.gov.uk/publications/green-gas-support-scheme-guidance </t>
    </r>
  </si>
  <si>
    <t>Anaerobic Digestion (AD) is a complex technology for determining supply chain emissions because plants often use a wide variety of feedstocks (e.g. crops, residues, manures, slurries, and food waste) to produce a range of outputs (e.g. biomethane for injection, heat, electricity, and digestate), with emissions requiring appropriate allocation. This Calculator enables the GHG impact of complex biomethane supply chains to be determined, following the methodology outlined in the 2021 DESNZ document 'Methods of calculating greenhouse gas emissions'. All GHG values are presented in terms of net calorific value (NCV), also referred to as lower heating value (LHV).</t>
  </si>
  <si>
    <t>The Calculator functions by apportioning the exported outputs of an AD system to each feedstock using the relative biomethane production values of feedstocks per tonne of volatile solid (VS). The tool then calculates the carbon intensity of biomethane produced for each feedstock accordingly. As supply chain emissions are allocated to exported products only, heat and electricity produced onsite and used as process energy for digestion or upgrading/injection should not have any emissions associated with their production, as the Calculator allows for. The Calculator allows up to 55 consignments to be included in a single reporting period (i.e. single workbook).</t>
  </si>
  <si>
    <t xml:space="preserve">To avoid unnecessary complexity, users can only use default emissions factors (shown on the 'Reference values' page) for performing the calculations. However, as an exception users can enter details for alternative fertilisers, including emission factors, on the reference page. </t>
  </si>
  <si>
    <t xml:space="preserve">Updates may be released where improved reference values are available, functionality bugs are found or methodological changes are required by Ofgem. Users should check back to the original source destination for updates on a regular basis, to ensure the latest version is used for reporting at all times. </t>
  </si>
  <si>
    <t xml:space="preserve">NNFCC are available to provide further support to users of the tool, with extensive bioenergy, lifecycle assessment (LCA) and REDII knowledge and experience; to undertake calculations, assist with data gathering, identify sensitivities and possible improvements, and to help prepare for independent auditing. </t>
  </si>
  <si>
    <t>Disclaimer</t>
  </si>
  <si>
    <r>
      <t>While NNFCC considers that this tool is robust and adheres to the recast Renewable Energy Directive (2018/2001) methodology, as required by</t>
    </r>
    <r>
      <rPr>
        <sz val="10"/>
        <color rgb="FF808080"/>
        <rFont val="Lao UI"/>
        <family val="2"/>
      </rPr>
      <t xml:space="preserve"> the Green Gas Support Scheme Regulations 2021</t>
    </r>
    <r>
      <rPr>
        <sz val="10"/>
        <color theme="1" tint="0.499984740745262"/>
        <rFont val="Lao UI"/>
        <family val="2"/>
      </rPr>
      <t>, all parties must rely on their own skill and judgement when making use of it. NNFCC or supporting organisations do not make any representation or warranty, expressed or implied, as to the accuracy or completeness of the information contained in this tool and assume no responsibility for the accuracy or completeness of such information. NNFCC or supporting organisations will not assume any liability to anyone for any loss or damage arising out of the provision of this calculator.</t>
    </r>
  </si>
  <si>
    <t xml:space="preserve">Developed by: </t>
  </si>
  <si>
    <t>Address:</t>
  </si>
  <si>
    <t>NNFCC, Biocentre, York Science Park, Heslington, York, YO10 5NY (UK)</t>
  </si>
  <si>
    <t>NNFCC Ltd</t>
  </si>
  <si>
    <t>Website:</t>
  </si>
  <si>
    <t>www.nnfcc.co.uk</t>
  </si>
  <si>
    <t>Email:</t>
  </si>
  <si>
    <t xml:space="preserve">enquiries@nnfcc.co.uk </t>
  </si>
  <si>
    <t>Tel:</t>
  </si>
  <si>
    <t>+44 1904 217182</t>
  </si>
  <si>
    <t xml:space="preserve">This worksheet displays a summary of the results and presents the informaiton required to report to Ofgem, to support periodic data submissions. The User only needs to enter the GGSS Site Name and the Reporting Period, all other cells are calculated. Total emissions (Q18) should be reported. </t>
  </si>
  <si>
    <t>GGSS Site Name</t>
  </si>
  <si>
    <t>Key</t>
  </si>
  <si>
    <t>Reporting Period</t>
  </si>
  <si>
    <t>Default value selected</t>
  </si>
  <si>
    <t>Default value</t>
  </si>
  <si>
    <t>Actual value selected</t>
  </si>
  <si>
    <t>Data entry field</t>
  </si>
  <si>
    <t>Unit (selectable)</t>
  </si>
  <si>
    <t>Formula</t>
  </si>
  <si>
    <t>Formula (warning)</t>
  </si>
  <si>
    <t>Data not required</t>
  </si>
  <si>
    <t>Total emissions for GGSS</t>
  </si>
  <si>
    <t>Biomethane injected</t>
  </si>
  <si>
    <r>
      <t>gCO</t>
    </r>
    <r>
      <rPr>
        <vertAlign val="subscript"/>
        <sz val="11"/>
        <color theme="1"/>
        <rFont val="Lao UI"/>
        <family val="2"/>
      </rPr>
      <t>2eq</t>
    </r>
    <r>
      <rPr>
        <sz val="11"/>
        <color theme="1"/>
        <rFont val="Lao UI"/>
        <family val="2"/>
      </rPr>
      <t>/MJ</t>
    </r>
  </si>
  <si>
    <t>Biogas produced</t>
  </si>
  <si>
    <t>Feedstock</t>
  </si>
  <si>
    <r>
      <t>Apportioned biogas (m</t>
    </r>
    <r>
      <rPr>
        <vertAlign val="superscript"/>
        <sz val="11"/>
        <color theme="0"/>
        <rFont val="Lao UI"/>
        <family val="2"/>
      </rPr>
      <t>3</t>
    </r>
    <r>
      <rPr>
        <sz val="11"/>
        <color theme="0"/>
        <rFont val="Lao UI"/>
        <family val="2"/>
      </rPr>
      <t>)</t>
    </r>
  </si>
  <si>
    <t>Biogas as a % incl. ineligible</t>
  </si>
  <si>
    <t>Biogas as a % excl. ineligible</t>
  </si>
  <si>
    <t>Products</t>
  </si>
  <si>
    <t>Residues</t>
  </si>
  <si>
    <t>Waste (including manure)</t>
  </si>
  <si>
    <t>GGSS-ineligible</t>
  </si>
  <si>
    <r>
      <t xml:space="preserve">Total emissions, </t>
    </r>
    <r>
      <rPr>
        <b/>
        <i/>
        <sz val="11"/>
        <color theme="1" tint="0.249977111117893"/>
        <rFont val="Lao UI"/>
        <family val="2"/>
      </rPr>
      <t>E</t>
    </r>
    <r>
      <rPr>
        <b/>
        <sz val="11"/>
        <color theme="1" tint="0.249977111117893"/>
        <rFont val="Lao UI"/>
        <family val="2"/>
      </rPr>
      <t>, for GGSS</t>
    </r>
  </si>
  <si>
    <t>Total weighted average</t>
  </si>
  <si>
    <r>
      <t>Products - Biomethane Pathway Emissions (gCO2eq/MJ</t>
    </r>
    <r>
      <rPr>
        <b/>
        <vertAlign val="subscript"/>
        <sz val="11"/>
        <color theme="1" tint="0.249977111117893"/>
        <rFont val="Lao UI"/>
        <family val="2"/>
      </rPr>
      <t>biomethane</t>
    </r>
    <r>
      <rPr>
        <b/>
        <sz val="11"/>
        <color theme="1" tint="0.249977111117893"/>
        <rFont val="Lao UI"/>
        <family val="2"/>
      </rPr>
      <t>*)</t>
    </r>
  </si>
  <si>
    <t>Biogas produced from products</t>
  </si>
  <si>
    <t>Final Emissions</t>
  </si>
  <si>
    <t>GGSS weighted emissions</t>
  </si>
  <si>
    <t>Consignment</t>
  </si>
  <si>
    <r>
      <t>e</t>
    </r>
    <r>
      <rPr>
        <i/>
        <vertAlign val="subscript"/>
        <sz val="11"/>
        <color theme="0"/>
        <rFont val="Lao UI"/>
        <family val="2"/>
      </rPr>
      <t>ec</t>
    </r>
  </si>
  <si>
    <r>
      <t>e</t>
    </r>
    <r>
      <rPr>
        <i/>
        <vertAlign val="subscript"/>
        <sz val="11"/>
        <color theme="0"/>
        <rFont val="Lao UI"/>
        <family val="2"/>
      </rPr>
      <t>td,feedstock</t>
    </r>
  </si>
  <si>
    <r>
      <t>e</t>
    </r>
    <r>
      <rPr>
        <i/>
        <vertAlign val="subscript"/>
        <sz val="11"/>
        <color theme="0"/>
        <rFont val="Lao UI"/>
        <family val="2"/>
      </rPr>
      <t>l</t>
    </r>
  </si>
  <si>
    <r>
      <t>e</t>
    </r>
    <r>
      <rPr>
        <i/>
        <vertAlign val="subscript"/>
        <sz val="11"/>
        <color theme="0"/>
        <rFont val="Lao UI"/>
        <family val="2"/>
      </rPr>
      <t>sca</t>
    </r>
  </si>
  <si>
    <r>
      <t>e</t>
    </r>
    <r>
      <rPr>
        <i/>
        <vertAlign val="subscript"/>
        <sz val="11"/>
        <color theme="0"/>
        <rFont val="Lao UI"/>
        <family val="2"/>
      </rPr>
      <t>p</t>
    </r>
  </si>
  <si>
    <r>
      <t>e</t>
    </r>
    <r>
      <rPr>
        <i/>
        <vertAlign val="subscript"/>
        <sz val="11"/>
        <color theme="0"/>
        <rFont val="Lao UI"/>
        <family val="2"/>
      </rPr>
      <t>td,product</t>
    </r>
  </si>
  <si>
    <r>
      <t>e</t>
    </r>
    <r>
      <rPr>
        <i/>
        <vertAlign val="subscript"/>
        <sz val="11"/>
        <color theme="0"/>
        <rFont val="Lao UI"/>
        <family val="2"/>
      </rPr>
      <t>u</t>
    </r>
  </si>
  <si>
    <r>
      <t>e</t>
    </r>
    <r>
      <rPr>
        <i/>
        <vertAlign val="subscript"/>
        <sz val="11"/>
        <color theme="0"/>
        <rFont val="Lao UI"/>
        <family val="2"/>
      </rPr>
      <t>ccs</t>
    </r>
  </si>
  <si>
    <r>
      <t>e</t>
    </r>
    <r>
      <rPr>
        <i/>
        <vertAlign val="subscript"/>
        <sz val="11"/>
        <color theme="0"/>
        <rFont val="Lao UI"/>
        <family val="2"/>
      </rPr>
      <t>ccr</t>
    </r>
  </si>
  <si>
    <t>Total</t>
  </si>
  <si>
    <r>
      <t>Biomethane Injection (gCO</t>
    </r>
    <r>
      <rPr>
        <vertAlign val="subscript"/>
        <sz val="11"/>
        <color theme="0"/>
        <rFont val="Lao UI"/>
        <family val="2"/>
      </rPr>
      <t>2eq</t>
    </r>
    <r>
      <rPr>
        <sz val="11"/>
        <color theme="0"/>
        <rFont val="Lao UI"/>
        <family val="2"/>
      </rPr>
      <t>/MJ</t>
    </r>
    <r>
      <rPr>
        <vertAlign val="subscript"/>
        <sz val="11"/>
        <color theme="0"/>
        <rFont val="Lao UI"/>
        <family val="2"/>
      </rPr>
      <t>biomethane</t>
    </r>
    <r>
      <rPr>
        <sz val="11"/>
        <color theme="0"/>
        <rFont val="Lao UI"/>
        <family val="2"/>
      </rPr>
      <t>)</t>
    </r>
  </si>
  <si>
    <t>Weighted emission</t>
  </si>
  <si>
    <t>*Net calorific value (NCV)</t>
  </si>
  <si>
    <r>
      <t>Residues - Biomethane Pathway Emissions (gCO2eq/MJ</t>
    </r>
    <r>
      <rPr>
        <b/>
        <vertAlign val="subscript"/>
        <sz val="11"/>
        <color theme="1" tint="0.249977111117893"/>
        <rFont val="Lao UI"/>
        <family val="2"/>
      </rPr>
      <t>biomethane</t>
    </r>
    <r>
      <rPr>
        <b/>
        <sz val="11"/>
        <color theme="1" tint="0.249977111117893"/>
        <rFont val="Lao UI"/>
        <family val="2"/>
      </rPr>
      <t>*)</t>
    </r>
  </si>
  <si>
    <t>Biogas produced from residues</t>
  </si>
  <si>
    <r>
      <t>e</t>
    </r>
    <r>
      <rPr>
        <i/>
        <vertAlign val="subscript"/>
        <sz val="11"/>
        <color theme="0"/>
        <rFont val="Lao UI"/>
        <family val="2"/>
      </rPr>
      <t>CCS</t>
    </r>
  </si>
  <si>
    <r>
      <t>e</t>
    </r>
    <r>
      <rPr>
        <i/>
        <vertAlign val="subscript"/>
        <sz val="11"/>
        <color theme="0"/>
        <rFont val="Lao UI"/>
        <family val="2"/>
      </rPr>
      <t>CCR</t>
    </r>
  </si>
  <si>
    <r>
      <t>Wastes - Biomethane Pathway Emissions (gCO2eq/MJ</t>
    </r>
    <r>
      <rPr>
        <b/>
        <vertAlign val="subscript"/>
        <sz val="11"/>
        <color theme="1" tint="0.249977111117893"/>
        <rFont val="Lao UI"/>
        <family val="2"/>
      </rPr>
      <t>biomethane</t>
    </r>
    <r>
      <rPr>
        <b/>
        <sz val="11"/>
        <color theme="1" tint="0.249977111117893"/>
        <rFont val="Lao UI"/>
        <family val="2"/>
      </rPr>
      <t>*)</t>
    </r>
  </si>
  <si>
    <t>Biogas produced from waste</t>
  </si>
  <si>
    <r>
      <t>Manures - Biomethane Pathway Emissions (gCO2eq/MJ</t>
    </r>
    <r>
      <rPr>
        <b/>
        <vertAlign val="subscript"/>
        <sz val="11"/>
        <color theme="1" tint="0.249977111117893"/>
        <rFont val="Lao UI"/>
        <family val="2"/>
      </rPr>
      <t>biomethane</t>
    </r>
    <r>
      <rPr>
        <b/>
        <sz val="11"/>
        <color theme="1" tint="0.249977111117893"/>
        <rFont val="Lao UI"/>
        <family val="2"/>
      </rPr>
      <t>*)</t>
    </r>
  </si>
  <si>
    <t>Biogas produced from manures</t>
  </si>
  <si>
    <r>
      <t>GGSS-ineligible feedstocks - Biomethane Pathway Emissions (gCO2eq/MJ</t>
    </r>
    <r>
      <rPr>
        <b/>
        <vertAlign val="subscript"/>
        <sz val="11"/>
        <color theme="1" tint="0.249977111117893"/>
        <rFont val="Lao UI"/>
        <family val="2"/>
      </rPr>
      <t>biomethane</t>
    </r>
    <r>
      <rPr>
        <b/>
        <sz val="11"/>
        <color theme="1" tint="0.249977111117893"/>
        <rFont val="Lao UI"/>
        <family val="2"/>
      </rPr>
      <t>*)</t>
    </r>
  </si>
  <si>
    <t>Biogas produced from GGSS-ineligibles</t>
  </si>
  <si>
    <t>Digestion</t>
  </si>
  <si>
    <t>The user must enter all feedstock information on this worksheet, with the consignment names matching those approved on the Fuel Measurement and Sampling Questionnaire (FMSQ). Feedstock data must be entered in the appropriate section here according to the agreed classification, to ensure GHG emissions are calculated and reported appropriately. Where actual values are not available, default values for some common feedstocks are available in the look-up table below (Row 40).</t>
  </si>
  <si>
    <t>Anaerobic Digestion Plant Inputs</t>
  </si>
  <si>
    <t>Consignment name</t>
  </si>
  <si>
    <t>Tonnes</t>
  </si>
  <si>
    <r>
      <t>Feedstock dry matter content (%)</t>
    </r>
    <r>
      <rPr>
        <sz val="11"/>
        <color theme="0"/>
        <rFont val="Calibri"/>
        <family val="2"/>
      </rPr>
      <t>*</t>
    </r>
  </si>
  <si>
    <t>Volatile solid content (% of dry matter)</t>
  </si>
  <si>
    <r>
      <t>Biomethane yield (Nm</t>
    </r>
    <r>
      <rPr>
        <vertAlign val="superscript"/>
        <sz val="11"/>
        <color theme="1"/>
        <rFont val="Lao UI"/>
        <family val="2"/>
      </rPr>
      <t>3</t>
    </r>
    <r>
      <rPr>
        <sz val="11"/>
        <color theme="1"/>
        <rFont val="Lao UI"/>
        <family val="2"/>
      </rPr>
      <t>/t volatile solid)</t>
    </r>
  </si>
  <si>
    <r>
      <t>Crop of origin</t>
    </r>
    <r>
      <rPr>
        <sz val="11"/>
        <color theme="1"/>
        <rFont val="Calibri"/>
        <family val="2"/>
      </rPr>
      <t>†</t>
    </r>
  </si>
  <si>
    <r>
      <t>Use default or actual crop dry matter content?</t>
    </r>
    <r>
      <rPr>
        <sz val="11"/>
        <color theme="0"/>
        <rFont val="Calibri"/>
        <family val="2"/>
      </rPr>
      <t>‡</t>
    </r>
  </si>
  <si>
    <t>Default crop dry matter content (%)‡</t>
  </si>
  <si>
    <t>Actual crop dry matter content (%)‡</t>
  </si>
  <si>
    <t>Default</t>
  </si>
  <si>
    <r>
      <t>Biomethane yield (Nm</t>
    </r>
    <r>
      <rPr>
        <vertAlign val="superscript"/>
        <sz val="11"/>
        <color theme="0"/>
        <rFont val="Lao UI"/>
        <family val="2"/>
      </rPr>
      <t>3</t>
    </r>
    <r>
      <rPr>
        <sz val="11"/>
        <color theme="0"/>
        <rFont val="Lao UI"/>
        <family val="2"/>
      </rPr>
      <t>/t volatile solid)</t>
    </r>
  </si>
  <si>
    <t>Wastes (without manures)</t>
  </si>
  <si>
    <t>Default value look-up</t>
  </si>
  <si>
    <r>
      <t>Biomethane yield (Nm</t>
    </r>
    <r>
      <rPr>
        <vertAlign val="superscript"/>
        <sz val="11"/>
        <color theme="0"/>
        <rFont val="Calibri"/>
        <family val="2"/>
        <scheme val="minor"/>
      </rPr>
      <t>3</t>
    </r>
    <r>
      <rPr>
        <sz val="11"/>
        <color theme="0"/>
        <rFont val="Calibri"/>
        <family val="2"/>
        <scheme val="minor"/>
      </rPr>
      <t>/t volatile solid)</t>
    </r>
  </si>
  <si>
    <t>Feedstock dry matter content (%)</t>
  </si>
  <si>
    <t>Non-wastes</t>
  </si>
  <si>
    <t>Grass silage</t>
  </si>
  <si>
    <t>Wastes</t>
  </si>
  <si>
    <t>Food waste</t>
  </si>
  <si>
    <t>Notes</t>
  </si>
  <si>
    <t>* Feedstock dry matter at point of use (i.e. dry matter of the feedstock when fed to the digester); Default values can be found using the look-up table above</t>
  </si>
  <si>
    <t>† Only relevant for crop products; for agricultural residues and by-products select "Residue"</t>
  </si>
  <si>
    <t>‡ Crop dry matter content at point of harvest (i.e. dry matter of the crop when crop yield is recorded)</t>
  </si>
  <si>
    <t>Sense check - volatile tonnage</t>
  </si>
  <si>
    <t>Feedstock category</t>
  </si>
  <si>
    <t>tonnes (fresh)</t>
  </si>
  <si>
    <t>tonnes (DM)</t>
  </si>
  <si>
    <t>tonnes (VS)</t>
  </si>
  <si>
    <t>Manures</t>
  </si>
  <si>
    <r>
      <t>Feedstock dry matter content (%)</t>
    </r>
    <r>
      <rPr>
        <b/>
        <sz val="11"/>
        <color theme="0"/>
        <rFont val="Calibri"/>
        <family val="2"/>
      </rPr>
      <t>*</t>
    </r>
  </si>
  <si>
    <r>
      <t>Biomethane yield (Nm</t>
    </r>
    <r>
      <rPr>
        <b/>
        <vertAlign val="superscript"/>
        <sz val="11"/>
        <color theme="0"/>
        <rFont val="Lao UI"/>
        <family val="2"/>
      </rPr>
      <t>3</t>
    </r>
    <r>
      <rPr>
        <b/>
        <sz val="11"/>
        <color theme="0"/>
        <rFont val="Lao UI"/>
        <family val="2"/>
      </rPr>
      <t>/t volatile solid)</t>
    </r>
  </si>
  <si>
    <t>GGSS-ineligible feedstocks</t>
  </si>
  <si>
    <t xml:space="preserve">This worksheet should be used to enter all cultivation and harvest information and data for all products only. Seed, chemical, fuel and fertiliser use must be reported, relevant to all operations necessary to prepare the land, establish, manage and harvest the crop. The user should take care to select appropriate units for all inputs. Yield should be reported on a fresh tonne basis, as harvested. </t>
  </si>
  <si>
    <t>For internal calculation</t>
  </si>
  <si>
    <t>Total digestate used (t)</t>
  </si>
  <si>
    <t>Emissions - Overall</t>
  </si>
  <si>
    <t>Crop</t>
  </si>
  <si>
    <r>
      <t>gCO</t>
    </r>
    <r>
      <rPr>
        <vertAlign val="subscript"/>
        <sz val="10"/>
        <color theme="0"/>
        <rFont val="Lao UI"/>
        <family val="2"/>
      </rPr>
      <t>2eq</t>
    </r>
    <r>
      <rPr>
        <sz val="10"/>
        <color theme="0"/>
        <rFont val="Lao UI"/>
        <family val="2"/>
      </rPr>
      <t>/MJ</t>
    </r>
    <r>
      <rPr>
        <vertAlign val="subscript"/>
        <sz val="10"/>
        <color theme="0"/>
        <rFont val="Lao UI"/>
        <family val="2"/>
      </rPr>
      <t>biogas</t>
    </r>
  </si>
  <si>
    <t>Contribution to Chain</t>
  </si>
  <si>
    <t>Use typical values for:</t>
  </si>
  <si>
    <t>Do not use defaults</t>
  </si>
  <si>
    <r>
      <t>gCO2/kg</t>
    </r>
    <r>
      <rPr>
        <vertAlign val="subscript"/>
        <sz val="10"/>
        <color theme="0"/>
        <rFont val="Lao UI"/>
        <family val="2"/>
      </rPr>
      <t>output</t>
    </r>
  </si>
  <si>
    <t>Yield (harvested)</t>
  </si>
  <si>
    <t>Total cultivation and harvesting emissions</t>
  </si>
  <si>
    <t>Use default or actual yield?</t>
  </si>
  <si>
    <t>Default (t/Ha)</t>
  </si>
  <si>
    <t>Actual (t/Ha)</t>
  </si>
  <si>
    <t>Value (t/Ha)</t>
  </si>
  <si>
    <t>Fertiliser application</t>
  </si>
  <si>
    <t>Emissions - Breakdown</t>
  </si>
  <si>
    <t>Nitrogen Fertiliser</t>
  </si>
  <si>
    <t>Nitrogen composition (%)</t>
  </si>
  <si>
    <t>Unit (application)</t>
  </si>
  <si>
    <t>Value</t>
  </si>
  <si>
    <r>
      <t>gCO</t>
    </r>
    <r>
      <rPr>
        <vertAlign val="subscript"/>
        <sz val="10"/>
        <color theme="0"/>
        <rFont val="Lao UI"/>
        <family val="2"/>
      </rPr>
      <t>2eq</t>
    </r>
    <r>
      <rPr>
        <sz val="10"/>
        <color theme="0"/>
        <rFont val="Lao UI"/>
        <family val="2"/>
      </rPr>
      <t>/kg</t>
    </r>
    <r>
      <rPr>
        <vertAlign val="subscript"/>
        <sz val="10"/>
        <color theme="0"/>
        <rFont val="Lao UI"/>
        <family val="2"/>
      </rPr>
      <t>output</t>
    </r>
  </si>
  <si>
    <t>Organic Fertiliser</t>
  </si>
  <si>
    <t>Low in-field emissions fertiliser</t>
  </si>
  <si>
    <r>
      <t>P</t>
    </r>
    <r>
      <rPr>
        <vertAlign val="subscript"/>
        <sz val="10"/>
        <color theme="0"/>
        <rFont val="Lao UI"/>
        <family val="2"/>
      </rPr>
      <t>2</t>
    </r>
    <r>
      <rPr>
        <sz val="10"/>
        <color theme="0"/>
        <rFont val="Lao UI"/>
        <family val="2"/>
      </rPr>
      <t>O</t>
    </r>
    <r>
      <rPr>
        <vertAlign val="subscript"/>
        <sz val="10"/>
        <color theme="0"/>
        <rFont val="Lao UI"/>
        <family val="2"/>
      </rPr>
      <t>5</t>
    </r>
    <r>
      <rPr>
        <sz val="10"/>
        <color theme="0"/>
        <rFont val="Lao UI"/>
        <family val="2"/>
      </rPr>
      <t xml:space="preserve"> fertiliser</t>
    </r>
  </si>
  <si>
    <r>
      <t>P</t>
    </r>
    <r>
      <rPr>
        <vertAlign val="subscript"/>
        <sz val="10"/>
        <color theme="0"/>
        <rFont val="Lao UI"/>
        <family val="2"/>
      </rPr>
      <t>2</t>
    </r>
    <r>
      <rPr>
        <sz val="10"/>
        <color theme="0"/>
        <rFont val="Lao UI"/>
        <family val="2"/>
      </rPr>
      <t>O</t>
    </r>
    <r>
      <rPr>
        <vertAlign val="subscript"/>
        <sz val="10"/>
        <color theme="0"/>
        <rFont val="Lao UI"/>
        <family val="2"/>
      </rPr>
      <t>5</t>
    </r>
    <r>
      <rPr>
        <sz val="10"/>
        <color theme="0"/>
        <rFont val="Lao UI"/>
        <family val="2"/>
      </rPr>
      <t xml:space="preserve"> composition (%)</t>
    </r>
  </si>
  <si>
    <r>
      <t>K</t>
    </r>
    <r>
      <rPr>
        <vertAlign val="subscript"/>
        <sz val="10"/>
        <color theme="0"/>
        <rFont val="Lao UI"/>
        <family val="2"/>
      </rPr>
      <t>2</t>
    </r>
    <r>
      <rPr>
        <sz val="10"/>
        <color theme="0"/>
        <rFont val="Lao UI"/>
        <family val="2"/>
      </rPr>
      <t>O fertiliser</t>
    </r>
  </si>
  <si>
    <r>
      <t>K</t>
    </r>
    <r>
      <rPr>
        <vertAlign val="subscript"/>
        <sz val="10"/>
        <color theme="0"/>
        <rFont val="Lao UI"/>
        <family val="2"/>
      </rPr>
      <t>2</t>
    </r>
    <r>
      <rPr>
        <sz val="10"/>
        <color theme="0"/>
        <rFont val="Lao UI"/>
        <family val="2"/>
      </rPr>
      <t>O composition (%)</t>
    </r>
  </si>
  <si>
    <t>Other fertiliser</t>
  </si>
  <si>
    <t>Nutrient composition (%)</t>
  </si>
  <si>
    <t>Total application of nitrogen</t>
  </si>
  <si>
    <t>Unit</t>
  </si>
  <si>
    <t>kg(nitrogen)/Ha</t>
  </si>
  <si>
    <r>
      <t>N</t>
    </r>
    <r>
      <rPr>
        <vertAlign val="subscript"/>
        <sz val="10"/>
        <color theme="0"/>
        <rFont val="Lao UI"/>
        <family val="2"/>
      </rPr>
      <t>2</t>
    </r>
    <r>
      <rPr>
        <sz val="10"/>
        <color theme="0"/>
        <rFont val="Lao UI"/>
        <family val="2"/>
      </rPr>
      <t>O emissions</t>
    </r>
  </si>
  <si>
    <t>Pesticide application</t>
  </si>
  <si>
    <t>Pesticide</t>
  </si>
  <si>
    <t>Active ingredient composition (%)</t>
  </si>
  <si>
    <t>Seed application</t>
  </si>
  <si>
    <t>Seed</t>
  </si>
  <si>
    <t>Cultivation and harvesting fuel requirements</t>
  </si>
  <si>
    <t>Fuel</t>
  </si>
  <si>
    <t>Area needed (Ha)</t>
  </si>
  <si>
    <t xml:space="preserve">This worksheet should only be used if feedstock is not transported directly to the AD plant, and goes via an intermediate processing or storage facility, such as aggregaror, remote clamps, etc. Data is only required here for products. The mode of transport should be selected for each product, followed by distance, any transport losses, fuel use and load size. </t>
  </si>
  <si>
    <t>Mode</t>
  </si>
  <si>
    <t>No transport required</t>
  </si>
  <si>
    <t>Distance (km)</t>
  </si>
  <si>
    <t>Diesel</t>
  </si>
  <si>
    <t>Total emissions</t>
  </si>
  <si>
    <r>
      <t>Yield (tonnes</t>
    </r>
    <r>
      <rPr>
        <b/>
        <vertAlign val="subscript"/>
        <sz val="10"/>
        <color theme="1" tint="0.249977111117893"/>
        <rFont val="Lao UI"/>
        <family val="2"/>
      </rPr>
      <t>collected</t>
    </r>
    <r>
      <rPr>
        <b/>
        <sz val="10"/>
        <color theme="1" tint="0.249977111117893"/>
        <rFont val="Lao UI"/>
        <family val="2"/>
      </rPr>
      <t>/tonnes</t>
    </r>
    <r>
      <rPr>
        <b/>
        <vertAlign val="subscript"/>
        <sz val="10"/>
        <color theme="1" tint="0.249977111117893"/>
        <rFont val="Lao UI"/>
        <family val="2"/>
      </rPr>
      <t>delivered</t>
    </r>
    <r>
      <rPr>
        <b/>
        <sz val="10"/>
        <color theme="1" tint="0.249977111117893"/>
        <rFont val="Lao UI"/>
        <family val="2"/>
      </rPr>
      <t>)</t>
    </r>
  </si>
  <si>
    <r>
      <t>Default (tonnes</t>
    </r>
    <r>
      <rPr>
        <vertAlign val="subscript"/>
        <sz val="10"/>
        <color theme="0"/>
        <rFont val="Lao UI"/>
        <family val="2"/>
      </rPr>
      <t>collected</t>
    </r>
    <r>
      <rPr>
        <sz val="10"/>
        <color theme="0"/>
        <rFont val="Lao UI"/>
        <family val="2"/>
      </rPr>
      <t>/ tonnes</t>
    </r>
    <r>
      <rPr>
        <vertAlign val="subscript"/>
        <sz val="10"/>
        <color theme="0"/>
        <rFont val="Lao UI"/>
        <family val="2"/>
      </rPr>
      <t>delivered</t>
    </r>
    <r>
      <rPr>
        <sz val="10"/>
        <color theme="0"/>
        <rFont val="Lao UI"/>
        <family val="2"/>
      </rPr>
      <t>)</t>
    </r>
  </si>
  <si>
    <r>
      <t>Actual (tonnes</t>
    </r>
    <r>
      <rPr>
        <vertAlign val="subscript"/>
        <sz val="10"/>
        <color theme="0"/>
        <rFont val="Lao UI"/>
        <family val="2"/>
      </rPr>
      <t>collected</t>
    </r>
    <r>
      <rPr>
        <sz val="10"/>
        <color theme="0"/>
        <rFont val="Lao UI"/>
        <family val="2"/>
      </rPr>
      <t>/ tonnes</t>
    </r>
    <r>
      <rPr>
        <vertAlign val="subscript"/>
        <sz val="10"/>
        <color theme="0"/>
        <rFont val="Lao UI"/>
        <family val="2"/>
      </rPr>
      <t>delivered</t>
    </r>
    <r>
      <rPr>
        <sz val="10"/>
        <color theme="0"/>
        <rFont val="Lao UI"/>
        <family val="2"/>
      </rPr>
      <t>)</t>
    </r>
  </si>
  <si>
    <r>
      <t>Value (tonnes</t>
    </r>
    <r>
      <rPr>
        <vertAlign val="subscript"/>
        <sz val="10"/>
        <color theme="0"/>
        <rFont val="Lao UI"/>
        <family val="2"/>
      </rPr>
      <t>collected</t>
    </r>
    <r>
      <rPr>
        <sz val="10"/>
        <color theme="0"/>
        <rFont val="Lao UI"/>
        <family val="2"/>
      </rPr>
      <t>/ tonnes</t>
    </r>
    <r>
      <rPr>
        <vertAlign val="subscript"/>
        <sz val="10"/>
        <color theme="0"/>
        <rFont val="Lao UI"/>
        <family val="2"/>
      </rPr>
      <t>delivered</t>
    </r>
    <r>
      <rPr>
        <sz val="10"/>
        <color theme="0"/>
        <rFont val="Lao UI"/>
        <family val="2"/>
      </rPr>
      <t>)</t>
    </r>
  </si>
  <si>
    <t>Fuel emissions</t>
  </si>
  <si>
    <t>Transport efficiency</t>
  </si>
  <si>
    <t>Use default or actual efficiency?</t>
  </si>
  <si>
    <t>Default (MJ/tonne-km)</t>
  </si>
  <si>
    <t>Value (MJ/tonne-km)</t>
  </si>
  <si>
    <t>Is a load carried for the return journey?</t>
  </si>
  <si>
    <t>No</t>
  </si>
  <si>
    <t>litres</t>
  </si>
  <si>
    <t>Size of load</t>
  </si>
  <si>
    <t>tonnes</t>
  </si>
  <si>
    <t xml:space="preserve">This worksheet should be used to report any activities occuring between harvest and use for products and residues only. This would most likely be ensiling of crop feedstocks. For all products and residues below, the user should select whether any conversion applies and input values for energy, fuel and chemical use, or losses encountered during the process. </t>
  </si>
  <si>
    <t>Does the feedstock require ensiling or conversion?</t>
  </si>
  <si>
    <t>Use default or actual?</t>
  </si>
  <si>
    <t>Tonnes output</t>
  </si>
  <si>
    <r>
      <t>Yield (tonne</t>
    </r>
    <r>
      <rPr>
        <vertAlign val="subscript"/>
        <sz val="10"/>
        <color theme="0"/>
        <rFont val="Lao UI"/>
        <family val="2"/>
      </rPr>
      <t>output</t>
    </r>
    <r>
      <rPr>
        <sz val="10"/>
        <color theme="0"/>
        <rFont val="Lao UI"/>
        <family val="2"/>
      </rPr>
      <t>/tonne</t>
    </r>
    <r>
      <rPr>
        <vertAlign val="subscript"/>
        <sz val="10"/>
        <color theme="0"/>
        <rFont val="Lao UI"/>
        <family val="2"/>
      </rPr>
      <t>input</t>
    </r>
    <r>
      <rPr>
        <sz val="10"/>
        <color theme="0"/>
        <rFont val="Lao UI"/>
        <family val="2"/>
      </rPr>
      <t>)</t>
    </r>
  </si>
  <si>
    <t>Processing electricity requirements</t>
  </si>
  <si>
    <t>Source</t>
  </si>
  <si>
    <t>Electricity</t>
  </si>
  <si>
    <t>Processing fuel requirements</t>
  </si>
  <si>
    <t>Processing chemical requirements</t>
  </si>
  <si>
    <t>Chemical</t>
  </si>
  <si>
    <t>Co-products</t>
  </si>
  <si>
    <t>Does the processing step produce a co-product?</t>
  </si>
  <si>
    <t>Emission allocation</t>
  </si>
  <si>
    <t>Co-product yield</t>
  </si>
  <si>
    <r>
      <t>tonne</t>
    </r>
    <r>
      <rPr>
        <vertAlign val="subscript"/>
        <sz val="10"/>
        <color theme="1"/>
        <rFont val="Lao UI"/>
        <family val="2"/>
      </rPr>
      <t>co-product</t>
    </r>
    <r>
      <rPr>
        <sz val="10"/>
        <color theme="1"/>
        <rFont val="Lao UI"/>
        <family val="2"/>
      </rPr>
      <t>/tonne</t>
    </r>
    <r>
      <rPr>
        <vertAlign val="subscript"/>
        <sz val="10"/>
        <color theme="1"/>
        <rFont val="Lao UI"/>
        <family val="2"/>
      </rPr>
      <t>product*</t>
    </r>
  </si>
  <si>
    <t>Product</t>
  </si>
  <si>
    <t>Lower heating value of product†</t>
  </si>
  <si>
    <t>MJ/kg</t>
  </si>
  <si>
    <t>Co-product</t>
  </si>
  <si>
    <t>Lower heating value of co-product†</t>
  </si>
  <si>
    <t>*The product should be considered as the output material to this step used for anaerobic digestion (i.e. the feedstock)</t>
  </si>
  <si>
    <t>† Lower heating value should be provided based on the actual dry matter content of the co-product and product exiting the processing step</t>
  </si>
  <si>
    <t/>
  </si>
  <si>
    <r>
      <t>This worksheet should only be used if a change in land use has occurred, where land use is defined by the IPCC as forest land, grassland, cropland, wetlands, settlements, and other land. In this case, the land's carbon stock before land-use change (CS Reference) and current carbon stock (CSActual) can be used in order to calculate emissions or emissions savings from land-use change. If certain criteria are met, the bonus of 29 gCO</t>
    </r>
    <r>
      <rPr>
        <i/>
        <vertAlign val="subscript"/>
        <sz val="11"/>
        <color theme="0" tint="-0.499984740745262"/>
        <rFont val="Lao UI"/>
        <family val="2"/>
      </rPr>
      <t>2</t>
    </r>
    <r>
      <rPr>
        <i/>
        <sz val="11"/>
        <color theme="0" tint="-0.499984740745262"/>
        <rFont val="Lao UI"/>
        <family val="2"/>
      </rPr>
      <t>eq/MJ can be applied. See GGSS guidance for more information on the criteria for this.</t>
    </r>
  </si>
  <si>
    <t>Land-use change</t>
  </si>
  <si>
    <t xml:space="preserve"> (t/ha/year)</t>
  </si>
  <si>
    <r>
      <t>MJ</t>
    </r>
    <r>
      <rPr>
        <vertAlign val="subscript"/>
        <sz val="10"/>
        <color theme="0"/>
        <rFont val="Lao UI"/>
        <family val="2"/>
      </rPr>
      <t>biogas</t>
    </r>
    <r>
      <rPr>
        <sz val="10"/>
        <color theme="0"/>
        <rFont val="Lao UI"/>
        <family val="2"/>
      </rPr>
      <t>/ha/year</t>
    </r>
  </si>
  <si>
    <r>
      <t xml:space="preserve"> (t</t>
    </r>
    <r>
      <rPr>
        <vertAlign val="subscript"/>
        <sz val="10"/>
        <color theme="0"/>
        <rFont val="Lao UI"/>
        <family val="2"/>
      </rPr>
      <t>carbon</t>
    </r>
    <r>
      <rPr>
        <sz val="10"/>
        <color theme="0"/>
        <rFont val="Lao UI"/>
        <family val="2"/>
      </rPr>
      <t>/ha)</t>
    </r>
  </si>
  <si>
    <r>
      <t xml:space="preserve"> (t</t>
    </r>
    <r>
      <rPr>
        <vertAlign val="subscript"/>
        <sz val="10"/>
        <color theme="0"/>
        <rFont val="Lao UI"/>
        <family val="2"/>
      </rPr>
      <t>CO₂</t>
    </r>
    <r>
      <rPr>
        <sz val="10"/>
        <color theme="0"/>
        <rFont val="Lao UI"/>
        <family val="2"/>
      </rPr>
      <t>/ha/year)</t>
    </r>
  </si>
  <si>
    <t>Biogas yield</t>
  </si>
  <si>
    <r>
      <t>CS</t>
    </r>
    <r>
      <rPr>
        <i/>
        <vertAlign val="subscript"/>
        <sz val="10"/>
        <color theme="0"/>
        <rFont val="Lao UI"/>
        <family val="2"/>
      </rPr>
      <t>Reference</t>
    </r>
  </si>
  <si>
    <r>
      <rPr>
        <i/>
        <sz val="10"/>
        <color theme="0"/>
        <rFont val="Lao UI"/>
        <family val="2"/>
      </rPr>
      <t>CS</t>
    </r>
    <r>
      <rPr>
        <i/>
        <vertAlign val="subscript"/>
        <sz val="10"/>
        <color theme="0"/>
        <rFont val="Lao UI"/>
        <family val="2"/>
      </rPr>
      <t>Actual</t>
    </r>
  </si>
  <si>
    <r>
      <t xml:space="preserve">Can </t>
    </r>
    <r>
      <rPr>
        <i/>
        <sz val="10"/>
        <color theme="0"/>
        <rFont val="Lao UI"/>
        <family val="2"/>
      </rPr>
      <t>e</t>
    </r>
    <r>
      <rPr>
        <i/>
        <vertAlign val="subscript"/>
        <sz val="10"/>
        <color theme="0"/>
        <rFont val="Lao UI"/>
        <family val="2"/>
      </rPr>
      <t>B</t>
    </r>
    <r>
      <rPr>
        <sz val="10"/>
        <color theme="0"/>
        <rFont val="Lao UI"/>
        <family val="2"/>
      </rPr>
      <t xml:space="preserve"> be applied?*</t>
    </r>
  </si>
  <si>
    <t>Annualised CO₂ emission</t>
  </si>
  <si>
    <r>
      <t>*eB: A bonus of 29 gCO</t>
    </r>
    <r>
      <rPr>
        <vertAlign val="subscript"/>
        <sz val="10"/>
        <color theme="1" tint="0.249977111117893"/>
        <rFont val="Lao UI"/>
        <family val="2"/>
      </rPr>
      <t>2</t>
    </r>
    <r>
      <rPr>
        <sz val="10"/>
        <color theme="1" tint="0.249977111117893"/>
        <rFont val="Lao UI"/>
        <family val="2"/>
      </rPr>
      <t>eq /MJ shall be attributed if evidence is provided that the land:  
a) was not in use for agriculture in January 2008; and  
b) is severely degraded land, including such land that was formerly in agricultural use. 
The bonus of 29 gCO</t>
    </r>
    <r>
      <rPr>
        <vertAlign val="subscript"/>
        <sz val="10"/>
        <color theme="1" tint="0.249977111117893"/>
        <rFont val="Lao UI"/>
        <family val="2"/>
      </rPr>
      <t>2</t>
    </r>
    <r>
      <rPr>
        <sz val="10"/>
        <color theme="1" tint="0.249977111117893"/>
        <rFont val="Lao UI"/>
        <family val="2"/>
      </rPr>
      <t xml:space="preserve">eq /MJ shall apply for a period of up to 20 years from the date of conversion of the land to agricultural use, provided that a steady increase in carbon stocks as well as a sizable reduction in erosion phenomena for land falling under (b) are demonstrated. </t>
    </r>
  </si>
  <si>
    <t>N.B. this number is negative where there is a carbon saving and positive where there is a carbon emission.</t>
  </si>
  <si>
    <t>Where crop cultivation is carried out on land significantly improved by changes in agricultural management, carbon savings can be taken into account only if solid and verifiable evidence is provided that the soil carbon has increased or that it is reasonable to expect to have increased over the period in which the raw materials concerned were cultivated. To do this, the User must enter the land's carbon stock before improvements in agricultural management (CSReference) and after (CSActual), as well as the time period over which this applies (up to 20 years). Otherwise, this sheet can be left blank.</t>
  </si>
  <si>
    <t>Soil carbon accumulation</t>
  </si>
  <si>
    <t>t/ha/year</t>
  </si>
  <si>
    <r>
      <t>t</t>
    </r>
    <r>
      <rPr>
        <vertAlign val="subscript"/>
        <sz val="10"/>
        <color theme="0"/>
        <rFont val="Lao UI"/>
        <family val="2"/>
      </rPr>
      <t>carbon</t>
    </r>
    <r>
      <rPr>
        <sz val="10"/>
        <color theme="0"/>
        <rFont val="Lao UI"/>
        <family val="2"/>
      </rPr>
      <t>/ha</t>
    </r>
  </si>
  <si>
    <r>
      <t>t</t>
    </r>
    <r>
      <rPr>
        <vertAlign val="subscript"/>
        <sz val="10"/>
        <color theme="0"/>
        <rFont val="Lao UI"/>
        <family val="2"/>
      </rPr>
      <t>carbon</t>
    </r>
    <r>
      <rPr>
        <sz val="10"/>
        <color theme="0"/>
        <rFont val="Lao UI"/>
        <family val="2"/>
      </rPr>
      <t>/h</t>
    </r>
  </si>
  <si>
    <t>years</t>
  </si>
  <si>
    <r>
      <t>t</t>
    </r>
    <r>
      <rPr>
        <vertAlign val="subscript"/>
        <sz val="10"/>
        <color theme="0"/>
        <rFont val="Lao UI"/>
        <family val="2"/>
      </rPr>
      <t>CO₂</t>
    </r>
    <r>
      <rPr>
        <sz val="10"/>
        <color theme="0"/>
        <rFont val="Lao UI"/>
        <family val="2"/>
      </rPr>
      <t>/ha/year</t>
    </r>
  </si>
  <si>
    <t>Time period</t>
  </si>
  <si>
    <t>N.B. in contrast to land-use change, this number is positive where there is a carbon saving and negative where there is a carbon emission.</t>
  </si>
  <si>
    <t xml:space="preserve">This worksheet is used for calculation purposes only. Where livestock waste is used, a standard carbon credit is available to account for the reduction in fugitive emissions from conventional slurry and manure management - the credit is 45 gCO₂eq per MJ manure, so this varies on a per tonne basis depending on the DM and energy value of the manure. If manures are entered on the Feedstocks worksheet, the manure credit will be automatically applied. </t>
  </si>
  <si>
    <t>Manure credit</t>
  </si>
  <si>
    <t>Amount of manure (t)</t>
  </si>
  <si>
    <t>Manure dry matter content (%)</t>
  </si>
  <si>
    <t>Equivalent amount of dry manure (t)</t>
  </si>
  <si>
    <t>Energy (MJ)</t>
  </si>
  <si>
    <r>
      <t>Emissions (gCO</t>
    </r>
    <r>
      <rPr>
        <vertAlign val="subscript"/>
        <sz val="10"/>
        <color theme="0"/>
        <rFont val="Lao UI"/>
        <family val="2"/>
      </rPr>
      <t>2</t>
    </r>
    <r>
      <rPr>
        <sz val="10"/>
        <color theme="0"/>
        <rFont val="Lao UI"/>
        <family val="2"/>
      </rPr>
      <t>eq)</t>
    </r>
  </si>
  <si>
    <r>
      <t xml:space="preserve">45 gCO₂eq </t>
    </r>
    <r>
      <rPr>
        <b/>
        <u/>
        <sz val="10"/>
        <color theme="1"/>
        <rFont val="Lao UI"/>
        <family val="2"/>
      </rPr>
      <t>per MJ manure</t>
    </r>
  </si>
  <si>
    <t xml:space="preserve">This worksheet should be used to report transport activity for all feedstocks delivered to the AD plant. For products, this should cover transport from intermidiate processing or storage location, if appropriate, or full distance from source if no intermediate step and no data reported in Transport 1. For residues and waste, this should cover transport from the point of collection only. The mode of transport should be selected for each feedstock, followed by distance, any transport losses, fuel use and load size. </t>
  </si>
  <si>
    <t xml:space="preserve">This worksheet is used to report AD plant outputs (energy and digestate) and system inputs (excl. feedstock). All values should be supported by meter readings, where appropriate. The plant set-up should be determined (row 86 to 92) and Calculation approach selected (row 95) for the calculator to work correctly. If emissions are allocated to digestate, the tool will also include these as cultivation emissions where digestate is used on relevant feedstocks. </t>
  </si>
  <si>
    <t>Anaerobic Digestion</t>
  </si>
  <si>
    <r>
      <t>MJ</t>
    </r>
    <r>
      <rPr>
        <vertAlign val="subscript"/>
        <sz val="10"/>
        <color theme="0"/>
        <rFont val="Lao UI"/>
        <family val="2"/>
      </rPr>
      <t>biogas</t>
    </r>
  </si>
  <si>
    <r>
      <t>MJ</t>
    </r>
    <r>
      <rPr>
        <vertAlign val="subscript"/>
        <sz val="10"/>
        <color theme="0"/>
        <rFont val="Lao UI"/>
        <family val="2"/>
      </rPr>
      <t>biogas</t>
    </r>
    <r>
      <rPr>
        <sz val="10"/>
        <color theme="0"/>
        <rFont val="Lao UI"/>
        <family val="2"/>
      </rPr>
      <t>/t</t>
    </r>
    <r>
      <rPr>
        <vertAlign val="subscript"/>
        <sz val="10"/>
        <color theme="0"/>
        <rFont val="Lao UI"/>
        <family val="2"/>
      </rPr>
      <t>input</t>
    </r>
  </si>
  <si>
    <t>Module yield</t>
  </si>
  <si>
    <t>Biomethane production and apportionment</t>
  </si>
  <si>
    <t>Tonnage</t>
  </si>
  <si>
    <r>
      <t>Biomethane yield (Nm</t>
    </r>
    <r>
      <rPr>
        <vertAlign val="superscript"/>
        <sz val="10"/>
        <color indexed="9"/>
        <rFont val="Lao UI"/>
        <family val="2"/>
      </rPr>
      <t>3</t>
    </r>
    <r>
      <rPr>
        <sz val="10"/>
        <color indexed="9"/>
        <rFont val="Lao UI"/>
        <family val="2"/>
      </rPr>
      <t>/t volatile solid)</t>
    </r>
  </si>
  <si>
    <r>
      <t>Theoretical biomethane yield (Nm</t>
    </r>
    <r>
      <rPr>
        <vertAlign val="superscript"/>
        <sz val="10"/>
        <color indexed="9"/>
        <rFont val="Lao UI"/>
        <family val="2"/>
      </rPr>
      <t>3</t>
    </r>
    <r>
      <rPr>
        <sz val="10"/>
        <color indexed="9"/>
        <rFont val="Lao UI"/>
        <family val="2"/>
      </rPr>
      <t>)</t>
    </r>
  </si>
  <si>
    <r>
      <t>Apportioned biogas yield (MJ</t>
    </r>
    <r>
      <rPr>
        <vertAlign val="subscript"/>
        <sz val="10"/>
        <color indexed="9"/>
        <rFont val="Lao UI"/>
        <family val="2"/>
      </rPr>
      <t>biogas</t>
    </r>
    <r>
      <rPr>
        <sz val="10"/>
        <color indexed="9"/>
        <rFont val="Lao UI"/>
        <family val="2"/>
      </rPr>
      <t>/t</t>
    </r>
    <r>
      <rPr>
        <vertAlign val="subscript"/>
        <sz val="10"/>
        <color indexed="9"/>
        <rFont val="Lao UI"/>
        <family val="2"/>
      </rPr>
      <t>input</t>
    </r>
    <r>
      <rPr>
        <sz val="10"/>
        <color indexed="9"/>
        <rFont val="Lao UI"/>
        <family val="2"/>
      </rPr>
      <t>)</t>
    </r>
  </si>
  <si>
    <t>Non-waste feedstock</t>
  </si>
  <si>
    <t>Total digestion emissions</t>
  </si>
  <si>
    <t>Biogas</t>
  </si>
  <si>
    <t>Digestate</t>
  </si>
  <si>
    <t>Waste feedstock</t>
  </si>
  <si>
    <t>Ineligible feedstocks</t>
  </si>
  <si>
    <t>Sum tonnage</t>
  </si>
  <si>
    <t>sum theoretic. methane</t>
  </si>
  <si>
    <t>`</t>
  </si>
  <si>
    <t>PLANT OUTPUTS</t>
  </si>
  <si>
    <t>Plant set-up</t>
  </si>
  <si>
    <r>
      <t xml:space="preserve">Is a </t>
    </r>
    <r>
      <rPr>
        <b/>
        <sz val="10"/>
        <color theme="0"/>
        <rFont val="Lao UI"/>
        <family val="2"/>
      </rPr>
      <t>biogas</t>
    </r>
    <r>
      <rPr>
        <sz val="10"/>
        <color theme="0"/>
        <rFont val="Lao UI"/>
        <family val="2"/>
      </rPr>
      <t xml:space="preserve"> boiler used to generate heat?</t>
    </r>
  </si>
  <si>
    <r>
      <t xml:space="preserve">Is a </t>
    </r>
    <r>
      <rPr>
        <b/>
        <sz val="10"/>
        <color theme="0"/>
        <rFont val="Lao UI"/>
        <family val="2"/>
      </rPr>
      <t>biogas</t>
    </r>
    <r>
      <rPr>
        <sz val="10"/>
        <color theme="0"/>
        <rFont val="Lao UI"/>
        <family val="2"/>
      </rPr>
      <t xml:space="preserve"> CHP used?</t>
    </r>
  </si>
  <si>
    <r>
      <t xml:space="preserve">Is a </t>
    </r>
    <r>
      <rPr>
        <b/>
        <sz val="10"/>
        <color theme="0"/>
        <rFont val="Lao UI"/>
        <family val="2"/>
      </rPr>
      <t>natural gas</t>
    </r>
    <r>
      <rPr>
        <sz val="10"/>
        <color theme="0"/>
        <rFont val="Lao UI"/>
        <family val="2"/>
      </rPr>
      <t xml:space="preserve"> boiler used to generate heat?</t>
    </r>
  </si>
  <si>
    <r>
      <t xml:space="preserve">Is a </t>
    </r>
    <r>
      <rPr>
        <b/>
        <sz val="10"/>
        <color theme="0"/>
        <rFont val="Lao UI"/>
        <family val="2"/>
      </rPr>
      <t>natural gas</t>
    </r>
    <r>
      <rPr>
        <sz val="10"/>
        <color theme="0"/>
        <rFont val="Lao UI"/>
        <family val="2"/>
      </rPr>
      <t xml:space="preserve"> CHP used?</t>
    </r>
  </si>
  <si>
    <r>
      <t xml:space="preserve">Is a </t>
    </r>
    <r>
      <rPr>
        <b/>
        <sz val="10"/>
        <color theme="0"/>
        <rFont val="Lao UI"/>
        <family val="2"/>
      </rPr>
      <t xml:space="preserve">diesel </t>
    </r>
    <r>
      <rPr>
        <sz val="10"/>
        <color theme="0"/>
        <rFont val="Lao UI"/>
        <family val="2"/>
      </rPr>
      <t>generator used?</t>
    </r>
  </si>
  <si>
    <t>Is the digestate storage covered or open?</t>
  </si>
  <si>
    <t>Do you measure total crude biogas generation?</t>
  </si>
  <si>
    <t>LCA methodology</t>
  </si>
  <si>
    <t>Do you wish to allocate emissions to digestate?</t>
  </si>
  <si>
    <t>Total biogas generated</t>
  </si>
  <si>
    <r>
      <t>Energy (MJ</t>
    </r>
    <r>
      <rPr>
        <vertAlign val="subscript"/>
        <sz val="10"/>
        <color theme="0"/>
        <rFont val="Lao UI"/>
        <family val="2"/>
      </rPr>
      <t>LHV</t>
    </r>
    <r>
      <rPr>
        <sz val="10"/>
        <color theme="0"/>
        <rFont val="Lao UI"/>
        <family val="2"/>
      </rPr>
      <t>)</t>
    </r>
  </si>
  <si>
    <t>Nm³</t>
  </si>
  <si>
    <t>% methane in biogas</t>
  </si>
  <si>
    <t>%</t>
  </si>
  <si>
    <t>Output estimation tool</t>
  </si>
  <si>
    <t>Biomethane Injected</t>
  </si>
  <si>
    <t>Emissions - Downstream allocations</t>
  </si>
  <si>
    <t>Gas for Injection</t>
  </si>
  <si>
    <r>
      <t>Net efficiences (MJ/MJ</t>
    </r>
    <r>
      <rPr>
        <vertAlign val="subscript"/>
        <sz val="10"/>
        <color theme="0"/>
        <rFont val="Lao UI"/>
        <family val="2"/>
      </rPr>
      <t>biogas</t>
    </r>
    <r>
      <rPr>
        <sz val="10"/>
        <color theme="0"/>
        <rFont val="Lao UI"/>
        <family val="2"/>
      </rPr>
      <t>)</t>
    </r>
  </si>
  <si>
    <t>Gas to Boiler</t>
  </si>
  <si>
    <t>Total gas injected into grid</t>
  </si>
  <si>
    <t>kWh (GCV or HHV)</t>
  </si>
  <si>
    <t>Biomethane</t>
  </si>
  <si>
    <t>Gas to CHP</t>
  </si>
  <si>
    <t>Propane to be deducted</t>
  </si>
  <si>
    <t>Exported heat (boiler)</t>
  </si>
  <si>
    <t>Biomethane injected into grid</t>
  </si>
  <si>
    <t>Exported electricity (CHP)</t>
  </si>
  <si>
    <t>Biomethane Injection</t>
  </si>
  <si>
    <t>Exported heat (CHP)</t>
  </si>
  <si>
    <r>
      <t>Estimated Biomethane yield (Nm</t>
    </r>
    <r>
      <rPr>
        <vertAlign val="superscript"/>
        <sz val="9"/>
        <color theme="0"/>
        <rFont val="Lao UI"/>
        <family val="2"/>
      </rPr>
      <t>3</t>
    </r>
    <r>
      <rPr>
        <sz val="9"/>
        <color theme="0"/>
        <rFont val="Lao UI"/>
        <family val="2"/>
      </rPr>
      <t>)</t>
    </r>
  </si>
  <si>
    <t>Biogas Boiler</t>
  </si>
  <si>
    <t>Estimated Biomethane yield (kWh)</t>
  </si>
  <si>
    <t>How do you measure biogas boiler use?</t>
  </si>
  <si>
    <t>Biogas for electricity (CHP)</t>
  </si>
  <si>
    <t>Boiler</t>
  </si>
  <si>
    <t>Biogas for heat (CHP)</t>
  </si>
  <si>
    <r>
      <t>Biogas to boiler (Nm</t>
    </r>
    <r>
      <rPr>
        <vertAlign val="superscript"/>
        <sz val="9"/>
        <color theme="0"/>
        <rFont val="Lao UI"/>
        <family val="2"/>
      </rPr>
      <t>3</t>
    </r>
    <r>
      <rPr>
        <sz val="9"/>
        <color theme="0"/>
        <rFont val="Lao UI"/>
        <family val="2"/>
      </rPr>
      <t>)</t>
    </r>
  </si>
  <si>
    <t>Biogas to boiler</t>
  </si>
  <si>
    <t xml:space="preserve">Nm³ </t>
  </si>
  <si>
    <t>Thermal Efficiency</t>
  </si>
  <si>
    <t>Biomethane content of biogas</t>
  </si>
  <si>
    <t>N/A</t>
  </si>
  <si>
    <t>Estimated Heat Production (kWh)</t>
  </si>
  <si>
    <t>Biomethane CV</t>
  </si>
  <si>
    <t xml:space="preserve">MJ/Nm³ </t>
  </si>
  <si>
    <t>CHP</t>
  </si>
  <si>
    <r>
      <t>Biogas to CHP (Nm</t>
    </r>
    <r>
      <rPr>
        <vertAlign val="superscript"/>
        <sz val="9"/>
        <color theme="0"/>
        <rFont val="Lao UI"/>
        <family val="2"/>
      </rPr>
      <t>3</t>
    </r>
    <r>
      <rPr>
        <sz val="9"/>
        <color theme="0"/>
        <rFont val="Lao UI"/>
        <family val="2"/>
      </rPr>
      <t>)</t>
    </r>
  </si>
  <si>
    <t>Total heat production</t>
  </si>
  <si>
    <t>kWh</t>
  </si>
  <si>
    <t>Electrical Efficiency</t>
  </si>
  <si>
    <t>Exported heat (i.e.non-parasitic)</t>
  </si>
  <si>
    <t>Estimated Electricity Production (kWh)</t>
  </si>
  <si>
    <t>Temperature of useful heat at point of delivery</t>
  </si>
  <si>
    <t>°C</t>
  </si>
  <si>
    <t>Carnot efficiency (useful energy in heat)</t>
  </si>
  <si>
    <t>Biogas CHP</t>
  </si>
  <si>
    <t>How do you measure biogas CHP use?</t>
  </si>
  <si>
    <t>Biogas to CHP</t>
  </si>
  <si>
    <t>Methane content of biogas</t>
  </si>
  <si>
    <t>Methane LHV</t>
  </si>
  <si>
    <t>Total electricity production</t>
  </si>
  <si>
    <t>Exported electricity</t>
  </si>
  <si>
    <t>Exported heat (i.e. non-parasitic)</t>
  </si>
  <si>
    <t>Flared gas</t>
  </si>
  <si>
    <t>Gas used in flare</t>
  </si>
  <si>
    <t>MJ</t>
  </si>
  <si>
    <t>Flare tool</t>
  </si>
  <si>
    <t>How is flared gas recorded on site?</t>
  </si>
  <si>
    <t>energy consumed in flare</t>
  </si>
  <si>
    <t>gas consumed in flare</t>
  </si>
  <si>
    <t>operating time of flare</t>
  </si>
  <si>
    <t>h</t>
  </si>
  <si>
    <t>capacity of flare</t>
  </si>
  <si>
    <t>Nm³/h</t>
  </si>
  <si>
    <t>INTERNAL ENERGY ALLOCATIONS</t>
  </si>
  <si>
    <t>Total biogas required for exported outputs (MJ)</t>
  </si>
  <si>
    <t xml:space="preserve">Internal energy requirements are allocated to the final products based on the energy in the biomethane and electricty streams and useable heat (accounting for carnot efficiency) of heat streams.
Biogas used for biomethane upgrading electricity requirements is calculated using the equation of: Upgrading electricty requirement/chp electrical generation efficiency * chp emission allocation for electricity
(This relies on the assumption that the co-produced heat from electricity used during upgrading is required for digester heating requirements)
</t>
  </si>
  <si>
    <t>Dry matter content (%)</t>
  </si>
  <si>
    <t>Digestate for allocation (MJ)</t>
  </si>
  <si>
    <t>Digestate (unseparated)</t>
  </si>
  <si>
    <t>Biogas for biomethane</t>
  </si>
  <si>
    <t>Solid fraction (for any separated digestate)</t>
  </si>
  <si>
    <t>Biogas for boiler exported heat</t>
  </si>
  <si>
    <t>Liquid fraction (for any separated digestate)</t>
  </si>
  <si>
    <t>Biogas for CHP heat (MJ)</t>
  </si>
  <si>
    <t>Biogas for CHP electricity (MJ)</t>
  </si>
  <si>
    <t>DIGESTION INPUTS</t>
  </si>
  <si>
    <t>Total biogas to produce all exported energy (MJ)</t>
  </si>
  <si>
    <t>Total biogas to produce all products (exported + internal) (MJ)</t>
  </si>
  <si>
    <t>Covered</t>
  </si>
  <si>
    <t>Open</t>
  </si>
  <si>
    <t>Biogas for electricity used in upgrading (MJ)</t>
  </si>
  <si>
    <t>Biogas for digester internal energy requirements (MJ)</t>
  </si>
  <si>
    <t>Digestion electricity requirements</t>
  </si>
  <si>
    <t>Useable energy in products (MJ)</t>
  </si>
  <si>
    <t>Allocation factors</t>
  </si>
  <si>
    <t>Biogas allocations (internal)</t>
  </si>
  <si>
    <t>Biogas allocations (total)</t>
  </si>
  <si>
    <t>Electricity import</t>
  </si>
  <si>
    <t>Biogas for exported boiler heat</t>
  </si>
  <si>
    <t>Electricity (onsite anaerobic digestion)</t>
  </si>
  <si>
    <t>Electricity (onsite)</t>
  </si>
  <si>
    <t>Biogas for CHP exported heat</t>
  </si>
  <si>
    <t>Biogas for CHP exported electricity</t>
  </si>
  <si>
    <t>Digestion fuel requirements</t>
  </si>
  <si>
    <t>Biogas for CHP</t>
  </si>
  <si>
    <t>Total energy in exportable products (MJ)</t>
  </si>
  <si>
    <t>Natural gas</t>
  </si>
  <si>
    <r>
      <t xml:space="preserve">Net efficiencies (MJ/MJ </t>
    </r>
    <r>
      <rPr>
        <vertAlign val="subscript"/>
        <sz val="9"/>
        <color theme="0"/>
        <rFont val="Lao UI"/>
        <family val="2"/>
      </rPr>
      <t>biogas</t>
    </r>
    <r>
      <rPr>
        <sz val="9"/>
        <color theme="0"/>
        <rFont val="Lao UI"/>
        <family val="2"/>
      </rPr>
      <t>)</t>
    </r>
  </si>
  <si>
    <r>
      <t xml:space="preserve">Final allocations (MJ </t>
    </r>
    <r>
      <rPr>
        <vertAlign val="subscript"/>
        <sz val="9"/>
        <color theme="0"/>
        <rFont val="Lao UI"/>
        <family val="2"/>
      </rPr>
      <t>biogas</t>
    </r>
    <r>
      <rPr>
        <sz val="9"/>
        <color theme="0"/>
        <rFont val="Lao UI"/>
        <family val="2"/>
      </rPr>
      <t>)</t>
    </r>
  </si>
  <si>
    <t>Balance Check</t>
  </si>
  <si>
    <t>Digestion chemical requirements</t>
  </si>
  <si>
    <t>Overview - total electricity (digestion &amp; upgrading)</t>
  </si>
  <si>
    <t>Total electricity demand</t>
  </si>
  <si>
    <t>Imported electricity (UK mix)</t>
  </si>
  <si>
    <t>Estimated electricity for digestion (kWh)</t>
  </si>
  <si>
    <t>Electricity from onsite biogas</t>
  </si>
  <si>
    <t>Generator</t>
  </si>
  <si>
    <t>Electricity from onsite natural gas</t>
  </si>
  <si>
    <t>Imported electricty</t>
  </si>
  <si>
    <t>Electricity (UK mix)</t>
  </si>
  <si>
    <t>Natural gas CHP electricity tool</t>
  </si>
  <si>
    <t>Natural gas used to generate process electricity</t>
  </si>
  <si>
    <t>Natural gas used to generate process heat</t>
  </si>
  <si>
    <t>Natural gas used to generate exported electricity</t>
  </si>
  <si>
    <t>Natural gas used to generate exported heat</t>
  </si>
  <si>
    <t>Natural gas CHP</t>
  </si>
  <si>
    <t>How do you measure natural gas CHP use?</t>
  </si>
  <si>
    <t>Allocation for natural gas CHP</t>
  </si>
  <si>
    <t>Natural gas to CHP</t>
  </si>
  <si>
    <t>Natural gas LHV</t>
  </si>
  <si>
    <r>
      <t>MJ</t>
    </r>
    <r>
      <rPr>
        <vertAlign val="subscript"/>
        <sz val="10"/>
        <color theme="1" tint="0.249977111117893"/>
        <rFont val="Lao UI"/>
        <family val="2"/>
      </rPr>
      <t>LHV</t>
    </r>
    <r>
      <rPr>
        <sz val="10"/>
        <color theme="1" tint="0.249977111117893"/>
        <rFont val="Lao UI"/>
        <family val="2"/>
      </rPr>
      <t>/kWh</t>
    </r>
    <r>
      <rPr>
        <vertAlign val="subscript"/>
        <sz val="10"/>
        <color theme="1" tint="0.249977111117893"/>
        <rFont val="Lao UI"/>
        <family val="2"/>
      </rPr>
      <t>HHV</t>
    </r>
  </si>
  <si>
    <t>Natural gas for process electricity (CHP)</t>
  </si>
  <si>
    <t>Natural gas for process heat (CHP)</t>
  </si>
  <si>
    <t>Natural gas for exported electricity (CHP)</t>
  </si>
  <si>
    <t>Natural gas for exported heat (CHP)</t>
  </si>
  <si>
    <t>Electrical efficiency of CHP</t>
  </si>
  <si>
    <t>Heat efficiency of CHP</t>
  </si>
  <si>
    <t>Diesel generator electricity tool</t>
  </si>
  <si>
    <t>How is generator use recorded on site?</t>
  </si>
  <si>
    <t>Efficiency of generator</t>
  </si>
  <si>
    <t>l/kWh</t>
  </si>
  <si>
    <t>Generator calculator</t>
  </si>
  <si>
    <t>units</t>
  </si>
  <si>
    <t>by fuel</t>
  </si>
  <si>
    <t>by electricity</t>
  </si>
  <si>
    <t>Natural gas boiler tool</t>
  </si>
  <si>
    <t>How do you measure natural gas use in the boiler?</t>
  </si>
  <si>
    <t>Natural gas to boiler</t>
  </si>
  <si>
    <t>Efficiency of boiler</t>
  </si>
  <si>
    <t>Biomethane Upgrading and Injection</t>
  </si>
  <si>
    <r>
      <t>MJ</t>
    </r>
    <r>
      <rPr>
        <vertAlign val="subscript"/>
        <sz val="10"/>
        <color theme="0"/>
        <rFont val="Lao UI"/>
        <family val="2"/>
      </rPr>
      <t>biomethane</t>
    </r>
  </si>
  <si>
    <r>
      <t>MJ</t>
    </r>
    <r>
      <rPr>
        <vertAlign val="subscript"/>
        <sz val="10"/>
        <color theme="0"/>
        <rFont val="Lao UI"/>
        <family val="2"/>
      </rPr>
      <t>biomethane output</t>
    </r>
    <r>
      <rPr>
        <sz val="10"/>
        <color theme="0"/>
        <rFont val="Lao UI"/>
        <family val="2"/>
      </rPr>
      <t>/ MJ</t>
    </r>
    <r>
      <rPr>
        <vertAlign val="subscript"/>
        <sz val="10"/>
        <color theme="0"/>
        <rFont val="Lao UI"/>
        <family val="2"/>
      </rPr>
      <t>biomethane input</t>
    </r>
  </si>
  <si>
    <r>
      <t>gCO</t>
    </r>
    <r>
      <rPr>
        <vertAlign val="subscript"/>
        <sz val="10"/>
        <color theme="0"/>
        <rFont val="Lao UI"/>
        <family val="2"/>
      </rPr>
      <t>2eq</t>
    </r>
    <r>
      <rPr>
        <sz val="10"/>
        <color theme="0"/>
        <rFont val="Lao UI"/>
        <family val="2"/>
      </rPr>
      <t>/MJ</t>
    </r>
    <r>
      <rPr>
        <vertAlign val="subscript"/>
        <sz val="10"/>
        <color theme="0"/>
        <rFont val="Lao UI"/>
        <family val="2"/>
      </rPr>
      <t>biomethane</t>
    </r>
  </si>
  <si>
    <t>Total upgrading and injection emissions</t>
  </si>
  <si>
    <t>Biogas upgrading technology</t>
  </si>
  <si>
    <t>Technology used?</t>
  </si>
  <si>
    <t>Off-gas combustion?</t>
  </si>
  <si>
    <t>Membranes</t>
  </si>
  <si>
    <t>no off-gas combustion</t>
  </si>
  <si>
    <t>Methane slip (upgrading)</t>
  </si>
  <si>
    <t>Use default or actual yield loss?</t>
  </si>
  <si>
    <t>Methane slip (injection)</t>
  </si>
  <si>
    <t>Use default or actual methane slip for grid injection?</t>
  </si>
  <si>
    <t>Upgrading and injection electricity requirements</t>
  </si>
  <si>
    <t>ELECTRICITY ALLOCATIONS</t>
  </si>
  <si>
    <t>Total electricity (kWh)</t>
  </si>
  <si>
    <t>Electricity for biomethane (kWh)</t>
  </si>
  <si>
    <t>Upgrading and injection fuel requirements</t>
  </si>
  <si>
    <t>electricity for digestion (kWh)</t>
  </si>
  <si>
    <t>% to upgrading</t>
  </si>
  <si>
    <t>% to digestion</t>
  </si>
  <si>
    <t>Upgrading and injection chemical requirements</t>
  </si>
  <si>
    <r>
      <t>MJ</t>
    </r>
    <r>
      <rPr>
        <vertAlign val="subscript"/>
        <sz val="10"/>
        <color theme="0"/>
        <rFont val="Lao UI"/>
        <family val="2"/>
      </rPr>
      <t>usable heat</t>
    </r>
  </si>
  <si>
    <t>Boiler electricity requirements</t>
  </si>
  <si>
    <r>
      <t>gCO</t>
    </r>
    <r>
      <rPr>
        <vertAlign val="subscript"/>
        <sz val="10"/>
        <color theme="0"/>
        <rFont val="Lao UI"/>
        <family val="2"/>
      </rPr>
      <t>2eq</t>
    </r>
    <r>
      <rPr>
        <sz val="10"/>
        <color theme="0"/>
        <rFont val="Lao UI"/>
        <family val="2"/>
      </rPr>
      <t>/MJ</t>
    </r>
    <r>
      <rPr>
        <vertAlign val="subscript"/>
        <sz val="10"/>
        <color theme="0"/>
        <rFont val="Lao UI"/>
        <family val="2"/>
      </rPr>
      <t>usable heat</t>
    </r>
  </si>
  <si>
    <r>
      <t>MJ</t>
    </r>
    <r>
      <rPr>
        <vertAlign val="subscript"/>
        <sz val="10"/>
        <color theme="0"/>
        <rFont val="Lao UI"/>
        <family val="2"/>
      </rPr>
      <t>exported electricity</t>
    </r>
  </si>
  <si>
    <r>
      <t>gCO</t>
    </r>
    <r>
      <rPr>
        <vertAlign val="subscript"/>
        <sz val="10"/>
        <color theme="0"/>
        <rFont val="Lao UI"/>
        <family val="2"/>
      </rPr>
      <t>2eq</t>
    </r>
    <r>
      <rPr>
        <sz val="10"/>
        <color theme="0"/>
        <rFont val="Lao UI"/>
        <family val="2"/>
      </rPr>
      <t>/MJ</t>
    </r>
    <r>
      <rPr>
        <vertAlign val="subscript"/>
        <sz val="10"/>
        <color theme="0"/>
        <rFont val="Lao UI"/>
        <family val="2"/>
      </rPr>
      <t>heat</t>
    </r>
  </si>
  <si>
    <t>Electricity (for CHP heat)</t>
  </si>
  <si>
    <t>CHP electricity requirements</t>
  </si>
  <si>
    <r>
      <t>gCO</t>
    </r>
    <r>
      <rPr>
        <vertAlign val="subscript"/>
        <sz val="10"/>
        <color theme="0"/>
        <rFont val="Lao UI"/>
        <family val="2"/>
      </rPr>
      <t>2eq</t>
    </r>
    <r>
      <rPr>
        <sz val="10"/>
        <color theme="0"/>
        <rFont val="Lao UI"/>
        <family val="2"/>
      </rPr>
      <t>/MJ</t>
    </r>
    <r>
      <rPr>
        <vertAlign val="subscript"/>
        <sz val="10"/>
        <color theme="0"/>
        <rFont val="Lao UI"/>
        <family val="2"/>
      </rPr>
      <t>electricity</t>
    </r>
  </si>
  <si>
    <t>Electricity (for CHP electricity)</t>
  </si>
  <si>
    <t xml:space="preserve">This worksheet should only be used where carbon capture equipment is used on-site. Carbon diverted to storage or use (replacement) should be reported accordingly. </t>
  </si>
  <si>
    <t>Carbon capture and storage (CCS)</t>
  </si>
  <si>
    <t>Total CCS emissions saving</t>
  </si>
  <si>
    <t>CO₂ destination</t>
  </si>
  <si>
    <t>Units of CO₂</t>
  </si>
  <si>
    <t>Amount</t>
  </si>
  <si>
    <r>
      <t>Emissions saving (gCO</t>
    </r>
    <r>
      <rPr>
        <vertAlign val="subscript"/>
        <sz val="10"/>
        <color theme="0"/>
        <rFont val="Lao UI"/>
        <family val="2"/>
      </rPr>
      <t>2</t>
    </r>
    <r>
      <rPr>
        <sz val="10"/>
        <color theme="0"/>
        <rFont val="Lao UI"/>
        <family val="2"/>
      </rPr>
      <t>eq)</t>
    </r>
  </si>
  <si>
    <t>Carbon capture and replacement (CCR)</t>
  </si>
  <si>
    <t>Total CCR emissions saving</t>
  </si>
  <si>
    <t xml:space="preserve">This worksheet should be used to report biomethane transport, where applicable and is not required for GGSS unless a remote grid injection point is used. Where biomethane is injected on-site and transported via the grid to an end user, this does not need to be reported here. </t>
  </si>
  <si>
    <t>Transport of biomethane (other than by gas grid)</t>
  </si>
  <si>
    <t>Total emissions from transport of gas</t>
  </si>
  <si>
    <t>Fuel use</t>
  </si>
  <si>
    <t>Units</t>
  </si>
  <si>
    <t>MJ of fuel</t>
  </si>
  <si>
    <t xml:space="preserve">This worksheet displays all conversion factors and reference values used throughout the tool, with the sourced displayed accordingly. Reference values cannot be updated by the user, other than to add a fuel not included in the list, or for fertiliser products where blank rows are available for alternative products and values to be entered. </t>
  </si>
  <si>
    <t>Conversion factors</t>
  </si>
  <si>
    <t>Conversion factors (fertiliser composition)</t>
  </si>
  <si>
    <t>Fuel Lower Heating Values</t>
  </si>
  <si>
    <t>Nitrogen fertiliser compositions</t>
  </si>
  <si>
    <t>Lower Heating Value (MJ/kg)</t>
  </si>
  <si>
    <t>Fertiliser</t>
  </si>
  <si>
    <t>%N</t>
  </si>
  <si>
    <r>
      <t>%P</t>
    </r>
    <r>
      <rPr>
        <vertAlign val="subscript"/>
        <sz val="10"/>
        <color theme="0"/>
        <rFont val="Lao UI"/>
        <family val="2"/>
      </rPr>
      <t>2</t>
    </r>
    <r>
      <rPr>
        <sz val="10"/>
        <color theme="0"/>
        <rFont val="Lao UI"/>
        <family val="2"/>
      </rPr>
      <t>O</t>
    </r>
    <r>
      <rPr>
        <vertAlign val="subscript"/>
        <sz val="10"/>
        <color theme="0"/>
        <rFont val="Lao UI"/>
        <family val="2"/>
      </rPr>
      <t>5</t>
    </r>
  </si>
  <si>
    <r>
      <t>%K</t>
    </r>
    <r>
      <rPr>
        <vertAlign val="subscript"/>
        <sz val="10"/>
        <color theme="0"/>
        <rFont val="Lao UI"/>
        <family val="2"/>
      </rPr>
      <t>2</t>
    </r>
    <r>
      <rPr>
        <sz val="10"/>
        <color theme="0"/>
        <rFont val="Lao UI"/>
        <family val="2"/>
      </rPr>
      <t>O</t>
    </r>
  </si>
  <si>
    <r>
      <t>%SO</t>
    </r>
    <r>
      <rPr>
        <vertAlign val="subscript"/>
        <sz val="10"/>
        <color theme="0"/>
        <rFont val="Lao UI"/>
        <family val="2"/>
      </rPr>
      <t>3</t>
    </r>
  </si>
  <si>
    <t>%CaO</t>
  </si>
  <si>
    <t>Biograce Standard Values - Version 4</t>
  </si>
  <si>
    <t>Ammonium nitrate (AN)</t>
  </si>
  <si>
    <t>HGCA Carbon footprinting tool June 2014</t>
  </si>
  <si>
    <t>HFO</t>
  </si>
  <si>
    <t>Ammonium sulphate (AS)</t>
  </si>
  <si>
    <t>HFO (for maritime transport)</t>
  </si>
  <si>
    <t>Ammonium nitrate sulphate (ANS)</t>
  </si>
  <si>
    <t>Gasoline</t>
  </si>
  <si>
    <t>Anhydrous ammonia</t>
  </si>
  <si>
    <t>Methane (NTP)</t>
  </si>
  <si>
    <t>Calcium ammonium nitrate (CAN)</t>
  </si>
  <si>
    <t>Methane (STP)</t>
  </si>
  <si>
    <t>Calcium nitrate (CN)</t>
  </si>
  <si>
    <t>Ethanol</t>
  </si>
  <si>
    <t>Urea ammonium nitrate (UAN)</t>
  </si>
  <si>
    <t>HVO</t>
  </si>
  <si>
    <t>Nitrogen fertiliser (unspecified)</t>
  </si>
  <si>
    <t>Solid &amp; Gaseous Biomass Carbon Calculator 2.0 (build 34)</t>
  </si>
  <si>
    <t>Methanol</t>
  </si>
  <si>
    <t>National grid average data (NTP)</t>
  </si>
  <si>
    <r>
      <t>N.B. NTP refers to normal temperature &amp; pressure (15</t>
    </r>
    <r>
      <rPr>
        <i/>
        <sz val="11"/>
        <color theme="1" tint="0.249977111117893"/>
        <rFont val="Calibri"/>
        <family val="2"/>
        <scheme val="minor"/>
      </rPr>
      <t>°, 1 atm); STP refers to standard temperature &amp; pressure (0°C, 1 atm)</t>
    </r>
  </si>
  <si>
    <t>Fuel/Gas Densities</t>
  </si>
  <si>
    <r>
      <t>Density (kg/m</t>
    </r>
    <r>
      <rPr>
        <vertAlign val="superscript"/>
        <sz val="10"/>
        <color theme="0"/>
        <rFont val="Lao UI"/>
        <family val="2"/>
      </rPr>
      <t>3</t>
    </r>
    <r>
      <rPr>
        <sz val="10"/>
        <color theme="0"/>
        <rFont val="Lao UI"/>
        <family val="2"/>
      </rPr>
      <t>)</t>
    </r>
  </si>
  <si>
    <t>Organic fertiliser compositions</t>
  </si>
  <si>
    <t>%P2O5</t>
  </si>
  <si>
    <t>%K2O</t>
  </si>
  <si>
    <t>%SO3</t>
  </si>
  <si>
    <t>Cattle farmyard manure</t>
  </si>
  <si>
    <t>Nutrient Management Guide RB209</t>
  </si>
  <si>
    <t>Cattle slurry (2% dry matter)</t>
  </si>
  <si>
    <t xml:space="preserve">http://www.engineeringtoolbox.com/gas-density-d_158.html </t>
  </si>
  <si>
    <t>Cattle slurry (6% dry matter)</t>
  </si>
  <si>
    <t>Cattle slurry (10% dry matter)</t>
  </si>
  <si>
    <t>Duck farmyard manure</t>
  </si>
  <si>
    <t>Horse farmyard manure</t>
  </si>
  <si>
    <t>Carbon dioxide (NTP)</t>
  </si>
  <si>
    <t>Pig farmyard manure</t>
  </si>
  <si>
    <t>Carbon dioxide (STP)</t>
  </si>
  <si>
    <t>Pig slurry (2% dry matter)</t>
  </si>
  <si>
    <t>http://www.engineeringtoolbox.com/gas-density-d_158.html; NTP</t>
  </si>
  <si>
    <t>Pig slurry (4% dry matter)</t>
  </si>
  <si>
    <t>Pig slurry (6% dry matter)</t>
  </si>
  <si>
    <t>Poultry manure (layer)</t>
  </si>
  <si>
    <t>Gas Energy Densities</t>
  </si>
  <si>
    <t>Poultry manure (broiler/turkey litter)</t>
  </si>
  <si>
    <t>DEFRA fertiliser manual</t>
  </si>
  <si>
    <t>Gas</t>
  </si>
  <si>
    <r>
      <t>Density (MJ/Nm</t>
    </r>
    <r>
      <rPr>
        <vertAlign val="superscript"/>
        <sz val="10"/>
        <color theme="0"/>
        <rFont val="Lao UI"/>
        <family val="2"/>
      </rPr>
      <t>3</t>
    </r>
    <r>
      <rPr>
        <sz val="10"/>
        <color theme="0"/>
        <rFont val="Lao UI"/>
        <family val="2"/>
      </rPr>
      <t>)</t>
    </r>
  </si>
  <si>
    <t>Sheep farmyard manure</t>
  </si>
  <si>
    <t>Biogas (52% methane)</t>
  </si>
  <si>
    <t>OFGEM Sustainability self-reporting guidance</t>
  </si>
  <si>
    <t>Urea</t>
  </si>
  <si>
    <t>HGCA Carbon footprinting tool June 2020</t>
  </si>
  <si>
    <t>Unit Conversion Matrix</t>
  </si>
  <si>
    <t>Unit Conversion</t>
  </si>
  <si>
    <t>MJ per MWh</t>
  </si>
  <si>
    <t>MWh per MJ</t>
  </si>
  <si>
    <t>MJ per kWh</t>
  </si>
  <si>
    <t>Low in-field-emissions fertiliser compositions</t>
  </si>
  <si>
    <t>kWh per MJ</t>
  </si>
  <si>
    <t>%nutrient</t>
  </si>
  <si>
    <t>kWh per MWh</t>
  </si>
  <si>
    <t>MWh per kWh</t>
  </si>
  <si>
    <r>
      <t>P</t>
    </r>
    <r>
      <rPr>
        <b/>
        <vertAlign val="subscript"/>
        <sz val="10"/>
        <color theme="1" tint="0.249977111117893"/>
        <rFont val="Lao UI"/>
        <family val="2"/>
      </rPr>
      <t>2</t>
    </r>
    <r>
      <rPr>
        <b/>
        <sz val="10"/>
        <color theme="1" tint="0.249977111117893"/>
        <rFont val="Lao UI"/>
        <family val="2"/>
      </rPr>
      <t>O</t>
    </r>
    <r>
      <rPr>
        <b/>
        <vertAlign val="subscript"/>
        <sz val="10"/>
        <color theme="1" tint="0.249977111117893"/>
        <rFont val="Lao UI"/>
        <family val="2"/>
      </rPr>
      <t>5</t>
    </r>
    <r>
      <rPr>
        <b/>
        <sz val="10"/>
        <color theme="1" tint="0.249977111117893"/>
        <rFont val="Lao UI"/>
        <family val="2"/>
      </rPr>
      <t xml:space="preserve"> fertiliser compositions</t>
    </r>
  </si>
  <si>
    <t>Global warming potentials</t>
  </si>
  <si>
    <r>
      <t>Global Warming Potential (gCO</t>
    </r>
    <r>
      <rPr>
        <vertAlign val="subscript"/>
        <sz val="10"/>
        <color theme="0"/>
        <rFont val="Lao UI"/>
        <family val="2"/>
      </rPr>
      <t>2eq</t>
    </r>
    <r>
      <rPr>
        <sz val="10"/>
        <color theme="0"/>
        <rFont val="Lao UI"/>
        <family val="2"/>
      </rPr>
      <t>)</t>
    </r>
  </si>
  <si>
    <t xml:space="preserve">Triple superphosphate (TSP) </t>
  </si>
  <si>
    <r>
      <t>CO</t>
    </r>
    <r>
      <rPr>
        <vertAlign val="subscript"/>
        <sz val="10"/>
        <color theme="1" tint="0.249977111117893"/>
        <rFont val="Lao UI"/>
        <family val="2"/>
      </rPr>
      <t>2</t>
    </r>
  </si>
  <si>
    <t>BioGrace II Standard Values - Version 4a</t>
  </si>
  <si>
    <t>Rock phosphate</t>
  </si>
  <si>
    <r>
      <t>CH</t>
    </r>
    <r>
      <rPr>
        <vertAlign val="subscript"/>
        <sz val="10"/>
        <color theme="1" tint="0.249977111117893"/>
        <rFont val="Lao UI"/>
        <family val="2"/>
      </rPr>
      <t>4</t>
    </r>
  </si>
  <si>
    <t>Mono ammonium phosphate (MAP)</t>
  </si>
  <si>
    <r>
      <t>N</t>
    </r>
    <r>
      <rPr>
        <vertAlign val="subscript"/>
        <sz val="10"/>
        <color theme="1" tint="0.249977111117893"/>
        <rFont val="Lao UI"/>
        <family val="2"/>
      </rPr>
      <t>2</t>
    </r>
    <r>
      <rPr>
        <sz val="10"/>
        <color theme="1" tint="0.249977111117893"/>
        <rFont val="Lao UI"/>
        <family val="2"/>
      </rPr>
      <t>O</t>
    </r>
  </si>
  <si>
    <t>Di-Ammonium-Phosphate (DAP)</t>
  </si>
  <si>
    <r>
      <t>P</t>
    </r>
    <r>
      <rPr>
        <vertAlign val="subscript"/>
        <sz val="10"/>
        <color theme="1" tint="0.249977111117893"/>
        <rFont val="Lao UI"/>
        <family val="2"/>
      </rPr>
      <t>2</t>
    </r>
    <r>
      <rPr>
        <sz val="10"/>
        <color theme="1" tint="0.249977111117893"/>
        <rFont val="Lao UI"/>
        <family val="2"/>
      </rPr>
      <t>O</t>
    </r>
    <r>
      <rPr>
        <vertAlign val="subscript"/>
        <sz val="10"/>
        <color theme="1" tint="0.249977111117893"/>
        <rFont val="Lao UI"/>
        <family val="2"/>
      </rPr>
      <t>5</t>
    </r>
    <r>
      <rPr>
        <sz val="10"/>
        <color theme="1" tint="0.249977111117893"/>
        <rFont val="Lao UI"/>
        <family val="2"/>
      </rPr>
      <t xml:space="preserve"> fertiliser (unspecified)</t>
    </r>
  </si>
  <si>
    <t>HHV to LHV (GCV to NCV) conversion factor</t>
  </si>
  <si>
    <t>Conversion factor</t>
  </si>
  <si>
    <t>Biomethane (LHV/HHV)</t>
  </si>
  <si>
    <t>BS EN ISO 6976:5005</t>
  </si>
  <si>
    <t>Standard values</t>
  </si>
  <si>
    <r>
      <t>K</t>
    </r>
    <r>
      <rPr>
        <b/>
        <vertAlign val="subscript"/>
        <sz val="10"/>
        <color theme="1" tint="0.249977111117893"/>
        <rFont val="Lao UI"/>
        <family val="2"/>
      </rPr>
      <t>2</t>
    </r>
    <r>
      <rPr>
        <b/>
        <sz val="10"/>
        <color theme="1" tint="0.249977111117893"/>
        <rFont val="Lao UI"/>
        <family val="2"/>
      </rPr>
      <t>O fertiliser compositions</t>
    </r>
  </si>
  <si>
    <t>Crop dry matter contents</t>
  </si>
  <si>
    <t>Potassium chloride/Muriate of Potash (MOP)</t>
  </si>
  <si>
    <t>Maize</t>
  </si>
  <si>
    <r>
      <t>K</t>
    </r>
    <r>
      <rPr>
        <vertAlign val="subscript"/>
        <sz val="10"/>
        <color theme="1" tint="0.249977111117893"/>
        <rFont val="Lao UI"/>
        <family val="2"/>
      </rPr>
      <t>2</t>
    </r>
    <r>
      <rPr>
        <sz val="10"/>
        <color theme="1" tint="0.249977111117893"/>
        <rFont val="Lao UI"/>
        <family val="2"/>
      </rPr>
      <t>O fertiliser (unspecified)</t>
    </r>
  </si>
  <si>
    <t>Wheat</t>
  </si>
  <si>
    <t>Solid and Gaseous Biomass Carbon Calculator 2.0 (build 34)</t>
  </si>
  <si>
    <t>Sugar beet</t>
  </si>
  <si>
    <t>BioGrace I - version 4d</t>
  </si>
  <si>
    <t>Silage grass</t>
  </si>
  <si>
    <t>Rye</t>
  </si>
  <si>
    <t>Other (Requires actual yield and dry matter content)</t>
  </si>
  <si>
    <t>Other fertiliser compositions</t>
  </si>
  <si>
    <t>Crop yields</t>
  </si>
  <si>
    <t>Yield (tonnes/Ha)</t>
  </si>
  <si>
    <t>NPK 15-15-15</t>
  </si>
  <si>
    <t>MgO fertiliser</t>
  </si>
  <si>
    <t>Sodium (Na) fertiliser (unspecified)</t>
  </si>
  <si>
    <t>CaO fertiliser (unspecified)</t>
  </si>
  <si>
    <t>Lime fertiliser (CaO)</t>
  </si>
  <si>
    <t>Manganese fertiliser</t>
  </si>
  <si>
    <t>Residue (no cultivation emissions required)</t>
  </si>
  <si>
    <t>Feedstock dry matter contents (non-waste feedstock)</t>
  </si>
  <si>
    <t>Cereal grains</t>
  </si>
  <si>
    <t>Guide to Biogas: From production to use (FNR); Table 4.9</t>
  </si>
  <si>
    <t>Fodder beet</t>
  </si>
  <si>
    <t>Default electricity consumption</t>
  </si>
  <si>
    <t>Maize silage</t>
  </si>
  <si>
    <r>
      <t>kWh/Nm</t>
    </r>
    <r>
      <rPr>
        <vertAlign val="superscript"/>
        <sz val="10"/>
        <color theme="0"/>
        <rFont val="Lao UI"/>
        <family val="2"/>
      </rPr>
      <t>3</t>
    </r>
    <r>
      <rPr>
        <vertAlign val="subscript"/>
        <sz val="10"/>
        <color theme="0"/>
        <rFont val="Lao UI"/>
        <family val="2"/>
      </rPr>
      <t>biogas</t>
    </r>
  </si>
  <si>
    <r>
      <t>kWh/Nm</t>
    </r>
    <r>
      <rPr>
        <vertAlign val="superscript"/>
        <sz val="10"/>
        <color theme="0"/>
        <rFont val="Lao UI"/>
        <family val="2"/>
      </rPr>
      <t>3</t>
    </r>
    <r>
      <rPr>
        <vertAlign val="subscript"/>
        <sz val="10"/>
        <color theme="0"/>
        <rFont val="Lao UI"/>
        <family val="2"/>
      </rPr>
      <t>biomethane_in</t>
    </r>
  </si>
  <si>
    <r>
      <t>kWh/Nm</t>
    </r>
    <r>
      <rPr>
        <vertAlign val="superscript"/>
        <sz val="10"/>
        <color theme="0"/>
        <rFont val="Lao UI"/>
        <family val="2"/>
      </rPr>
      <t>3</t>
    </r>
    <r>
      <rPr>
        <vertAlign val="subscript"/>
        <sz val="10"/>
        <color theme="0"/>
        <rFont val="Lao UI"/>
        <family val="2"/>
      </rPr>
      <t>biomethane_out</t>
    </r>
  </si>
  <si>
    <r>
      <t>kWh/MJ</t>
    </r>
    <r>
      <rPr>
        <vertAlign val="subscript"/>
        <sz val="10"/>
        <color theme="0"/>
        <rFont val="Lao UI"/>
        <family val="2"/>
      </rPr>
      <t>biomethane_out</t>
    </r>
  </si>
  <si>
    <t>Pressed sugar beet pulp</t>
  </si>
  <si>
    <t>For biogas upgrading</t>
  </si>
  <si>
    <t>Rye silage</t>
  </si>
  <si>
    <t>Sudan grass</t>
  </si>
  <si>
    <t>Sunflower silage</t>
  </si>
  <si>
    <t>Default crop data</t>
  </si>
  <si>
    <t>Sweet sorghum</t>
  </si>
  <si>
    <t>Wholecrop cereal silage</t>
  </si>
  <si>
    <t>Wholecrop rye</t>
  </si>
  <si>
    <t>Nitrogen fertiliser (unspecified),  kg(Nitrogen)/Ha</t>
  </si>
  <si>
    <t>P2O5 fertiliser (unspecified), kg(P2O5)/Ha</t>
  </si>
  <si>
    <t>K2O fertiliser (unspecified), kg(K2O)/Ha</t>
  </si>
  <si>
    <t>Digestate, t/ha</t>
  </si>
  <si>
    <t>Lime fertiliser (CaO), kg(nutrient)/Ha</t>
  </si>
  <si>
    <t>Pesticides, kg(active ingredient)/Ha</t>
  </si>
  <si>
    <t>Seeds, kg/ha</t>
  </si>
  <si>
    <t>Diesel 1, litres/Ha</t>
  </si>
  <si>
    <t>Diesel 2, litres/Ha</t>
  </si>
  <si>
    <t>-----------------------------------------------------------------------------</t>
  </si>
  <si>
    <t>Apple pomace</t>
  </si>
  <si>
    <t>Cereal vinasse / ethanol syrup</t>
  </si>
  <si>
    <t>Fruit pomice</t>
  </si>
  <si>
    <t>Grape pomice</t>
  </si>
  <si>
    <t>Molasses</t>
  </si>
  <si>
    <t>Potato juice</t>
  </si>
  <si>
    <t>Potato pulp</t>
  </si>
  <si>
    <t>Potato vinasse</t>
  </si>
  <si>
    <t>Prunings and clippings</t>
  </si>
  <si>
    <t>Rapeseed cake</t>
  </si>
  <si>
    <t>Raw glycerol</t>
  </si>
  <si>
    <t>Spent grains</t>
  </si>
  <si>
    <t>Feedstock volatile solid contents (non-waste feedstock)</t>
  </si>
  <si>
    <t>Volatile solid content (%)</t>
  </si>
  <si>
    <t>Feedstock dry matter contents (waste feedstock)</t>
  </si>
  <si>
    <t>Cattle manure</t>
  </si>
  <si>
    <t>Cattle slurry</t>
  </si>
  <si>
    <t>Horse manure (without straw)</t>
  </si>
  <si>
    <t>Food Waste Digestion (IEA Bioenergy Task 37)</t>
  </si>
  <si>
    <t>Pig slurry</t>
  </si>
  <si>
    <t>Poultry manure</t>
  </si>
  <si>
    <t>Feedstock volatile solid contents (waste feedstock)</t>
  </si>
  <si>
    <t>Methane Yields (non-waste feedstock)</t>
  </si>
  <si>
    <r>
      <t>Methane yield (Nm</t>
    </r>
    <r>
      <rPr>
        <vertAlign val="superscript"/>
        <sz val="10"/>
        <color theme="0"/>
        <rFont val="Lao UI"/>
        <family val="2"/>
      </rPr>
      <t>3</t>
    </r>
    <r>
      <rPr>
        <sz val="10"/>
        <color theme="0"/>
        <rFont val="Lao UI"/>
        <family val="2"/>
      </rPr>
      <t>/tonne volatile solid)</t>
    </r>
  </si>
  <si>
    <t>Methane Yields (waste feedstock)</t>
  </si>
  <si>
    <t>Digestate properties</t>
  </si>
  <si>
    <t>Digestate moisture content</t>
  </si>
  <si>
    <t>&gt;88% (default)</t>
  </si>
  <si>
    <t>Applicability of digestate as a solid fuel; Kratzeisen et al. 2010</t>
  </si>
  <si>
    <t>Manure properties</t>
  </si>
  <si>
    <t>Manure</t>
  </si>
  <si>
    <t>Lower Heating Value (MJ/kg_dry)</t>
  </si>
  <si>
    <t>JRC (2017) Solid and gaseous bioenergy doi:10.2790/27486</t>
  </si>
  <si>
    <t>Biomethane production factors</t>
  </si>
  <si>
    <t>Factor</t>
  </si>
  <si>
    <t>Methane slippage (fermentation)</t>
  </si>
  <si>
    <t>Methane slippage (upgrading)</t>
  </si>
  <si>
    <t>Methane slippage (injection)</t>
  </si>
  <si>
    <t>Transport Fuel Efficiencies</t>
  </si>
  <si>
    <t>Fuel Efficiency (MJ/t-km)</t>
  </si>
  <si>
    <t>Rail (diesel)</t>
  </si>
  <si>
    <t>Rail (electricity)</t>
  </si>
  <si>
    <t>Truck (12 ton)</t>
  </si>
  <si>
    <t>Truck for dry product (40 ton)</t>
  </si>
  <si>
    <t>Truck for liquids (40 ton)</t>
  </si>
  <si>
    <t>Shipping inland bulk carrier</t>
  </si>
  <si>
    <t>Pipeline &amp; compression defaults</t>
  </si>
  <si>
    <r>
      <t>Emissions factor for pipeline transport (gCO</t>
    </r>
    <r>
      <rPr>
        <vertAlign val="subscript"/>
        <sz val="10"/>
        <color theme="1" tint="0.249977111117893"/>
        <rFont val="Lao UI"/>
        <family val="2"/>
      </rPr>
      <t>2</t>
    </r>
    <r>
      <rPr>
        <sz val="10"/>
        <color theme="1" tint="0.249977111117893"/>
        <rFont val="Lao UI"/>
        <family val="2"/>
      </rPr>
      <t>eq/t-km)</t>
    </r>
  </si>
  <si>
    <t>JEC Well-to-Tank report v5: Annexes</t>
  </si>
  <si>
    <t>Losses in UK gas grid (%)</t>
  </si>
  <si>
    <t>May 2022 DUKES</t>
  </si>
  <si>
    <r>
      <t>Emissions factor for virtual pipeline (gCO</t>
    </r>
    <r>
      <rPr>
        <vertAlign val="subscript"/>
        <sz val="10"/>
        <color theme="1" tint="0.249977111117893"/>
        <rFont val="Lao UI"/>
        <family val="2"/>
      </rPr>
      <t>2</t>
    </r>
    <r>
      <rPr>
        <sz val="10"/>
        <color theme="1" tint="0.249977111117893"/>
        <rFont val="Lao UI"/>
        <family val="2"/>
      </rPr>
      <t>eq/km)</t>
    </r>
  </si>
  <si>
    <r>
      <t>Electricity consumption at filling station (MJ</t>
    </r>
    <r>
      <rPr>
        <vertAlign val="subscript"/>
        <sz val="10"/>
        <color theme="1" tint="0.249977111117893"/>
        <rFont val="Lao UI"/>
        <family val="2"/>
      </rPr>
      <t>electricity</t>
    </r>
    <r>
      <rPr>
        <sz val="10"/>
        <color theme="1" tint="0.249977111117893"/>
        <rFont val="Lao UI"/>
        <family val="2"/>
      </rPr>
      <t>/MJ</t>
    </r>
    <r>
      <rPr>
        <vertAlign val="subscript"/>
        <sz val="10"/>
        <color theme="1" tint="0.249977111117893"/>
        <rFont val="Lao UI"/>
        <family val="2"/>
      </rPr>
      <t>biomethane</t>
    </r>
    <r>
      <rPr>
        <sz val="10"/>
        <color theme="1" tint="0.249977111117893"/>
        <rFont val="Lao UI"/>
        <family val="2"/>
      </rPr>
      <t>)</t>
    </r>
  </si>
  <si>
    <t>Methane emissions at filling station</t>
  </si>
  <si>
    <t>Technology options</t>
  </si>
  <si>
    <t>Biogas upgrading emissions decider</t>
  </si>
  <si>
    <t>Biogas Upgrading Technology</t>
  </si>
  <si>
    <t>Methane emitted in off-gas?</t>
  </si>
  <si>
    <t>Pressure Swing Adsorption (PSA)</t>
  </si>
  <si>
    <t>either possible</t>
  </si>
  <si>
    <t>Pressure Water Scrubbing (PWS)</t>
  </si>
  <si>
    <t>JRC (2017) Solid and gaseous bioenergy doi:10.2790/27487</t>
  </si>
  <si>
    <t>JRC (2017) Solid and gaseous bioenergy doi:10.2790/27488</t>
  </si>
  <si>
    <t>Cryogenic</t>
  </si>
  <si>
    <t>JRC (2017) Solid and gaseous bioenergy doi:10.2790/27489</t>
  </si>
  <si>
    <t>Organic Physical Scrubbing (OPS)</t>
  </si>
  <si>
    <t>JRC (2017) Solid and gaseous bioenergy doi:10.2790/27490</t>
  </si>
  <si>
    <t>Chemical scrubbing</t>
  </si>
  <si>
    <t>none</t>
  </si>
  <si>
    <t>JRC (2017) Solid and gaseous bioenergy doi:10.2790/27491</t>
  </si>
  <si>
    <t>Emission Factors</t>
  </si>
  <si>
    <t>Fuel Emission Factors</t>
  </si>
  <si>
    <r>
      <t>Emission factor (gCO</t>
    </r>
    <r>
      <rPr>
        <vertAlign val="subscript"/>
        <sz val="10"/>
        <color theme="1" tint="0.249977111117893"/>
        <rFont val="Lao UI"/>
        <family val="2"/>
      </rPr>
      <t>2eq</t>
    </r>
    <r>
      <rPr>
        <sz val="10"/>
        <color theme="1" tint="0.249977111117893"/>
        <rFont val="Lao UI"/>
        <family val="2"/>
      </rPr>
      <t>/MJ)</t>
    </r>
  </si>
  <si>
    <t>DESNZ Greenhouse gas reporting: conversion factors 2023</t>
  </si>
  <si>
    <t>Natural Gas</t>
  </si>
  <si>
    <t>Electricity (EU mix LV)</t>
  </si>
  <si>
    <t>Electricity (EU mix MV)</t>
  </si>
  <si>
    <t>Electricity Emission Factors</t>
  </si>
  <si>
    <t>Source2</t>
  </si>
  <si>
    <t>Chemical Emission Factors</t>
  </si>
  <si>
    <r>
      <t>Emission Factor (gCO</t>
    </r>
    <r>
      <rPr>
        <vertAlign val="subscript"/>
        <sz val="10"/>
        <color theme="1" tint="0.249977111117893"/>
        <rFont val="Lao UI"/>
        <family val="2"/>
      </rPr>
      <t>2eq</t>
    </r>
    <r>
      <rPr>
        <sz val="10"/>
        <color theme="1" tint="0.249977111117893"/>
        <rFont val="Lao UI"/>
        <family val="2"/>
      </rPr>
      <t>/kg</t>
    </r>
    <r>
      <rPr>
        <vertAlign val="subscript"/>
        <sz val="10"/>
        <color theme="1" tint="0.249977111117893"/>
        <rFont val="Lao UI"/>
        <family val="2"/>
      </rPr>
      <t>chemical</t>
    </r>
    <r>
      <rPr>
        <sz val="10"/>
        <color theme="1" tint="0.249977111117893"/>
        <rFont val="Lao UI"/>
        <family val="2"/>
      </rPr>
      <t>)</t>
    </r>
  </si>
  <si>
    <r>
      <t>Phosphoric acid (H</t>
    </r>
    <r>
      <rPr>
        <vertAlign val="subscript"/>
        <sz val="10"/>
        <color theme="1"/>
        <rFont val="Lao UI"/>
        <family val="2"/>
      </rPr>
      <t>3</t>
    </r>
    <r>
      <rPr>
        <sz val="10"/>
        <color theme="1"/>
        <rFont val="Lao UI"/>
        <family val="2"/>
      </rPr>
      <t>PO</t>
    </r>
    <r>
      <rPr>
        <vertAlign val="subscript"/>
        <sz val="10"/>
        <color theme="1"/>
        <rFont val="Lao UI"/>
        <family val="2"/>
      </rPr>
      <t>4</t>
    </r>
    <r>
      <rPr>
        <sz val="10"/>
        <color theme="1"/>
        <rFont val="Lao UI"/>
        <family val="2"/>
      </rPr>
      <t>)</t>
    </r>
  </si>
  <si>
    <t>Fuller's earth</t>
  </si>
  <si>
    <t>Hydrochloric acid (HCl)</t>
  </si>
  <si>
    <r>
      <t>Sodium carbonate (Na</t>
    </r>
    <r>
      <rPr>
        <vertAlign val="subscript"/>
        <sz val="10"/>
        <color theme="1"/>
        <rFont val="Lao UI"/>
        <family val="2"/>
      </rPr>
      <t>2</t>
    </r>
    <r>
      <rPr>
        <sz val="10"/>
        <color theme="1"/>
        <rFont val="Lao UI"/>
        <family val="2"/>
      </rPr>
      <t>CO</t>
    </r>
    <r>
      <rPr>
        <vertAlign val="subscript"/>
        <sz val="10"/>
        <color theme="1"/>
        <rFont val="Lao UI"/>
        <family val="2"/>
      </rPr>
      <t>3</t>
    </r>
    <r>
      <rPr>
        <sz val="10"/>
        <color theme="1"/>
        <rFont val="Lao UI"/>
        <family val="2"/>
      </rPr>
      <t>)</t>
    </r>
  </si>
  <si>
    <t>Sodium hydroxide (NaOH)</t>
  </si>
  <si>
    <t>Potassium hydroxide (KOH)</t>
  </si>
  <si>
    <r>
      <t>Sulphuric acid (H</t>
    </r>
    <r>
      <rPr>
        <vertAlign val="subscript"/>
        <sz val="10"/>
        <color theme="1"/>
        <rFont val="Lao UI"/>
        <family val="2"/>
      </rPr>
      <t>2</t>
    </r>
    <r>
      <rPr>
        <sz val="10"/>
        <color theme="1"/>
        <rFont val="Lao UI"/>
        <family val="2"/>
      </rPr>
      <t>SO</t>
    </r>
    <r>
      <rPr>
        <vertAlign val="subscript"/>
        <sz val="10"/>
        <color theme="1"/>
        <rFont val="Lao UI"/>
        <family val="2"/>
      </rPr>
      <t>4</t>
    </r>
    <r>
      <rPr>
        <sz val="10"/>
        <color theme="1"/>
        <rFont val="Lao UI"/>
        <family val="2"/>
      </rPr>
      <t>)</t>
    </r>
  </si>
  <si>
    <r>
      <t>Ammonia (NH</t>
    </r>
    <r>
      <rPr>
        <vertAlign val="subscript"/>
        <sz val="10"/>
        <color theme="1"/>
        <rFont val="Lao UI"/>
        <family val="2"/>
      </rPr>
      <t>3</t>
    </r>
    <r>
      <rPr>
        <sz val="10"/>
        <color theme="1"/>
        <rFont val="Lao UI"/>
        <family val="2"/>
      </rPr>
      <t>)</t>
    </r>
  </si>
  <si>
    <t>Cyclohexane</t>
  </si>
  <si>
    <t>Lubricants</t>
  </si>
  <si>
    <r>
      <t>Ammonium sulfate ((NH</t>
    </r>
    <r>
      <rPr>
        <vertAlign val="subscript"/>
        <sz val="10"/>
        <color theme="1"/>
        <rFont val="Lao UI"/>
        <family val="2"/>
      </rPr>
      <t>4</t>
    </r>
    <r>
      <rPr>
        <sz val="10"/>
        <color theme="1"/>
        <rFont val="Lao UI"/>
        <family val="2"/>
      </rPr>
      <t>)</t>
    </r>
    <r>
      <rPr>
        <vertAlign val="subscript"/>
        <sz val="10"/>
        <color theme="1"/>
        <rFont val="Lao UI"/>
        <family val="2"/>
      </rPr>
      <t>2</t>
    </r>
    <r>
      <rPr>
        <sz val="10"/>
        <color theme="1"/>
        <rFont val="Lao UI"/>
        <family val="2"/>
      </rPr>
      <t>SO</t>
    </r>
    <r>
      <rPr>
        <vertAlign val="subscript"/>
        <sz val="10"/>
        <color theme="1"/>
        <rFont val="Lao UI"/>
        <family val="2"/>
      </rPr>
      <t>4</t>
    </r>
    <r>
      <rPr>
        <sz val="10"/>
        <color theme="1"/>
        <rFont val="Lao UI"/>
        <family val="2"/>
      </rPr>
      <t>)</t>
    </r>
  </si>
  <si>
    <t>Isobutene - non biorefinery</t>
  </si>
  <si>
    <t>Solid and Gaseous Biomass Carbon Calculator 2.0 (build 36)</t>
  </si>
  <si>
    <t>Isobutene - refinery</t>
  </si>
  <si>
    <t>n-hexane</t>
  </si>
  <si>
    <r>
      <t>Sodium borohydride (NaBH</t>
    </r>
    <r>
      <rPr>
        <vertAlign val="subscript"/>
        <sz val="10"/>
        <color theme="1"/>
        <rFont val="Lao UI"/>
        <family val="2"/>
      </rPr>
      <t>4</t>
    </r>
    <r>
      <rPr>
        <sz val="10"/>
        <color theme="1"/>
        <rFont val="Lao UI"/>
        <family val="2"/>
      </rPr>
      <t>)</t>
    </r>
  </si>
  <si>
    <t>Other chemical (conservative emission factor)</t>
  </si>
  <si>
    <t>Nitrogen Fertiliser Emission Factors</t>
  </si>
  <si>
    <r>
      <t>Emission Factor (gCO</t>
    </r>
    <r>
      <rPr>
        <vertAlign val="subscript"/>
        <sz val="10"/>
        <color theme="1" tint="0.249977111117893"/>
        <rFont val="Lao UI"/>
        <family val="2"/>
      </rPr>
      <t>2eq</t>
    </r>
    <r>
      <rPr>
        <sz val="10"/>
        <color theme="1" tint="0.249977111117893"/>
        <rFont val="Lao UI"/>
        <family val="2"/>
      </rPr>
      <t>/kg</t>
    </r>
    <r>
      <rPr>
        <vertAlign val="subscript"/>
        <sz val="10"/>
        <color theme="1" tint="0.249977111117893"/>
        <rFont val="Lao UI"/>
        <family val="2"/>
      </rPr>
      <t>nitrogen</t>
    </r>
    <r>
      <rPr>
        <sz val="10"/>
        <color theme="1" tint="0.249977111117893"/>
        <rFont val="Lao UI"/>
        <family val="2"/>
      </rPr>
      <t>)</t>
    </r>
  </si>
  <si>
    <t>Biograce Additional Standard Values - Version 4d</t>
  </si>
  <si>
    <t>Organic Fertiliser Emission Factors</t>
  </si>
  <si>
    <t>Low in-field emissions fertiliser Emission Factors</t>
  </si>
  <si>
    <r>
      <t>Soil N</t>
    </r>
    <r>
      <rPr>
        <b/>
        <vertAlign val="subscript"/>
        <sz val="10"/>
        <color theme="1" tint="0.249977111117893"/>
        <rFont val="Lao UI"/>
        <family val="2"/>
      </rPr>
      <t>2</t>
    </r>
    <r>
      <rPr>
        <b/>
        <sz val="10"/>
        <color theme="1" tint="0.249977111117893"/>
        <rFont val="Lao UI"/>
        <family val="2"/>
      </rPr>
      <t>O Emission factors</t>
    </r>
  </si>
  <si>
    <t>Fertiliser nitrogen type</t>
  </si>
  <si>
    <r>
      <t>Emission Factor (kgCO</t>
    </r>
    <r>
      <rPr>
        <vertAlign val="subscript"/>
        <sz val="10"/>
        <color theme="1" tint="0.249977111117893"/>
        <rFont val="Lao UI"/>
        <family val="2"/>
      </rPr>
      <t>2eq</t>
    </r>
    <r>
      <rPr>
        <sz val="10"/>
        <color theme="1" tint="0.249977111117893"/>
        <rFont val="Lao UI"/>
        <family val="2"/>
      </rPr>
      <t>/kg</t>
    </r>
    <r>
      <rPr>
        <vertAlign val="subscript"/>
        <sz val="10"/>
        <color theme="1" tint="0.249977111117893"/>
        <rFont val="Lao UI"/>
        <family val="2"/>
      </rPr>
      <t>nitrogen applied</t>
    </r>
    <r>
      <rPr>
        <sz val="10"/>
        <color theme="1" tint="0.249977111117893"/>
        <rFont val="Lao UI"/>
        <family val="2"/>
      </rPr>
      <t>)</t>
    </r>
  </si>
  <si>
    <t>Inorganic</t>
  </si>
  <si>
    <t>Organic</t>
  </si>
  <si>
    <r>
      <t>P</t>
    </r>
    <r>
      <rPr>
        <b/>
        <vertAlign val="subscript"/>
        <sz val="10"/>
        <color theme="1" tint="0.249977111117893"/>
        <rFont val="Lao UI"/>
        <family val="2"/>
      </rPr>
      <t>2</t>
    </r>
    <r>
      <rPr>
        <b/>
        <sz val="10"/>
        <color theme="1" tint="0.249977111117893"/>
        <rFont val="Lao UI"/>
        <family val="2"/>
      </rPr>
      <t>O</t>
    </r>
    <r>
      <rPr>
        <b/>
        <vertAlign val="subscript"/>
        <sz val="10"/>
        <color theme="1" tint="0.249977111117893"/>
        <rFont val="Lao UI"/>
        <family val="2"/>
      </rPr>
      <t>5</t>
    </r>
    <r>
      <rPr>
        <b/>
        <sz val="10"/>
        <color theme="1" tint="0.249977111117893"/>
        <rFont val="Lao UI"/>
        <family val="2"/>
      </rPr>
      <t xml:space="preserve"> Fertiliser Emission Factors</t>
    </r>
  </si>
  <si>
    <r>
      <t>Emission Factor (gCO</t>
    </r>
    <r>
      <rPr>
        <vertAlign val="subscript"/>
        <sz val="10"/>
        <color theme="1" tint="0.249977111117893"/>
        <rFont val="Lao UI"/>
        <family val="2"/>
      </rPr>
      <t>2eq</t>
    </r>
    <r>
      <rPr>
        <sz val="10"/>
        <color theme="1" tint="0.249977111117893"/>
        <rFont val="Lao UI"/>
        <family val="2"/>
      </rPr>
      <t>/kg</t>
    </r>
    <r>
      <rPr>
        <vertAlign val="subscript"/>
        <sz val="10"/>
        <color theme="1" tint="0.249977111117893"/>
        <rFont val="Lao UI"/>
        <family val="2"/>
      </rPr>
      <t>P2O5</t>
    </r>
    <r>
      <rPr>
        <sz val="10"/>
        <color theme="1" tint="0.249977111117893"/>
        <rFont val="Lao UI"/>
        <family val="2"/>
      </rPr>
      <t>)</t>
    </r>
  </si>
  <si>
    <r>
      <t>P</t>
    </r>
    <r>
      <rPr>
        <vertAlign val="subscript"/>
        <sz val="10"/>
        <color theme="1"/>
        <rFont val="Lao UI"/>
        <family val="2"/>
      </rPr>
      <t>2</t>
    </r>
    <r>
      <rPr>
        <sz val="10"/>
        <color theme="1"/>
        <rFont val="Lao UI"/>
        <family val="2"/>
      </rPr>
      <t>O</t>
    </r>
    <r>
      <rPr>
        <vertAlign val="subscript"/>
        <sz val="10"/>
        <color theme="1"/>
        <rFont val="Lao UI"/>
        <family val="2"/>
      </rPr>
      <t>5</t>
    </r>
    <r>
      <rPr>
        <sz val="10"/>
        <color theme="1"/>
        <rFont val="Lao UI"/>
        <family val="2"/>
      </rPr>
      <t xml:space="preserve"> fertiliser (unspecified)</t>
    </r>
  </si>
  <si>
    <r>
      <t>K</t>
    </r>
    <r>
      <rPr>
        <b/>
        <vertAlign val="subscript"/>
        <sz val="10"/>
        <color theme="1" tint="0.249977111117893"/>
        <rFont val="Lao UI"/>
        <family val="2"/>
      </rPr>
      <t>2</t>
    </r>
    <r>
      <rPr>
        <b/>
        <sz val="10"/>
        <color theme="1" tint="0.249977111117893"/>
        <rFont val="Lao UI"/>
        <family val="2"/>
      </rPr>
      <t>O Fertiliser Emission Factors</t>
    </r>
  </si>
  <si>
    <r>
      <t>Emission Factor (gCO</t>
    </r>
    <r>
      <rPr>
        <vertAlign val="subscript"/>
        <sz val="10"/>
        <color theme="1" tint="0.249977111117893"/>
        <rFont val="Lao UI"/>
        <family val="2"/>
      </rPr>
      <t>2eq</t>
    </r>
    <r>
      <rPr>
        <sz val="10"/>
        <color theme="1" tint="0.249977111117893"/>
        <rFont val="Lao UI"/>
        <family val="2"/>
      </rPr>
      <t>/kg</t>
    </r>
    <r>
      <rPr>
        <vertAlign val="subscript"/>
        <sz val="10"/>
        <color theme="1" tint="0.249977111117893"/>
        <rFont val="Lao UI"/>
        <family val="2"/>
      </rPr>
      <t>K2O</t>
    </r>
    <r>
      <rPr>
        <sz val="10"/>
        <color theme="1" tint="0.249977111117893"/>
        <rFont val="Lao UI"/>
        <family val="2"/>
      </rPr>
      <t>)</t>
    </r>
  </si>
  <si>
    <r>
      <t>K</t>
    </r>
    <r>
      <rPr>
        <vertAlign val="subscript"/>
        <sz val="10"/>
        <color theme="1"/>
        <rFont val="Lao UI"/>
        <family val="2"/>
      </rPr>
      <t>2</t>
    </r>
    <r>
      <rPr>
        <sz val="10"/>
        <color theme="1"/>
        <rFont val="Lao UI"/>
        <family val="2"/>
      </rPr>
      <t>O fertiliser (unspecified)</t>
    </r>
  </si>
  <si>
    <t>Other Fertiliser Emission Factors</t>
  </si>
  <si>
    <r>
      <t>Emission Factor (gCO</t>
    </r>
    <r>
      <rPr>
        <vertAlign val="subscript"/>
        <sz val="10"/>
        <color theme="1" tint="0.249977111117893"/>
        <rFont val="Lao UI"/>
        <family val="2"/>
      </rPr>
      <t>2eq</t>
    </r>
    <r>
      <rPr>
        <sz val="10"/>
        <color theme="1" tint="0.249977111117893"/>
        <rFont val="Lao UI"/>
        <family val="2"/>
      </rPr>
      <t>/kg</t>
    </r>
    <r>
      <rPr>
        <vertAlign val="subscript"/>
        <sz val="10"/>
        <color theme="1" tint="0.249977111117893"/>
        <rFont val="Lao UI"/>
        <family val="2"/>
      </rPr>
      <t>nutrient</t>
    </r>
    <r>
      <rPr>
        <sz val="10"/>
        <color theme="1" tint="0.249977111117893"/>
        <rFont val="Lao UI"/>
        <family val="2"/>
      </rPr>
      <t>)</t>
    </r>
  </si>
  <si>
    <t>Seed Application Emission Factors</t>
  </si>
  <si>
    <r>
      <t>Emission Factor (gCO</t>
    </r>
    <r>
      <rPr>
        <vertAlign val="subscript"/>
        <sz val="10"/>
        <color theme="1" tint="0.249977111117893"/>
        <rFont val="Lao UI"/>
        <family val="2"/>
      </rPr>
      <t>2eq</t>
    </r>
    <r>
      <rPr>
        <sz val="10"/>
        <color theme="1" tint="0.249977111117893"/>
        <rFont val="Lao UI"/>
        <family val="2"/>
      </rPr>
      <t>/kg</t>
    </r>
    <r>
      <rPr>
        <vertAlign val="subscript"/>
        <sz val="10"/>
        <color theme="1" tint="0.249977111117893"/>
        <rFont val="Lao UI"/>
        <family val="2"/>
      </rPr>
      <t>seed</t>
    </r>
    <r>
      <rPr>
        <sz val="10"/>
        <color theme="1" tint="0.249977111117893"/>
        <rFont val="Lao UI"/>
        <family val="2"/>
      </rPr>
      <t>)</t>
    </r>
  </si>
  <si>
    <t>Rapeseed</t>
  </si>
  <si>
    <t>Soybean</t>
  </si>
  <si>
    <t>Sugarcane</t>
  </si>
  <si>
    <t>Sunflower</t>
  </si>
  <si>
    <t>Grass</t>
  </si>
  <si>
    <t>Rhizomes</t>
  </si>
  <si>
    <t>Setts</t>
  </si>
  <si>
    <t>Pesticides Emission Factors</t>
  </si>
  <si>
    <r>
      <t>Emission Factor (gCO</t>
    </r>
    <r>
      <rPr>
        <vertAlign val="subscript"/>
        <sz val="10"/>
        <color theme="1" tint="0.249977111117893"/>
        <rFont val="Lao UI"/>
        <family val="2"/>
      </rPr>
      <t>2eq</t>
    </r>
    <r>
      <rPr>
        <sz val="10"/>
        <color theme="1" tint="0.249977111117893"/>
        <rFont val="Lao UI"/>
        <family val="2"/>
      </rPr>
      <t>/kg</t>
    </r>
    <r>
      <rPr>
        <vertAlign val="subscript"/>
        <sz val="10"/>
        <color theme="1" tint="0.249977111117893"/>
        <rFont val="Lao UI"/>
        <family val="2"/>
      </rPr>
      <t>active ingredient</t>
    </r>
    <r>
      <rPr>
        <sz val="10"/>
        <color theme="1" tint="0.249977111117893"/>
        <rFont val="Lao UI"/>
        <family val="2"/>
      </rPr>
      <t>)</t>
    </r>
  </si>
  <si>
    <t>Pesticide (any)</t>
  </si>
  <si>
    <t>Manure credit emission factors</t>
  </si>
  <si>
    <t>Manure credit emission</t>
  </si>
  <si>
    <r>
      <t>Emission Factor (gCO</t>
    </r>
    <r>
      <rPr>
        <vertAlign val="subscript"/>
        <sz val="10"/>
        <color theme="1" tint="0.249977111117893"/>
        <rFont val="Lao UI"/>
        <family val="2"/>
      </rPr>
      <t>2eq</t>
    </r>
    <r>
      <rPr>
        <sz val="10"/>
        <color theme="1" tint="0.249977111117893"/>
        <rFont val="Lao UI"/>
        <family val="2"/>
      </rPr>
      <t>/MJ</t>
    </r>
    <r>
      <rPr>
        <vertAlign val="subscript"/>
        <sz val="10"/>
        <color theme="1" tint="0.249977111117893"/>
        <rFont val="Lao UI"/>
        <family val="2"/>
      </rPr>
      <t>manure</t>
    </r>
    <r>
      <rPr>
        <sz val="10"/>
        <color theme="1" tint="0.249977111117893"/>
        <rFont val="Lao UI"/>
        <family val="2"/>
      </rPr>
      <t>)</t>
    </r>
  </si>
  <si>
    <t>GGSS Actual &amp; default method</t>
  </si>
  <si>
    <t xml:space="preserve">This worksheet is for the user to add notes regarding values, sources and evidence. The notes may be useful for transparency and auditing purposes. </t>
  </si>
  <si>
    <t>Notes for verification of actual values</t>
  </si>
  <si>
    <t>Supply chain module</t>
  </si>
  <si>
    <t>Supply chain element</t>
  </si>
  <si>
    <t>LDAR</t>
  </si>
  <si>
    <t>no LDAR</t>
  </si>
  <si>
    <t>Actual</t>
  </si>
  <si>
    <t>Use standard or actual methane slip for biogas upgrading?</t>
  </si>
  <si>
    <t>Standard</t>
  </si>
  <si>
    <t>Standard methane slip (%)</t>
  </si>
  <si>
    <t xml:space="preserve">This worksheet is used to calculate emissions associated with biogas upgrading to biomethane, and biomethane injection. The system technology and configuration should be appropriately selected and input values should be added for fuel, chemicals and parasitic electricity. Where methane slip is known, use Actual values, otherwise use Standard values. </t>
  </si>
  <si>
    <t>Use standard or actual methane leak for digestate?</t>
  </si>
  <si>
    <t>Use standard or actual methane leak for digestion?</t>
  </si>
  <si>
    <t>Methane leak (digestate)</t>
  </si>
  <si>
    <t>Methane leak (digestion)</t>
  </si>
  <si>
    <t>Methane leak</t>
  </si>
  <si>
    <t xml:space="preserve">To discuss any element of the tool or the wider support available please contact Lucy Hopwood, Director or Lucy Montgomery, Lead Consultant on +44(0)1904 217182 or via enquiries@nnfcc.co.uk </t>
  </si>
  <si>
    <t>Standard (LDAR)</t>
  </si>
  <si>
    <t>Standard (Covered)</t>
  </si>
  <si>
    <r>
      <rPr>
        <sz val="10"/>
        <color rgb="FF808080"/>
        <rFont val="Lao UI"/>
        <family val="2"/>
      </rPr>
      <t xml:space="preserve">Methods of calculating greenhouse gas emissions and Guidance for calculating fugitive methane emissions (DESNZ): </t>
    </r>
    <r>
      <rPr>
        <u/>
        <sz val="10"/>
        <color theme="10"/>
        <rFont val="Lao UI"/>
        <family val="2"/>
      </rPr>
      <t xml:space="preserve">https://www.gov.uk/government/publications/methods-of-calculating-greenhouse-gas-emissions </t>
    </r>
  </si>
  <si>
    <t>(Conditional) Guidance for calculating fugitive methane (DESNZ)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</si>
</sst>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43" formatCode="_-* #,##0.00_-;\-* #,##0.00_-;_-* &quot;-&quot;??_-;_-@_-"/>
    <numFmt numFmtId="164" formatCode="0.0%"/>
    <numFmt numFmtId="165" formatCode="_-* #,##0_-;\-* #,##0_-;_-* &quot;-&quot;??_-;_-@_-"/>
    <numFmt numFmtId="166" formatCode="0.000"/>
    <numFmt numFmtId="167" formatCode="0.000000"/>
    <numFmt numFmtId="168" formatCode="#,##0.0"/>
    <numFmt numFmtId="169" formatCode="0.0"/>
    <numFmt numFmtId="170" formatCode="#,##0.000"/>
    <numFmt numFmtId="171" formatCode="_-* #,##0.0000_-;\-* #,##0.0000_-;_-* &quot;-&quot;??_-;_-@_-"/>
    <numFmt numFmtId="172" formatCode="#,##0.00_ ;\-#,##0.00\ "/>
    <numFmt numFmtId="173" formatCode="0.000%"/>
  </numFmts>
  <fonts count="100" x14ac:knownFonts="1">
    <font>
      <sz val="11"/>
      <color theme="1"/>
      <name val="Calibri"/>
      <family val="2"/>
      <scheme val="minor"/>
    </font>
    <font>
      <sz val="10"/>
      <color theme="1" tint="0.249977111117893"/>
      <name val="Lao UI"/>
      <family val="2"/>
    </font>
    <font>
      <sz val="8"/>
      <color theme="1" tint="0.499984740745262"/>
      <name val="Lao UI"/>
      <family val="2"/>
    </font>
    <font>
      <u/>
      <sz val="11"/>
      <color theme="10"/>
      <name val="Calibri"/>
      <family val="2"/>
      <scheme val="minor"/>
    </font>
    <font>
      <sz val="11"/>
      <color theme="1"/>
      <name val="Lao UI"/>
      <family val="2"/>
    </font>
    <font>
      <b/>
      <sz val="11"/>
      <color theme="1"/>
      <name val="Lao UI"/>
      <family val="2"/>
    </font>
    <font>
      <sz val="11"/>
      <color theme="0"/>
      <name val="Lao UI"/>
      <family val="2"/>
    </font>
    <font>
      <sz val="11"/>
      <color rgb="FFC00000"/>
      <name val="Lao UI"/>
      <family val="2"/>
    </font>
    <font>
      <sz val="11"/>
      <color rgb="FFC4CFEE"/>
      <name val="Lao UI"/>
      <family val="2"/>
    </font>
    <font>
      <sz val="11"/>
      <color rgb="FF3352AB"/>
      <name val="Lao UI"/>
      <family val="2"/>
    </font>
    <font>
      <sz val="11"/>
      <color rgb="FFFFC000"/>
      <name val="Lao UI"/>
      <family val="2"/>
    </font>
    <font>
      <b/>
      <sz val="11"/>
      <color theme="0"/>
      <name val="Lao UI"/>
      <family val="2"/>
    </font>
    <font>
      <sz val="11"/>
      <color theme="1"/>
      <name val="Calibri"/>
      <family val="2"/>
      <scheme val="minor"/>
    </font>
    <font>
      <sz val="10"/>
      <color theme="0"/>
      <name val="Lao UI"/>
      <family val="2"/>
    </font>
    <font>
      <vertAlign val="subscript"/>
      <sz val="10"/>
      <color theme="0"/>
      <name val="Lao UI"/>
      <family val="2"/>
    </font>
    <font>
      <sz val="9"/>
      <color theme="1" tint="0.249977111117893"/>
      <name val="Lao UI"/>
      <family val="2"/>
    </font>
    <font>
      <b/>
      <sz val="9"/>
      <color theme="1" tint="0.249977111117893"/>
      <name val="Lao UI"/>
      <family val="2"/>
    </font>
    <font>
      <b/>
      <sz val="9"/>
      <color rgb="FF3352AB"/>
      <name val="Lao UI"/>
      <family val="2"/>
    </font>
    <font>
      <sz val="10"/>
      <name val="Arial"/>
      <family val="2"/>
    </font>
    <font>
      <b/>
      <sz val="10"/>
      <color theme="1"/>
      <name val="Lao UI"/>
      <family val="2"/>
    </font>
    <font>
      <sz val="10"/>
      <color theme="1"/>
      <name val="Lao UI"/>
      <family val="2"/>
    </font>
    <font>
      <b/>
      <sz val="10"/>
      <color theme="1" tint="0.249977111117893"/>
      <name val="Lao UI"/>
      <family val="2"/>
    </font>
    <font>
      <b/>
      <sz val="10"/>
      <color theme="0" tint="-4.9989318521683403E-2"/>
      <name val="Lao UI"/>
      <family val="2"/>
    </font>
    <font>
      <b/>
      <vertAlign val="subscript"/>
      <sz val="10"/>
      <color theme="1" tint="0.249977111117893"/>
      <name val="Lao UI"/>
      <family val="2"/>
    </font>
    <font>
      <vertAlign val="subscript"/>
      <sz val="10"/>
      <color theme="1" tint="0.249977111117893"/>
      <name val="Lao UI"/>
      <family val="2"/>
    </font>
    <font>
      <sz val="10"/>
      <color rgb="FF3352AB"/>
      <name val="Lao UI"/>
      <family val="2"/>
    </font>
    <font>
      <u/>
      <sz val="10"/>
      <color theme="1" tint="0.249977111117893"/>
      <name val="Calibri"/>
      <family val="2"/>
      <scheme val="minor"/>
    </font>
    <font>
      <sz val="10"/>
      <color theme="1" tint="0.499984740745262"/>
      <name val="Lao UI"/>
      <family val="2"/>
    </font>
    <font>
      <vertAlign val="subscript"/>
      <sz val="10"/>
      <color theme="1"/>
      <name val="Lao UI"/>
      <family val="2"/>
    </font>
    <font>
      <sz val="10"/>
      <color rgb="FFDA2A2A"/>
      <name val="Lao UI"/>
      <family val="2"/>
    </font>
    <font>
      <sz val="11"/>
      <color theme="1" tint="0.249977111117893"/>
      <name val="Lao UI"/>
      <family val="2"/>
    </font>
    <font>
      <sz val="10"/>
      <color theme="1" tint="0.24994659260841701"/>
      <name val="Lao UI"/>
      <family val="2"/>
    </font>
    <font>
      <sz val="10"/>
      <color theme="6" tint="-0.24994659260841701"/>
      <name val="Calibri"/>
      <family val="2"/>
      <scheme val="minor"/>
    </font>
    <font>
      <sz val="10"/>
      <color theme="1"/>
      <name val="Calibri"/>
      <family val="2"/>
      <scheme val="minor"/>
    </font>
    <font>
      <b/>
      <u/>
      <sz val="12"/>
      <color theme="6" tint="-0.24994659260841701"/>
      <name val="Calibri"/>
      <family val="2"/>
      <scheme val="minor"/>
    </font>
    <font>
      <b/>
      <i/>
      <sz val="11"/>
      <color theme="6" tint="-0.24994659260841701"/>
      <name val="Calibri"/>
      <family val="2"/>
      <scheme val="minor"/>
    </font>
    <font>
      <sz val="11"/>
      <color rgb="FFFEF09C"/>
      <name val="Lao UI"/>
      <family val="2"/>
    </font>
    <font>
      <b/>
      <sz val="12"/>
      <color theme="0"/>
      <name val="Lao UI"/>
      <family val="2"/>
    </font>
    <font>
      <b/>
      <sz val="12"/>
      <color theme="1" tint="0.249977111117893"/>
      <name val="Lao UI"/>
      <family val="2"/>
    </font>
    <font>
      <b/>
      <sz val="11"/>
      <color theme="1" tint="0.249977111117893"/>
      <name val="Lao UI"/>
      <family val="2"/>
    </font>
    <font>
      <b/>
      <vertAlign val="subscript"/>
      <sz val="11"/>
      <color theme="1" tint="0.249977111117893"/>
      <name val="Lao UI"/>
      <family val="2"/>
    </font>
    <font>
      <i/>
      <u/>
      <sz val="14"/>
      <color theme="1" tint="0.249977111117893"/>
      <name val="Lao UI"/>
      <family val="2"/>
    </font>
    <font>
      <u/>
      <sz val="10"/>
      <color theme="1" tint="0.499984740745262"/>
      <name val="Lao UI"/>
      <family val="2"/>
    </font>
    <font>
      <u/>
      <sz val="11"/>
      <color theme="1" tint="0.499984740745262"/>
      <name val="Calibri"/>
      <family val="2"/>
      <scheme val="minor"/>
    </font>
    <font>
      <b/>
      <sz val="11"/>
      <color rgb="FF01539C"/>
      <name val="Lao UI"/>
      <family val="2"/>
    </font>
    <font>
      <i/>
      <sz val="10"/>
      <color rgb="FF01539C"/>
      <name val="Lao UI"/>
      <family val="2"/>
    </font>
    <font>
      <sz val="10"/>
      <color indexed="9"/>
      <name val="Lao UI"/>
      <family val="2"/>
    </font>
    <font>
      <vertAlign val="superscript"/>
      <sz val="10"/>
      <color indexed="9"/>
      <name val="Lao UI"/>
      <family val="2"/>
    </font>
    <font>
      <vertAlign val="subscript"/>
      <sz val="10"/>
      <color indexed="9"/>
      <name val="Lao UI"/>
      <family val="2"/>
    </font>
    <font>
      <u/>
      <sz val="10"/>
      <color theme="1" tint="0.249977111117893"/>
      <name val="Lao UI"/>
      <family val="2"/>
    </font>
    <font>
      <vertAlign val="subscript"/>
      <sz val="11"/>
      <color theme="0"/>
      <name val="Lao UI"/>
      <family val="2"/>
    </font>
    <font>
      <sz val="10"/>
      <color theme="0" tint="-0.249977111117893"/>
      <name val="Lao UI"/>
      <family val="2"/>
    </font>
    <font>
      <b/>
      <sz val="10"/>
      <color theme="0" tint="-0.249977111117893"/>
      <name val="Lao UI"/>
      <family val="2"/>
    </font>
    <font>
      <sz val="9"/>
      <color theme="0"/>
      <name val="Lao UI"/>
      <family val="2"/>
    </font>
    <font>
      <vertAlign val="subscript"/>
      <sz val="9"/>
      <color theme="0"/>
      <name val="Lao UI"/>
      <family val="2"/>
    </font>
    <font>
      <sz val="9"/>
      <color rgb="FFC00000"/>
      <name val="Lao UI"/>
      <family val="2"/>
    </font>
    <font>
      <i/>
      <sz val="10"/>
      <color theme="1" tint="0.499984740745262"/>
      <name val="Lao UI"/>
      <family val="2"/>
    </font>
    <font>
      <vertAlign val="superscript"/>
      <sz val="9"/>
      <color theme="0"/>
      <name val="Lao UI"/>
      <family val="2"/>
    </font>
    <font>
      <b/>
      <sz val="14"/>
      <color theme="1" tint="0.249977111117893"/>
      <name val="Lao UI"/>
      <family val="2"/>
    </font>
    <font>
      <sz val="11"/>
      <color theme="0"/>
      <name val="Calibri"/>
      <family val="2"/>
    </font>
    <font>
      <sz val="11"/>
      <color theme="1"/>
      <name val="Calibri"/>
      <family val="2"/>
    </font>
    <font>
      <b/>
      <u/>
      <sz val="11"/>
      <color theme="1"/>
      <name val="Lao UI"/>
      <family val="2"/>
    </font>
    <font>
      <i/>
      <sz val="11"/>
      <color theme="1"/>
      <name val="Lao UI"/>
      <family val="2"/>
    </font>
    <font>
      <b/>
      <i/>
      <sz val="11"/>
      <color theme="1"/>
      <name val="Lao UI"/>
      <family val="2"/>
    </font>
    <font>
      <vertAlign val="superscript"/>
      <sz val="11"/>
      <color theme="0"/>
      <name val="Lao UI"/>
      <family val="2"/>
    </font>
    <font>
      <vertAlign val="superscript"/>
      <sz val="11"/>
      <color theme="1"/>
      <name val="Lao UI"/>
      <family val="2"/>
    </font>
    <font>
      <i/>
      <sz val="10"/>
      <color theme="1"/>
      <name val="Lao UI"/>
      <family val="2"/>
    </font>
    <font>
      <i/>
      <sz val="10"/>
      <color theme="1" tint="0.249977111117893"/>
      <name val="Lao UI"/>
      <family val="2"/>
    </font>
    <font>
      <i/>
      <sz val="11"/>
      <color theme="1" tint="0.249977111117893"/>
      <name val="Calibri"/>
      <family val="2"/>
      <scheme val="minor"/>
    </font>
    <font>
      <sz val="11"/>
      <color theme="0"/>
      <name val="Calibri"/>
      <family val="2"/>
      <scheme val="minor"/>
    </font>
    <font>
      <vertAlign val="superscript"/>
      <sz val="10"/>
      <color theme="0"/>
      <name val="Lao UI"/>
      <family val="2"/>
    </font>
    <font>
      <sz val="8"/>
      <name val="Calibri"/>
      <family val="2"/>
      <scheme val="minor"/>
    </font>
    <font>
      <b/>
      <sz val="11"/>
      <color rgb="FFC00000"/>
      <name val="Lao UI"/>
      <family val="2"/>
    </font>
    <font>
      <sz val="11"/>
      <name val="Lao UI"/>
      <family val="2"/>
    </font>
    <font>
      <sz val="8"/>
      <color theme="0" tint="-0.249977111117893"/>
      <name val="Lao UI"/>
      <family val="2"/>
    </font>
    <font>
      <sz val="11"/>
      <color theme="0" tint="-0.249977111117893"/>
      <name val="Lao UI"/>
      <family val="2"/>
    </font>
    <font>
      <sz val="10"/>
      <color rgb="FFFF0000"/>
      <name val="Lao UI"/>
      <family val="2"/>
    </font>
    <font>
      <b/>
      <sz val="10"/>
      <color theme="0"/>
      <name val="Lao UI"/>
      <family val="2"/>
    </font>
    <font>
      <u/>
      <sz val="10"/>
      <color theme="10"/>
      <name val="Lao UI"/>
      <family val="2"/>
    </font>
    <font>
      <sz val="10"/>
      <color rgb="FF808080"/>
      <name val="Lao UI"/>
      <family val="2"/>
    </font>
    <font>
      <b/>
      <u/>
      <sz val="10"/>
      <color theme="1"/>
      <name val="Lao UI"/>
      <family val="2"/>
    </font>
    <font>
      <vertAlign val="superscript"/>
      <sz val="11"/>
      <color theme="0"/>
      <name val="Calibri"/>
      <family val="2"/>
      <scheme val="minor"/>
    </font>
    <font>
      <b/>
      <sz val="11"/>
      <color theme="0"/>
      <name val="Calibri"/>
      <family val="2"/>
    </font>
    <font>
      <b/>
      <vertAlign val="superscript"/>
      <sz val="11"/>
      <color theme="0"/>
      <name val="Lao UI"/>
      <family val="2"/>
    </font>
    <font>
      <i/>
      <sz val="11"/>
      <color theme="0"/>
      <name val="Lao UI"/>
      <family val="2"/>
    </font>
    <font>
      <i/>
      <vertAlign val="subscript"/>
      <sz val="11"/>
      <color theme="0"/>
      <name val="Lao UI"/>
      <family val="2"/>
    </font>
    <font>
      <i/>
      <sz val="10"/>
      <color theme="0"/>
      <name val="Lao UI"/>
      <family val="2"/>
    </font>
    <font>
      <i/>
      <vertAlign val="subscript"/>
      <sz val="10"/>
      <color theme="0"/>
      <name val="Lao UI"/>
      <family val="2"/>
    </font>
    <font>
      <vertAlign val="subscript"/>
      <sz val="11"/>
      <color theme="1"/>
      <name val="Lao UI"/>
      <family val="2"/>
    </font>
    <font>
      <sz val="10"/>
      <color theme="1" tint="0.34998626667073579"/>
      <name val="Lao UI"/>
      <family val="2"/>
    </font>
    <font>
      <b/>
      <i/>
      <sz val="11"/>
      <color theme="1" tint="0.249977111117893"/>
      <name val="Lao UI"/>
      <family val="2"/>
    </font>
    <font>
      <b/>
      <sz val="10"/>
      <color rgb="FFFF0000"/>
      <name val="Lao UI"/>
      <family val="2"/>
    </font>
    <font>
      <sz val="9"/>
      <color rgb="FFF2F2F2"/>
      <name val="Lao UI"/>
      <family val="2"/>
    </font>
    <font>
      <sz val="10"/>
      <color rgb="FF404040"/>
      <name val="Lao UI"/>
      <family val="2"/>
    </font>
    <font>
      <sz val="11"/>
      <color rgb="FF404040"/>
      <name val="Calibri"/>
      <family val="2"/>
      <scheme val="minor"/>
    </font>
    <font>
      <sz val="10"/>
      <name val="Lao UI"/>
      <family val="2"/>
    </font>
    <font>
      <i/>
      <sz val="11"/>
      <color theme="0" tint="-0.499984740745262"/>
      <name val="Lao UI"/>
      <family val="2"/>
    </font>
    <font>
      <i/>
      <vertAlign val="subscript"/>
      <sz val="11"/>
      <color theme="0" tint="-0.499984740745262"/>
      <name val="Lao UI"/>
      <family val="2"/>
    </font>
    <font>
      <b/>
      <sz val="9"/>
      <color rgb="FFFF0000"/>
      <name val="Lao UI"/>
      <family val="2"/>
    </font>
    <font>
      <sz val="12"/>
      <color rgb="FF333333"/>
      <name val="Lao UI"/>
      <family val="2"/>
    </font>
  </fonts>
  <fills count="19">
    <fill>
      <patternFill patternType="none"/>
    </fill>
    <fill>
      <patternFill patternType="gray125"/>
    </fill>
    <fill>
      <patternFill patternType="solid">
        <fgColor theme="0"/>
        <bgColor indexed="64"/>
      </patternFill>
    </fill>
    <fill>
      <patternFill patternType="solid">
        <fgColor rgb="FFFBD803"/>
        <bgColor indexed="64"/>
      </patternFill>
    </fill>
    <fill>
      <patternFill patternType="solid">
        <fgColor rgb="FF48B84D"/>
        <bgColor indexed="64"/>
      </patternFill>
    </fill>
    <fill>
      <patternFill patternType="solid">
        <fgColor rgb="FF3352AB"/>
        <bgColor indexed="64"/>
      </patternFill>
    </fill>
    <fill>
      <patternFill patternType="solid">
        <fgColor rgb="FFC4CFEE"/>
        <bgColor indexed="64"/>
      </patternFill>
    </fill>
    <fill>
      <patternFill patternType="solid">
        <fgColor rgb="FFDA2A2A"/>
        <bgColor indexed="64"/>
      </patternFill>
    </fill>
    <fill>
      <patternFill patternType="solid">
        <fgColor rgb="FFD0ECD1"/>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rgb="FFFEF09C"/>
        <bgColor indexed="64"/>
      </patternFill>
    </fill>
    <fill>
      <patternFill patternType="solid">
        <fgColor theme="1" tint="0.499984740745262"/>
        <bgColor indexed="64"/>
      </patternFill>
    </fill>
    <fill>
      <patternFill patternType="solid">
        <fgColor rgb="FF01539C"/>
        <bgColor indexed="64"/>
      </patternFill>
    </fill>
    <fill>
      <patternFill patternType="solid">
        <fgColor rgb="FF3FA344"/>
        <bgColor indexed="64"/>
      </patternFill>
    </fill>
    <fill>
      <patternFill patternType="solid">
        <fgColor rgb="FF593884"/>
        <bgColor indexed="64"/>
      </patternFill>
    </fill>
    <fill>
      <patternFill patternType="solid">
        <fgColor rgb="FFEAF6EA"/>
        <bgColor indexed="64"/>
      </patternFill>
    </fill>
    <fill>
      <patternFill patternType="solid">
        <fgColor theme="1" tint="0.34998626667073579"/>
        <bgColor indexed="64"/>
      </patternFill>
    </fill>
    <fill>
      <patternFill patternType="solid">
        <fgColor rgb="FFF2F2F2"/>
        <bgColor indexed="64"/>
      </patternFill>
    </fill>
  </fills>
  <borders count="6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style="medium">
        <color theme="0"/>
      </top>
      <bottom/>
      <diagonal/>
    </border>
    <border>
      <left/>
      <right/>
      <top/>
      <bottom style="medium">
        <color theme="0"/>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diagonal/>
    </border>
    <border>
      <left/>
      <right style="thin">
        <color theme="0" tint="-0.249977111117893"/>
      </right>
      <top/>
      <bottom/>
      <diagonal/>
    </border>
    <border>
      <left/>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top/>
      <bottom style="medium">
        <color rgb="FFFBD803"/>
      </bottom>
      <diagonal/>
    </border>
    <border>
      <left style="thin">
        <color rgb="FFBFBFBF"/>
      </left>
      <right style="thin">
        <color rgb="FFBFBFBF"/>
      </right>
      <top style="thin">
        <color rgb="FFBFBFBF"/>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77111117893"/>
      </left>
      <right style="thin">
        <color rgb="FFBFBFBF"/>
      </right>
      <top/>
      <bottom style="thin">
        <color theme="0" tint="-0.24994659260841701"/>
      </bottom>
      <diagonal/>
    </border>
    <border>
      <left style="thin">
        <color rgb="FFBFBFBF"/>
      </left>
      <right style="thin">
        <color rgb="FFBFBFBF"/>
      </right>
      <top/>
      <bottom style="thin">
        <color theme="0" tint="-0.24994659260841701"/>
      </bottom>
      <diagonal/>
    </border>
    <border>
      <left style="thin">
        <color rgb="FFBFBFBF"/>
      </left>
      <right style="thin">
        <color theme="0" tint="-0.249977111117893"/>
      </right>
      <top/>
      <bottom style="thin">
        <color theme="0" tint="-0.24994659260841701"/>
      </bottom>
      <diagonal/>
    </border>
    <border>
      <left style="thin">
        <color theme="0" tint="-0.249977111117893"/>
      </left>
      <right style="thin">
        <color theme="0" tint="-0.249977111117893"/>
      </right>
      <top/>
      <bottom/>
      <diagonal/>
    </border>
    <border>
      <left/>
      <right/>
      <top/>
      <bottom style="medium">
        <color theme="0" tint="-0.249977111117893"/>
      </bottom>
      <diagonal/>
    </border>
    <border>
      <left style="thin">
        <color theme="0" tint="-0.249977111117893"/>
      </left>
      <right/>
      <top/>
      <bottom style="medium">
        <color theme="0" tint="-0.249977111117893"/>
      </bottom>
      <diagonal/>
    </border>
    <border>
      <left/>
      <right style="thin">
        <color theme="0" tint="-0.249977111117893"/>
      </right>
      <top/>
      <bottom style="medium">
        <color theme="0" tint="-0.249977111117893"/>
      </bottom>
      <diagonal/>
    </border>
    <border>
      <left style="thin">
        <color theme="0" tint="-0.24994659260841701"/>
      </left>
      <right style="thin">
        <color theme="0" tint="-0.24994659260841701"/>
      </right>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style="thin">
        <color theme="0" tint="-0.24994659260841701"/>
      </left>
      <right/>
      <top/>
      <bottom/>
      <diagonal/>
    </border>
    <border>
      <left/>
      <right/>
      <top/>
      <bottom style="double">
        <color theme="0" tint="-0.249977111117893"/>
      </bottom>
      <diagonal/>
    </border>
    <border>
      <left/>
      <right/>
      <top style="thin">
        <color theme="0" tint="-0.249977111117893"/>
      </top>
      <bottom style="medium">
        <color theme="0" tint="-0.249977111117893"/>
      </bottom>
      <diagonal/>
    </border>
    <border>
      <left style="thin">
        <color theme="0" tint="-0.24994659260841701"/>
      </left>
      <right/>
      <top style="thin">
        <color theme="0" tint="-0.24994659260841701"/>
      </top>
      <bottom style="thin">
        <color theme="0" tint="-0.24994659260841701"/>
      </bottom>
      <diagonal/>
    </border>
    <border>
      <left style="thin">
        <color rgb="FFBFBFBF"/>
      </left>
      <right style="thin">
        <color rgb="FFBFBFBF"/>
      </right>
      <top style="thin">
        <color rgb="FFBFBFBF"/>
      </top>
      <bottom style="thin">
        <color rgb="FFBFBFBF"/>
      </bottom>
      <diagonal/>
    </border>
    <border>
      <left/>
      <right style="thin">
        <color rgb="FFBFBFBF"/>
      </right>
      <top style="thin">
        <color rgb="FFBFBFBF"/>
      </top>
      <bottom style="thin">
        <color rgb="FFBFBFBF"/>
      </bottom>
      <diagonal/>
    </border>
    <border>
      <left/>
      <right/>
      <top style="thin">
        <color rgb="FFBFBFBF"/>
      </top>
      <bottom/>
      <diagonal/>
    </border>
    <border>
      <left/>
      <right style="thin">
        <color rgb="FFBFBFBF"/>
      </right>
      <top/>
      <bottom style="thin">
        <color rgb="FFBFBFBF"/>
      </bottom>
      <diagonal/>
    </border>
    <border>
      <left style="thin">
        <color rgb="FFBFBFBF"/>
      </left>
      <right/>
      <top style="thin">
        <color rgb="FFBFBFBF"/>
      </top>
      <bottom style="thin">
        <color rgb="FFBFBFBF"/>
      </bottom>
      <diagonal/>
    </border>
    <border>
      <left style="thin">
        <color theme="0" tint="-0.249977111117893"/>
      </left>
      <right/>
      <top style="thin">
        <color theme="0" tint="-0.249977111117893"/>
      </top>
      <bottom style="thin">
        <color theme="0" tint="-0.24994659260841701"/>
      </bottom>
      <diagonal/>
    </border>
    <border>
      <left/>
      <right/>
      <top style="thin">
        <color theme="0" tint="-0.249977111117893"/>
      </top>
      <bottom style="thin">
        <color theme="0" tint="-0.24994659260841701"/>
      </bottom>
      <diagonal/>
    </border>
    <border>
      <left/>
      <right style="thin">
        <color theme="0" tint="-0.249977111117893"/>
      </right>
      <top style="thin">
        <color theme="0" tint="-0.249977111117893"/>
      </top>
      <bottom style="thin">
        <color theme="0" tint="-0.24994659260841701"/>
      </bottom>
      <diagonal/>
    </border>
    <border>
      <left style="thin">
        <color theme="0" tint="-0.24994659260841701"/>
      </left>
      <right/>
      <top/>
      <bottom style="thin">
        <color theme="0" tint="-0.24994659260841701"/>
      </bottom>
      <diagonal/>
    </border>
    <border>
      <left/>
      <right/>
      <top style="double">
        <color theme="0" tint="-0.249977111117893"/>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77111117893"/>
      </left>
      <right style="thin">
        <color theme="0" tint="-0.24994659260841701"/>
      </right>
      <top style="thin">
        <color theme="0" tint="-0.249977111117893"/>
      </top>
      <bottom style="thin">
        <color theme="0" tint="-0.249977111117893"/>
      </bottom>
      <diagonal/>
    </border>
    <border>
      <left style="thin">
        <color theme="0" tint="-0.249977111117893"/>
      </left>
      <right/>
      <top style="thin">
        <color theme="0" tint="-0.24994659260841701"/>
      </top>
      <bottom/>
      <diagonal/>
    </border>
    <border>
      <left style="thin">
        <color theme="0" tint="-0.249977111117893"/>
      </left>
      <right style="thin">
        <color theme="0" tint="-0.24994659260841701"/>
      </right>
      <top style="thin">
        <color theme="0" tint="-0.249977111117893"/>
      </top>
      <bottom/>
      <diagonal/>
    </border>
    <border>
      <left style="thin">
        <color theme="0" tint="-0.24994659260841701"/>
      </left>
      <right style="thin">
        <color theme="0" tint="-0.24994659260841701"/>
      </right>
      <top style="thin">
        <color theme="0" tint="-0.249977111117893"/>
      </top>
      <bottom/>
      <diagonal/>
    </border>
    <border>
      <left style="thin">
        <color rgb="FFBFBFBF"/>
      </left>
      <right/>
      <top/>
      <bottom/>
      <diagonal/>
    </border>
    <border>
      <left style="thin">
        <color theme="0" tint="-0.249977111117893"/>
      </left>
      <right style="thin">
        <color theme="0" tint="-0.24994659260841701"/>
      </right>
      <top/>
      <bottom/>
      <diagonal/>
    </border>
    <border>
      <left style="thin">
        <color theme="0" tint="-0.24994659260841701"/>
      </left>
      <right/>
      <top style="thin">
        <color theme="0" tint="-0.249977111117893"/>
      </top>
      <bottom/>
      <diagonal/>
    </border>
    <border>
      <left style="thin">
        <color theme="0" tint="-0.24994659260841701"/>
      </left>
      <right style="thin">
        <color theme="0" tint="-0.249977111117893"/>
      </right>
      <top style="thin">
        <color theme="0" tint="-0.249977111117893"/>
      </top>
      <bottom/>
      <diagonal/>
    </border>
    <border>
      <left style="thin">
        <color theme="0" tint="-0.24994659260841701"/>
      </left>
      <right style="thin">
        <color theme="0" tint="-0.249977111117893"/>
      </right>
      <top style="thin">
        <color theme="0" tint="-0.24994659260841701"/>
      </top>
      <bottom/>
      <diagonal/>
    </border>
    <border>
      <left style="thin">
        <color theme="0" tint="-0.24994659260841701"/>
      </left>
      <right style="thin">
        <color theme="0" tint="-0.24994659260841701"/>
      </right>
      <top style="thin">
        <color theme="0" tint="-0.249977111117893"/>
      </top>
      <bottom style="thin">
        <color theme="0" tint="-0.24994659260841701"/>
      </bottom>
      <diagonal/>
    </border>
    <border>
      <left/>
      <right/>
      <top style="thin">
        <color rgb="FFBFBFBF"/>
      </top>
      <bottom style="thin">
        <color rgb="FFBFBFBF"/>
      </bottom>
      <diagonal/>
    </border>
    <border>
      <left/>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FBFBF"/>
      </left>
      <right style="thin">
        <color rgb="FFBFBFBF"/>
      </right>
      <top style="thin">
        <color rgb="FFBFBFBF"/>
      </top>
      <bottom style="thin">
        <color theme="0" tint="-0.249977111117893"/>
      </bottom>
      <diagonal/>
    </border>
  </borders>
  <cellStyleXfs count="11">
    <xf numFmtId="0" fontId="0" fillId="0" borderId="0"/>
    <xf numFmtId="0" fontId="3" fillId="0" borderId="0" applyNumberForma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8" fillId="0" borderId="0"/>
    <xf numFmtId="0" fontId="18" fillId="0" borderId="0"/>
    <xf numFmtId="0" fontId="32" fillId="0" borderId="0" applyNumberFormat="0" applyBorder="0" applyAlignment="0" applyProtection="0"/>
    <xf numFmtId="0" fontId="33" fillId="10" borderId="0"/>
    <xf numFmtId="0" fontId="33" fillId="0" borderId="0">
      <alignment vertical="center"/>
    </xf>
    <xf numFmtId="0" fontId="34" fillId="0" borderId="0" applyNumberFormat="0" applyFill="0" applyBorder="0" applyAlignment="0" applyProtection="0"/>
    <xf numFmtId="0" fontId="35" fillId="0" borderId="0" applyNumberFormat="0" applyFill="0" applyBorder="0" applyAlignment="0" applyProtection="0"/>
  </cellStyleXfs>
  <cellXfs count="832">
    <xf numFmtId="0" fontId="0" fillId="0" borderId="0" xfId="0"/>
    <xf numFmtId="0" fontId="1" fillId="2" borderId="0" xfId="0" applyFont="1" applyFill="1"/>
    <xf numFmtId="0" fontId="2" fillId="2" borderId="0" xfId="0" applyFont="1" applyFill="1"/>
    <xf numFmtId="0" fontId="2" fillId="2" borderId="0" xfId="0" quotePrefix="1" applyFont="1" applyFill="1"/>
    <xf numFmtId="0" fontId="4" fillId="2" borderId="0" xfId="0" applyFont="1" applyFill="1"/>
    <xf numFmtId="0" fontId="7" fillId="2" borderId="0" xfId="0" applyFont="1" applyFill="1"/>
    <xf numFmtId="0" fontId="9" fillId="2" borderId="0" xfId="0" applyFont="1" applyFill="1"/>
    <xf numFmtId="0" fontId="10" fillId="2" borderId="0" xfId="0" applyFont="1" applyFill="1"/>
    <xf numFmtId="0" fontId="13" fillId="0" borderId="0" xfId="0" applyFont="1"/>
    <xf numFmtId="0" fontId="1" fillId="0" borderId="0" xfId="0" applyFont="1"/>
    <xf numFmtId="43" fontId="1" fillId="0" borderId="0" xfId="3" applyFont="1"/>
    <xf numFmtId="165" fontId="1" fillId="0" borderId="0" xfId="3" applyNumberFormat="1" applyFont="1"/>
    <xf numFmtId="0" fontId="15" fillId="2" borderId="0" xfId="0" applyFont="1" applyFill="1"/>
    <xf numFmtId="0" fontId="15" fillId="2" borderId="0" xfId="0" applyFont="1" applyFill="1" applyAlignment="1">
      <alignment wrapText="1"/>
    </xf>
    <xf numFmtId="0" fontId="4" fillId="2" borderId="0" xfId="0" applyFont="1" applyFill="1" applyAlignment="1">
      <alignment wrapText="1"/>
    </xf>
    <xf numFmtId="0" fontId="4" fillId="2" borderId="9" xfId="0" applyFont="1" applyFill="1" applyBorder="1"/>
    <xf numFmtId="0" fontId="15" fillId="2" borderId="10" xfId="0" applyFont="1" applyFill="1" applyBorder="1"/>
    <xf numFmtId="0" fontId="19" fillId="2" borderId="9" xfId="0" applyFont="1" applyFill="1" applyBorder="1" applyAlignment="1">
      <alignment horizontal="center"/>
    </xf>
    <xf numFmtId="0" fontId="19" fillId="2" borderId="11" xfId="0" applyFont="1" applyFill="1" applyBorder="1" applyAlignment="1">
      <alignment horizontal="center"/>
    </xf>
    <xf numFmtId="0" fontId="19" fillId="2" borderId="0" xfId="0" applyFont="1" applyFill="1" applyAlignment="1">
      <alignment horizontal="center"/>
    </xf>
    <xf numFmtId="0" fontId="20" fillId="2" borderId="9" xfId="0" applyFont="1" applyFill="1" applyBorder="1"/>
    <xf numFmtId="0" fontId="20" fillId="2" borderId="0" xfId="0" applyFont="1" applyFill="1"/>
    <xf numFmtId="169" fontId="1" fillId="9" borderId="1" xfId="2" applyNumberFormat="1" applyFont="1" applyFill="1" applyBorder="1" applyAlignment="1">
      <alignment horizontal="right"/>
    </xf>
    <xf numFmtId="0" fontId="20" fillId="2" borderId="9" xfId="0" applyFont="1" applyFill="1" applyBorder="1" applyAlignment="1">
      <alignment wrapText="1"/>
    </xf>
    <xf numFmtId="0" fontId="20" fillId="2" borderId="0" xfId="0" applyFont="1" applyFill="1" applyAlignment="1">
      <alignment wrapText="1"/>
    </xf>
    <xf numFmtId="0" fontId="21" fillId="2" borderId="0" xfId="0" applyFont="1" applyFill="1"/>
    <xf numFmtId="166" fontId="1" fillId="2" borderId="0" xfId="0" applyNumberFormat="1" applyFont="1" applyFill="1"/>
    <xf numFmtId="0" fontId="1" fillId="9" borderId="1" xfId="0" applyFont="1" applyFill="1" applyBorder="1"/>
    <xf numFmtId="0" fontId="20" fillId="2" borderId="12" xfId="0" applyFont="1" applyFill="1" applyBorder="1"/>
    <xf numFmtId="0" fontId="20" fillId="2" borderId="11" xfId="0" applyFont="1" applyFill="1" applyBorder="1"/>
    <xf numFmtId="169" fontId="1" fillId="9" borderId="1" xfId="0" applyNumberFormat="1" applyFont="1" applyFill="1" applyBorder="1"/>
    <xf numFmtId="2" fontId="1" fillId="9" borderId="1" xfId="2" applyNumberFormat="1" applyFont="1" applyFill="1" applyBorder="1" applyAlignment="1">
      <alignment horizontal="right"/>
    </xf>
    <xf numFmtId="167" fontId="4" fillId="2" borderId="0" xfId="0" applyNumberFormat="1" applyFont="1" applyFill="1"/>
    <xf numFmtId="0" fontId="15" fillId="2" borderId="9" xfId="0" applyFont="1" applyFill="1" applyBorder="1"/>
    <xf numFmtId="0" fontId="1" fillId="6" borderId="0" xfId="0" applyFont="1" applyFill="1"/>
    <xf numFmtId="0" fontId="20" fillId="2" borderId="10" xfId="0" applyFont="1" applyFill="1" applyBorder="1"/>
    <xf numFmtId="0" fontId="20" fillId="6" borderId="0" xfId="0" applyFont="1" applyFill="1"/>
    <xf numFmtId="0" fontId="20" fillId="6" borderId="10" xfId="0" applyFont="1" applyFill="1" applyBorder="1"/>
    <xf numFmtId="169" fontId="20" fillId="6" borderId="10" xfId="0" applyNumberFormat="1" applyFont="1" applyFill="1" applyBorder="1"/>
    <xf numFmtId="169" fontId="20" fillId="6" borderId="10" xfId="0" applyNumberFormat="1" applyFont="1" applyFill="1" applyBorder="1" applyAlignment="1">
      <alignment wrapText="1"/>
    </xf>
    <xf numFmtId="169" fontId="1" fillId="6" borderId="10" xfId="0" applyNumberFormat="1" applyFont="1" applyFill="1" applyBorder="1"/>
    <xf numFmtId="0" fontId="20" fillId="6" borderId="9" xfId="0" applyFont="1" applyFill="1" applyBorder="1"/>
    <xf numFmtId="0" fontId="20" fillId="6" borderId="9" xfId="0" applyFont="1" applyFill="1" applyBorder="1" applyAlignment="1">
      <alignment wrapText="1"/>
    </xf>
    <xf numFmtId="0" fontId="1" fillId="6" borderId="9" xfId="0" applyFont="1" applyFill="1" applyBorder="1"/>
    <xf numFmtId="0" fontId="1" fillId="6" borderId="10" xfId="0" applyFont="1" applyFill="1" applyBorder="1"/>
    <xf numFmtId="0" fontId="20" fillId="6" borderId="16" xfId="0" applyFont="1" applyFill="1" applyBorder="1"/>
    <xf numFmtId="0" fontId="20" fillId="6" borderId="12" xfId="0" applyFont="1" applyFill="1" applyBorder="1"/>
    <xf numFmtId="0" fontId="20" fillId="6" borderId="15" xfId="0" applyFont="1" applyFill="1" applyBorder="1"/>
    <xf numFmtId="0" fontId="15" fillId="6" borderId="10" xfId="0" applyFont="1" applyFill="1" applyBorder="1"/>
    <xf numFmtId="0" fontId="1" fillId="6" borderId="12" xfId="0" applyFont="1" applyFill="1" applyBorder="1"/>
    <xf numFmtId="0" fontId="19" fillId="2" borderId="10" xfId="0" applyFont="1" applyFill="1" applyBorder="1" applyAlignment="1">
      <alignment horizontal="center"/>
    </xf>
    <xf numFmtId="0" fontId="1" fillId="2" borderId="9" xfId="0" applyFont="1" applyFill="1" applyBorder="1"/>
    <xf numFmtId="2" fontId="1" fillId="9" borderId="1" xfId="0" applyNumberFormat="1" applyFont="1" applyFill="1" applyBorder="1"/>
    <xf numFmtId="3" fontId="21" fillId="2" borderId="0" xfId="0" applyNumberFormat="1" applyFont="1" applyFill="1"/>
    <xf numFmtId="0" fontId="1" fillId="2" borderId="10" xfId="0" applyFont="1" applyFill="1" applyBorder="1"/>
    <xf numFmtId="3" fontId="1" fillId="2" borderId="0" xfId="0" applyNumberFormat="1" applyFont="1" applyFill="1" applyAlignment="1">
      <alignment horizontal="right"/>
    </xf>
    <xf numFmtId="3" fontId="21" fillId="6" borderId="9" xfId="0" applyNumberFormat="1" applyFont="1" applyFill="1" applyBorder="1"/>
    <xf numFmtId="43" fontId="1" fillId="6" borderId="0" xfId="0" applyNumberFormat="1" applyFont="1" applyFill="1"/>
    <xf numFmtId="0" fontId="20" fillId="6" borderId="11" xfId="0" applyFont="1" applyFill="1" applyBorder="1"/>
    <xf numFmtId="0" fontId="20" fillId="6" borderId="13" xfId="0" applyFont="1" applyFill="1" applyBorder="1"/>
    <xf numFmtId="0" fontId="20" fillId="2" borderId="13" xfId="0" applyFont="1" applyFill="1" applyBorder="1"/>
    <xf numFmtId="0" fontId="1" fillId="6" borderId="16" xfId="0" applyFont="1" applyFill="1" applyBorder="1"/>
    <xf numFmtId="0" fontId="20" fillId="6" borderId="10" xfId="0" applyFont="1" applyFill="1" applyBorder="1" applyAlignment="1">
      <alignment wrapText="1"/>
    </xf>
    <xf numFmtId="0" fontId="20" fillId="2" borderId="10" xfId="0" applyFont="1" applyFill="1" applyBorder="1" applyAlignment="1">
      <alignment wrapText="1"/>
    </xf>
    <xf numFmtId="0" fontId="19" fillId="6" borderId="15" xfId="0" applyFont="1" applyFill="1" applyBorder="1"/>
    <xf numFmtId="0" fontId="1" fillId="6" borderId="11" xfId="0" applyFont="1" applyFill="1" applyBorder="1"/>
    <xf numFmtId="0" fontId="1" fillId="6" borderId="13" xfId="0" applyFont="1" applyFill="1" applyBorder="1"/>
    <xf numFmtId="0" fontId="19" fillId="6" borderId="0" xfId="0" applyFont="1" applyFill="1" applyAlignment="1">
      <alignment horizontal="center"/>
    </xf>
    <xf numFmtId="2" fontId="21" fillId="9" borderId="1" xfId="0" applyNumberFormat="1" applyFont="1" applyFill="1" applyBorder="1"/>
    <xf numFmtId="0" fontId="22" fillId="6" borderId="14" xfId="0" applyFont="1" applyFill="1" applyBorder="1" applyAlignment="1">
      <alignment vertical="top"/>
    </xf>
    <xf numFmtId="3" fontId="1" fillId="9" borderId="1" xfId="0" applyNumberFormat="1" applyFont="1" applyFill="1" applyBorder="1"/>
    <xf numFmtId="0" fontId="21" fillId="2" borderId="4" xfId="0" applyFont="1" applyFill="1" applyBorder="1"/>
    <xf numFmtId="0" fontId="1" fillId="2" borderId="4" xfId="0" applyFont="1" applyFill="1" applyBorder="1"/>
    <xf numFmtId="3" fontId="1" fillId="9" borderId="8" xfId="0" applyNumberFormat="1" applyFont="1" applyFill="1" applyBorder="1" applyAlignment="1">
      <alignment horizontal="right"/>
    </xf>
    <xf numFmtId="3" fontId="1" fillId="9" borderId="1" xfId="0" applyNumberFormat="1" applyFont="1" applyFill="1" applyBorder="1" applyAlignment="1">
      <alignment horizontal="right"/>
    </xf>
    <xf numFmtId="164" fontId="1" fillId="9" borderId="1" xfId="2" applyNumberFormat="1" applyFont="1" applyFill="1" applyBorder="1" applyAlignment="1">
      <alignment horizontal="right"/>
    </xf>
    <xf numFmtId="3" fontId="1" fillId="2" borderId="0" xfId="0" applyNumberFormat="1" applyFont="1" applyFill="1"/>
    <xf numFmtId="0" fontId="1" fillId="2" borderId="5" xfId="0" applyFont="1" applyFill="1" applyBorder="1"/>
    <xf numFmtId="0" fontId="21" fillId="2" borderId="5" xfId="0" applyFont="1" applyFill="1" applyBorder="1"/>
    <xf numFmtId="0" fontId="1" fillId="6" borderId="15" xfId="0" applyFont="1" applyFill="1" applyBorder="1"/>
    <xf numFmtId="0" fontId="15" fillId="6" borderId="16" xfId="0" applyFont="1" applyFill="1" applyBorder="1"/>
    <xf numFmtId="0" fontId="15" fillId="2" borderId="9" xfId="0" applyFont="1" applyFill="1" applyBorder="1" applyAlignment="1">
      <alignment wrapText="1"/>
    </xf>
    <xf numFmtId="0" fontId="1" fillId="2" borderId="0" xfId="0" applyFont="1" applyFill="1" applyAlignment="1">
      <alignment wrapText="1"/>
    </xf>
    <xf numFmtId="0" fontId="15" fillId="2" borderId="10" xfId="0" applyFont="1" applyFill="1" applyBorder="1" applyAlignment="1">
      <alignment wrapText="1"/>
    </xf>
    <xf numFmtId="0" fontId="15" fillId="2" borderId="12" xfId="0" applyFont="1" applyFill="1" applyBorder="1"/>
    <xf numFmtId="0" fontId="1" fillId="2" borderId="11" xfId="0" applyFont="1" applyFill="1" applyBorder="1"/>
    <xf numFmtId="0" fontId="21" fillId="2" borderId="11" xfId="0" applyFont="1" applyFill="1" applyBorder="1"/>
    <xf numFmtId="3" fontId="21" fillId="2" borderId="11" xfId="0" applyNumberFormat="1" applyFont="1" applyFill="1" applyBorder="1"/>
    <xf numFmtId="0" fontId="15" fillId="2" borderId="11" xfId="0" applyFont="1" applyFill="1" applyBorder="1"/>
    <xf numFmtId="0" fontId="15" fillId="2" borderId="13" xfId="0" applyFont="1" applyFill="1" applyBorder="1"/>
    <xf numFmtId="0" fontId="1" fillId="2" borderId="13" xfId="0" applyFont="1" applyFill="1" applyBorder="1"/>
    <xf numFmtId="2" fontId="1" fillId="9" borderId="1" xfId="0" applyNumberFormat="1" applyFont="1" applyFill="1" applyBorder="1" applyAlignment="1">
      <alignment wrapText="1"/>
    </xf>
    <xf numFmtId="164" fontId="1" fillId="9" borderId="1" xfId="2" applyNumberFormat="1" applyFont="1" applyFill="1" applyBorder="1"/>
    <xf numFmtId="2" fontId="1" fillId="0" borderId="1" xfId="2" applyNumberFormat="1" applyFont="1" applyBorder="1"/>
    <xf numFmtId="3" fontId="4" fillId="2" borderId="0" xfId="0" applyNumberFormat="1" applyFont="1" applyFill="1"/>
    <xf numFmtId="2" fontId="1" fillId="2" borderId="0" xfId="2" applyNumberFormat="1" applyFont="1" applyFill="1" applyAlignment="1">
      <alignment horizontal="right"/>
    </xf>
    <xf numFmtId="0" fontId="25" fillId="2" borderId="0" xfId="0" applyFont="1" applyFill="1"/>
    <xf numFmtId="0" fontId="1" fillId="0" borderId="0" xfId="0" applyFont="1" applyAlignment="1">
      <alignment horizontal="left"/>
    </xf>
    <xf numFmtId="9" fontId="1" fillId="0" borderId="0" xfId="0" applyNumberFormat="1" applyFont="1" applyAlignment="1">
      <alignment horizontal="left"/>
    </xf>
    <xf numFmtId="0" fontId="20" fillId="0" borderId="0" xfId="0" applyFont="1"/>
    <xf numFmtId="0" fontId="27" fillId="2" borderId="0" xfId="0" applyFont="1" applyFill="1"/>
    <xf numFmtId="0" fontId="29" fillId="2" borderId="0" xfId="0" applyFont="1" applyFill="1"/>
    <xf numFmtId="0" fontId="13" fillId="0" borderId="10" xfId="0" applyFont="1" applyBorder="1"/>
    <xf numFmtId="9" fontId="1" fillId="0" borderId="0" xfId="2" applyFont="1"/>
    <xf numFmtId="167" fontId="1" fillId="0" borderId="0" xfId="3" applyNumberFormat="1" applyFont="1"/>
    <xf numFmtId="2" fontId="1" fillId="0" borderId="0" xfId="3" applyNumberFormat="1" applyFont="1"/>
    <xf numFmtId="166" fontId="1" fillId="0" borderId="0" xfId="3" applyNumberFormat="1" applyFont="1"/>
    <xf numFmtId="0" fontId="1" fillId="2" borderId="12" xfId="0" applyFont="1" applyFill="1" applyBorder="1"/>
    <xf numFmtId="0" fontId="26" fillId="2" borderId="0" xfId="1" applyFont="1" applyFill="1"/>
    <xf numFmtId="0" fontId="4" fillId="8" borderId="1" xfId="0" applyFont="1" applyFill="1" applyBorder="1"/>
    <xf numFmtId="0" fontId="4" fillId="2" borderId="1" xfId="0" applyFont="1" applyFill="1" applyBorder="1"/>
    <xf numFmtId="0" fontId="4" fillId="2" borderId="12" xfId="0" applyFont="1" applyFill="1" applyBorder="1"/>
    <xf numFmtId="0" fontId="4" fillId="2" borderId="10" xfId="0" applyFont="1" applyFill="1" applyBorder="1"/>
    <xf numFmtId="0" fontId="4" fillId="2" borderId="11" xfId="0" applyFont="1" applyFill="1" applyBorder="1"/>
    <xf numFmtId="0" fontId="4" fillId="2" borderId="13" xfId="0" applyFont="1" applyFill="1" applyBorder="1"/>
    <xf numFmtId="0" fontId="31" fillId="0" borderId="0" xfId="0" applyFont="1"/>
    <xf numFmtId="168" fontId="20" fillId="0" borderId="0" xfId="0" applyNumberFormat="1" applyFont="1"/>
    <xf numFmtId="169" fontId="20" fillId="0" borderId="0" xfId="0" applyNumberFormat="1" applyFont="1"/>
    <xf numFmtId="0" fontId="30" fillId="11" borderId="1" xfId="0" applyFont="1" applyFill="1" applyBorder="1"/>
    <xf numFmtId="0" fontId="4" fillId="3" borderId="1" xfId="0" applyFont="1" applyFill="1" applyBorder="1"/>
    <xf numFmtId="0" fontId="4" fillId="4" borderId="1" xfId="0" applyFont="1" applyFill="1" applyBorder="1"/>
    <xf numFmtId="0" fontId="4" fillId="7" borderId="1" xfId="0" applyFont="1" applyFill="1" applyBorder="1"/>
    <xf numFmtId="0" fontId="4" fillId="12" borderId="1" xfId="0" applyFont="1" applyFill="1" applyBorder="1"/>
    <xf numFmtId="0" fontId="4" fillId="2" borderId="15" xfId="0" applyFont="1" applyFill="1" applyBorder="1"/>
    <xf numFmtId="0" fontId="4" fillId="2" borderId="16" xfId="0" applyFont="1" applyFill="1" applyBorder="1"/>
    <xf numFmtId="0" fontId="4" fillId="9" borderId="1" xfId="0" applyFont="1" applyFill="1" applyBorder="1"/>
    <xf numFmtId="0" fontId="30" fillId="2" borderId="0" xfId="0" applyFont="1" applyFill="1"/>
    <xf numFmtId="2" fontId="1" fillId="0" borderId="0" xfId="0" applyNumberFormat="1" applyFont="1"/>
    <xf numFmtId="169" fontId="1" fillId="0" borderId="0" xfId="0" applyNumberFormat="1" applyFont="1"/>
    <xf numFmtId="0" fontId="15" fillId="6" borderId="0" xfId="0" applyFont="1" applyFill="1"/>
    <xf numFmtId="0" fontId="15" fillId="6" borderId="13" xfId="0" applyFont="1" applyFill="1" applyBorder="1"/>
    <xf numFmtId="0" fontId="1" fillId="6" borderId="9" xfId="0" applyFont="1" applyFill="1" applyBorder="1" applyAlignment="1">
      <alignment wrapText="1"/>
    </xf>
    <xf numFmtId="0" fontId="15" fillId="6" borderId="10" xfId="0" applyFont="1" applyFill="1" applyBorder="1" applyAlignment="1">
      <alignment wrapText="1"/>
    </xf>
    <xf numFmtId="164" fontId="15" fillId="6" borderId="10" xfId="0" applyNumberFormat="1" applyFont="1" applyFill="1" applyBorder="1"/>
    <xf numFmtId="0" fontId="1" fillId="8" borderId="1" xfId="0" applyFont="1" applyFill="1" applyBorder="1" applyProtection="1">
      <protection locked="0"/>
    </xf>
    <xf numFmtId="2" fontId="1" fillId="0" borderId="1" xfId="2" applyNumberFormat="1" applyFont="1" applyBorder="1" applyProtection="1">
      <protection locked="0"/>
    </xf>
    <xf numFmtId="164" fontId="1" fillId="8" borderId="1" xfId="2" applyNumberFormat="1" applyFont="1" applyFill="1" applyBorder="1" applyProtection="1">
      <protection locked="0"/>
    </xf>
    <xf numFmtId="168" fontId="1" fillId="8" borderId="1" xfId="0" applyNumberFormat="1" applyFont="1" applyFill="1" applyBorder="1" applyProtection="1">
      <protection locked="0"/>
    </xf>
    <xf numFmtId="0" fontId="1" fillId="2" borderId="1" xfId="0" applyFont="1" applyFill="1" applyBorder="1" applyProtection="1">
      <protection locked="0"/>
    </xf>
    <xf numFmtId="9" fontId="1" fillId="8" borderId="1" xfId="2" applyFont="1" applyFill="1" applyBorder="1" applyProtection="1">
      <protection locked="0"/>
    </xf>
    <xf numFmtId="169" fontId="1" fillId="8" borderId="1" xfId="0" applyNumberFormat="1" applyFont="1" applyFill="1" applyBorder="1" applyProtection="1">
      <protection locked="0"/>
    </xf>
    <xf numFmtId="3" fontId="1" fillId="2" borderId="1" xfId="0" applyNumberFormat="1" applyFont="1" applyFill="1" applyBorder="1" applyAlignment="1" applyProtection="1">
      <alignment horizontal="right"/>
      <protection locked="0"/>
    </xf>
    <xf numFmtId="168" fontId="1" fillId="8" borderId="1" xfId="0" applyNumberFormat="1" applyFont="1" applyFill="1" applyBorder="1" applyAlignment="1" applyProtection="1">
      <alignment horizontal="right"/>
      <protection locked="0"/>
    </xf>
    <xf numFmtId="3" fontId="1" fillId="8" borderId="1" xfId="0" applyNumberFormat="1" applyFont="1" applyFill="1" applyBorder="1" applyProtection="1">
      <protection locked="0"/>
    </xf>
    <xf numFmtId="3" fontId="1" fillId="8" borderId="1" xfId="0" applyNumberFormat="1" applyFont="1" applyFill="1" applyBorder="1" applyAlignment="1" applyProtection="1">
      <alignment horizontal="right"/>
      <protection locked="0"/>
    </xf>
    <xf numFmtId="3" fontId="1" fillId="8" borderId="1" xfId="0" applyNumberFormat="1" applyFont="1" applyFill="1" applyBorder="1" applyAlignment="1" applyProtection="1">
      <alignment wrapText="1"/>
      <protection locked="0"/>
    </xf>
    <xf numFmtId="3" fontId="1" fillId="8" borderId="1" xfId="2" applyNumberFormat="1" applyFont="1" applyFill="1" applyBorder="1" applyAlignment="1" applyProtection="1">
      <alignment horizontal="right"/>
      <protection locked="0"/>
    </xf>
    <xf numFmtId="3" fontId="1" fillId="8" borderId="1" xfId="2" applyNumberFormat="1" applyFont="1" applyFill="1" applyBorder="1" applyProtection="1">
      <protection locked="0"/>
    </xf>
    <xf numFmtId="9" fontId="1" fillId="8" borderId="1" xfId="2" applyFont="1" applyFill="1" applyBorder="1" applyAlignment="1" applyProtection="1">
      <alignment horizontal="right"/>
      <protection locked="0"/>
    </xf>
    <xf numFmtId="0" fontId="4" fillId="2" borderId="11" xfId="0" applyFont="1" applyFill="1" applyBorder="1" applyAlignment="1">
      <alignment wrapText="1"/>
    </xf>
    <xf numFmtId="0" fontId="21" fillId="2" borderId="0" xfId="0" applyFont="1" applyFill="1" applyAlignment="1">
      <alignment wrapText="1"/>
    </xf>
    <xf numFmtId="0" fontId="1" fillId="8" borderId="1" xfId="0" applyFont="1" applyFill="1" applyBorder="1" applyAlignment="1" applyProtection="1">
      <alignment wrapText="1"/>
      <protection locked="0"/>
    </xf>
    <xf numFmtId="0" fontId="1" fillId="2" borderId="1" xfId="0" applyFont="1" applyFill="1" applyBorder="1" applyAlignment="1">
      <alignment wrapText="1"/>
    </xf>
    <xf numFmtId="0" fontId="1" fillId="2" borderId="1" xfId="0" applyFont="1" applyFill="1" applyBorder="1" applyAlignment="1" applyProtection="1">
      <alignment wrapText="1"/>
      <protection locked="0"/>
    </xf>
    <xf numFmtId="0" fontId="1" fillId="8" borderId="2" xfId="0" applyFont="1" applyFill="1" applyBorder="1" applyAlignment="1" applyProtection="1">
      <alignment wrapText="1"/>
      <protection locked="0"/>
    </xf>
    <xf numFmtId="0" fontId="20" fillId="2" borderId="11" xfId="0" applyFont="1" applyFill="1" applyBorder="1" applyAlignment="1">
      <alignment wrapText="1"/>
    </xf>
    <xf numFmtId="164" fontId="1" fillId="0" borderId="0" xfId="0" applyNumberFormat="1" applyFont="1" applyAlignment="1">
      <alignment horizontal="left"/>
    </xf>
    <xf numFmtId="0" fontId="0" fillId="2" borderId="0" xfId="0" applyFill="1"/>
    <xf numFmtId="0" fontId="4" fillId="13" borderId="0" xfId="0" applyFont="1" applyFill="1"/>
    <xf numFmtId="0" fontId="1" fillId="13" borderId="0" xfId="0" applyFont="1" applyFill="1"/>
    <xf numFmtId="0" fontId="6" fillId="13" borderId="1" xfId="0" applyFont="1" applyFill="1" applyBorder="1"/>
    <xf numFmtId="0" fontId="4" fillId="13" borderId="0" xfId="0" applyFont="1" applyFill="1" applyAlignment="1">
      <alignment wrapText="1"/>
    </xf>
    <xf numFmtId="0" fontId="6" fillId="13" borderId="1" xfId="0" applyFont="1" applyFill="1" applyBorder="1" applyAlignment="1">
      <alignment wrapText="1"/>
    </xf>
    <xf numFmtId="0" fontId="6" fillId="13" borderId="2" xfId="0" applyFont="1" applyFill="1" applyBorder="1" applyAlignment="1">
      <alignment wrapText="1"/>
    </xf>
    <xf numFmtId="0" fontId="13" fillId="13" borderId="1" xfId="0" applyFont="1" applyFill="1" applyBorder="1"/>
    <xf numFmtId="0" fontId="13" fillId="13" borderId="0" xfId="0" applyFont="1" applyFill="1"/>
    <xf numFmtId="0" fontId="13" fillId="13" borderId="1" xfId="0" applyFont="1" applyFill="1" applyBorder="1" applyAlignment="1">
      <alignment wrapText="1"/>
    </xf>
    <xf numFmtId="0" fontId="13" fillId="13" borderId="0" xfId="0" applyFont="1" applyFill="1" applyAlignment="1">
      <alignment wrapText="1"/>
    </xf>
    <xf numFmtId="0" fontId="13" fillId="13" borderId="3" xfId="0" applyFont="1" applyFill="1" applyBorder="1"/>
    <xf numFmtId="0" fontId="13" fillId="13" borderId="2" xfId="0" applyFont="1" applyFill="1" applyBorder="1"/>
    <xf numFmtId="0" fontId="15" fillId="13" borderId="0" xfId="0" applyFont="1" applyFill="1"/>
    <xf numFmtId="0" fontId="20" fillId="13" borderId="0" xfId="0" applyFont="1" applyFill="1"/>
    <xf numFmtId="0" fontId="13" fillId="13" borderId="16" xfId="0" applyFont="1" applyFill="1" applyBorder="1"/>
    <xf numFmtId="0" fontId="1" fillId="13" borderId="1" xfId="0" applyFont="1" applyFill="1" applyBorder="1"/>
    <xf numFmtId="0" fontId="6" fillId="13" borderId="12" xfId="0" applyFont="1" applyFill="1" applyBorder="1"/>
    <xf numFmtId="0" fontId="6" fillId="13" borderId="2" xfId="0" applyFont="1" applyFill="1" applyBorder="1"/>
    <xf numFmtId="0" fontId="13" fillId="13" borderId="1" xfId="0" applyFont="1" applyFill="1" applyBorder="1" applyAlignment="1">
      <alignment vertical="top" wrapText="1"/>
    </xf>
    <xf numFmtId="3" fontId="16" fillId="13" borderId="0" xfId="0" applyNumberFormat="1" applyFont="1" applyFill="1"/>
    <xf numFmtId="3" fontId="15" fillId="13" borderId="0" xfId="0" applyNumberFormat="1" applyFont="1" applyFill="1"/>
    <xf numFmtId="3" fontId="15" fillId="13" borderId="0" xfId="0" applyNumberFormat="1" applyFont="1" applyFill="1" applyAlignment="1">
      <alignment horizontal="right"/>
    </xf>
    <xf numFmtId="0" fontId="16" fillId="13" borderId="0" xfId="0" applyFont="1" applyFill="1"/>
    <xf numFmtId="43" fontId="15" fillId="13" borderId="0" xfId="0" applyNumberFormat="1" applyFont="1" applyFill="1"/>
    <xf numFmtId="0" fontId="13" fillId="13" borderId="7" xfId="0" applyFont="1" applyFill="1" applyBorder="1"/>
    <xf numFmtId="2" fontId="21" fillId="9" borderId="7" xfId="0" applyNumberFormat="1" applyFont="1" applyFill="1" applyBorder="1"/>
    <xf numFmtId="0" fontId="19" fillId="2" borderId="0" xfId="0" applyFont="1" applyFill="1" applyAlignment="1">
      <alignment horizontal="center" wrapText="1"/>
    </xf>
    <xf numFmtId="0" fontId="21" fillId="2" borderId="0" xfId="0" applyFont="1" applyFill="1" applyAlignment="1">
      <alignment vertical="top"/>
    </xf>
    <xf numFmtId="2" fontId="1" fillId="9" borderId="8" xfId="0" applyNumberFormat="1" applyFont="1" applyFill="1" applyBorder="1" applyAlignment="1">
      <alignment wrapText="1"/>
    </xf>
    <xf numFmtId="0" fontId="1" fillId="8" borderId="8" xfId="0" applyFont="1" applyFill="1" applyBorder="1" applyAlignment="1" applyProtection="1">
      <alignment wrapText="1"/>
      <protection locked="0"/>
    </xf>
    <xf numFmtId="0" fontId="10" fillId="13" borderId="11" xfId="0" applyFont="1" applyFill="1" applyBorder="1"/>
    <xf numFmtId="0" fontId="9" fillId="13" borderId="11" xfId="0" applyFont="1" applyFill="1" applyBorder="1"/>
    <xf numFmtId="0" fontId="1" fillId="13" borderId="11" xfId="0" applyFont="1" applyFill="1" applyBorder="1"/>
    <xf numFmtId="0" fontId="7" fillId="13" borderId="11" xfId="0" applyFont="1" applyFill="1" applyBorder="1"/>
    <xf numFmtId="0" fontId="36" fillId="13" borderId="11" xfId="0" applyFont="1" applyFill="1" applyBorder="1"/>
    <xf numFmtId="0" fontId="8" fillId="13" borderId="11" xfId="0" applyFont="1" applyFill="1" applyBorder="1"/>
    <xf numFmtId="0" fontId="4" fillId="13" borderId="11" xfId="0" applyFont="1" applyFill="1" applyBorder="1"/>
    <xf numFmtId="0" fontId="4" fillId="13" borderId="11" xfId="0" applyFont="1" applyFill="1" applyBorder="1" applyAlignment="1">
      <alignment wrapText="1"/>
    </xf>
    <xf numFmtId="0" fontId="15" fillId="13" borderId="11" xfId="0" applyFont="1" applyFill="1" applyBorder="1"/>
    <xf numFmtId="0" fontId="21" fillId="13" borderId="11" xfId="0" applyFont="1" applyFill="1" applyBorder="1"/>
    <xf numFmtId="0" fontId="0" fillId="13" borderId="0" xfId="0" applyFill="1"/>
    <xf numFmtId="0" fontId="0" fillId="13" borderId="11" xfId="0" applyFill="1" applyBorder="1"/>
    <xf numFmtId="0" fontId="4" fillId="14" borderId="17" xfId="0" applyFont="1" applyFill="1" applyBorder="1"/>
    <xf numFmtId="0" fontId="13" fillId="14" borderId="0" xfId="0" applyFont="1" applyFill="1"/>
    <xf numFmtId="0" fontId="42" fillId="2" borderId="0" xfId="1" applyFont="1" applyFill="1"/>
    <xf numFmtId="0" fontId="27" fillId="2" borderId="0" xfId="0" quotePrefix="1" applyFont="1" applyFill="1"/>
    <xf numFmtId="0" fontId="43" fillId="2" borderId="0" xfId="1" applyFont="1" applyFill="1"/>
    <xf numFmtId="0" fontId="45" fillId="2" borderId="0" xfId="0" applyFont="1" applyFill="1"/>
    <xf numFmtId="9" fontId="1" fillId="0" borderId="0" xfId="2" applyFont="1" applyAlignment="1">
      <alignment horizontal="right"/>
    </xf>
    <xf numFmtId="0" fontId="1" fillId="0" borderId="0" xfId="0" applyFont="1" applyAlignment="1">
      <alignment horizontal="right"/>
    </xf>
    <xf numFmtId="0" fontId="46" fillId="13" borderId="18" xfId="0" applyFont="1" applyFill="1" applyBorder="1" applyAlignment="1">
      <alignment wrapText="1"/>
    </xf>
    <xf numFmtId="0" fontId="4" fillId="14" borderId="17" xfId="0" applyFont="1" applyFill="1" applyBorder="1" applyAlignment="1">
      <alignment wrapText="1"/>
    </xf>
    <xf numFmtId="0" fontId="1" fillId="0" borderId="0" xfId="1" applyFont="1"/>
    <xf numFmtId="0" fontId="49" fillId="0" borderId="0" xfId="1" applyFont="1"/>
    <xf numFmtId="0" fontId="1" fillId="0" borderId="0" xfId="0" quotePrefix="1" applyFont="1"/>
    <xf numFmtId="0" fontId="1" fillId="0" borderId="19" xfId="0" applyFont="1" applyBorder="1"/>
    <xf numFmtId="0" fontId="1" fillId="0" borderId="19" xfId="0" applyFont="1" applyBorder="1" applyAlignment="1">
      <alignment horizontal="right"/>
    </xf>
    <xf numFmtId="0" fontId="49" fillId="0" borderId="19" xfId="1" applyFont="1" applyBorder="1"/>
    <xf numFmtId="3" fontId="30" fillId="8" borderId="7" xfId="0" applyNumberFormat="1" applyFont="1" applyFill="1" applyBorder="1" applyAlignment="1" applyProtection="1">
      <alignment wrapText="1"/>
      <protection locked="0"/>
    </xf>
    <xf numFmtId="0" fontId="30" fillId="9" borderId="1" xfId="0" applyFont="1" applyFill="1" applyBorder="1" applyAlignment="1">
      <alignment wrapText="1"/>
    </xf>
    <xf numFmtId="3" fontId="30" fillId="8" borderId="1" xfId="0" applyNumberFormat="1" applyFont="1" applyFill="1" applyBorder="1" applyAlignment="1" applyProtection="1">
      <alignment wrapText="1"/>
      <protection locked="0"/>
    </xf>
    <xf numFmtId="9" fontId="1" fillId="0" borderId="8" xfId="2" applyFont="1" applyBorder="1" applyAlignment="1">
      <alignment wrapText="1"/>
    </xf>
    <xf numFmtId="9" fontId="1" fillId="0" borderId="8" xfId="2" applyFont="1" applyBorder="1" applyAlignment="1" applyProtection="1">
      <alignment wrapText="1"/>
      <protection locked="0"/>
    </xf>
    <xf numFmtId="9" fontId="1" fillId="0" borderId="0" xfId="0" applyNumberFormat="1" applyFont="1"/>
    <xf numFmtId="4" fontId="20" fillId="0" borderId="0" xfId="0" applyNumberFormat="1" applyFont="1"/>
    <xf numFmtId="10" fontId="1" fillId="0" borderId="0" xfId="0" applyNumberFormat="1" applyFont="1"/>
    <xf numFmtId="2" fontId="5" fillId="0" borderId="1" xfId="0" applyNumberFormat="1" applyFont="1" applyBorder="1" applyAlignment="1">
      <alignment horizontal="center"/>
    </xf>
    <xf numFmtId="9" fontId="1" fillId="9" borderId="1" xfId="2" applyFont="1" applyFill="1" applyBorder="1" applyAlignment="1">
      <alignment horizontal="right"/>
    </xf>
    <xf numFmtId="3" fontId="1" fillId="9" borderId="1" xfId="2" applyNumberFormat="1" applyFont="1" applyFill="1" applyBorder="1"/>
    <xf numFmtId="0" fontId="1" fillId="8" borderId="2" xfId="0" applyFont="1" applyFill="1" applyBorder="1" applyProtection="1">
      <protection locked="0"/>
    </xf>
    <xf numFmtId="0" fontId="6" fillId="13" borderId="0" xfId="0" applyFont="1" applyFill="1" applyAlignment="1">
      <alignment wrapText="1"/>
    </xf>
    <xf numFmtId="0" fontId="51" fillId="2" borderId="0" xfId="0" applyFont="1" applyFill="1"/>
    <xf numFmtId="0" fontId="15" fillId="2" borderId="26" xfId="0" applyFont="1" applyFill="1" applyBorder="1"/>
    <xf numFmtId="0" fontId="1" fillId="2" borderId="25" xfId="0" applyFont="1" applyFill="1" applyBorder="1"/>
    <xf numFmtId="0" fontId="15" fillId="2" borderId="25" xfId="0" applyFont="1" applyFill="1" applyBorder="1"/>
    <xf numFmtId="0" fontId="15" fillId="2" borderId="27" xfId="0" applyFont="1" applyFill="1" applyBorder="1"/>
    <xf numFmtId="3" fontId="21" fillId="2" borderId="25" xfId="0" applyNumberFormat="1" applyFont="1" applyFill="1" applyBorder="1"/>
    <xf numFmtId="2" fontId="1" fillId="2" borderId="25" xfId="2" applyNumberFormat="1" applyFont="1" applyFill="1" applyBorder="1" applyAlignment="1">
      <alignment horizontal="right"/>
    </xf>
    <xf numFmtId="0" fontId="52" fillId="2" borderId="0" xfId="0" applyFont="1" applyFill="1"/>
    <xf numFmtId="2" fontId="1" fillId="6" borderId="15" xfId="2" applyNumberFormat="1" applyFont="1" applyFill="1" applyBorder="1" applyAlignment="1">
      <alignment horizontal="right"/>
    </xf>
    <xf numFmtId="0" fontId="20" fillId="13" borderId="11" xfId="0" applyFont="1" applyFill="1" applyBorder="1"/>
    <xf numFmtId="0" fontId="20" fillId="14" borderId="17" xfId="0" applyFont="1" applyFill="1" applyBorder="1"/>
    <xf numFmtId="3" fontId="1" fillId="2" borderId="11" xfId="0" applyNumberFormat="1" applyFont="1" applyFill="1" applyBorder="1" applyAlignment="1" applyProtection="1">
      <alignment horizontal="right"/>
      <protection locked="0"/>
    </xf>
    <xf numFmtId="0" fontId="13" fillId="6" borderId="11" xfId="0" applyFont="1" applyFill="1" applyBorder="1"/>
    <xf numFmtId="3" fontId="1" fillId="2" borderId="11" xfId="0" applyNumberFormat="1" applyFont="1" applyFill="1" applyBorder="1" applyAlignment="1" applyProtection="1">
      <alignment wrapText="1"/>
      <protection locked="0"/>
    </xf>
    <xf numFmtId="0" fontId="19" fillId="2" borderId="0" xfId="0" applyFont="1" applyFill="1"/>
    <xf numFmtId="0" fontId="20" fillId="2" borderId="24" xfId="0" applyFont="1" applyFill="1" applyBorder="1"/>
    <xf numFmtId="169" fontId="20" fillId="9" borderId="1" xfId="0" applyNumberFormat="1" applyFont="1" applyFill="1" applyBorder="1"/>
    <xf numFmtId="2" fontId="20" fillId="9" borderId="1" xfId="2" applyNumberFormat="1" applyFont="1" applyFill="1" applyBorder="1"/>
    <xf numFmtId="3" fontId="1" fillId="9" borderId="1" xfId="2" applyNumberFormat="1" applyFont="1" applyFill="1" applyBorder="1" applyAlignment="1">
      <alignment horizontal="right"/>
    </xf>
    <xf numFmtId="3" fontId="21" fillId="9" borderId="1" xfId="2" applyNumberFormat="1" applyFont="1" applyFill="1" applyBorder="1" applyAlignment="1">
      <alignment horizontal="right"/>
    </xf>
    <xf numFmtId="0" fontId="15" fillId="9" borderId="15" xfId="0" applyFont="1" applyFill="1" applyBorder="1"/>
    <xf numFmtId="0" fontId="15" fillId="9" borderId="9" xfId="0" applyFont="1" applyFill="1" applyBorder="1"/>
    <xf numFmtId="0" fontId="15" fillId="9" borderId="0" xfId="0" applyFont="1" applyFill="1"/>
    <xf numFmtId="0" fontId="15" fillId="9" borderId="12" xfId="0" applyFont="1" applyFill="1" applyBorder="1"/>
    <xf numFmtId="0" fontId="15" fillId="9" borderId="11" xfId="0" applyFont="1" applyFill="1" applyBorder="1"/>
    <xf numFmtId="0" fontId="15" fillId="9" borderId="13" xfId="0" applyFont="1" applyFill="1" applyBorder="1"/>
    <xf numFmtId="0" fontId="15" fillId="9" borderId="16" xfId="0" applyFont="1" applyFill="1" applyBorder="1"/>
    <xf numFmtId="0" fontId="15" fillId="9" borderId="10" xfId="0" applyFont="1" applyFill="1" applyBorder="1"/>
    <xf numFmtId="3" fontId="15" fillId="2" borderId="0" xfId="0" applyNumberFormat="1" applyFont="1" applyFill="1"/>
    <xf numFmtId="9" fontId="30" fillId="8" borderId="1" xfId="2" applyFont="1" applyFill="1" applyBorder="1" applyProtection="1">
      <protection locked="0"/>
    </xf>
    <xf numFmtId="0" fontId="56" fillId="2" borderId="0" xfId="0" applyFont="1" applyFill="1"/>
    <xf numFmtId="0" fontId="15" fillId="3" borderId="0" xfId="0" applyFont="1" applyFill="1"/>
    <xf numFmtId="0" fontId="15" fillId="3" borderId="14" xfId="0" applyFont="1" applyFill="1" applyBorder="1"/>
    <xf numFmtId="0" fontId="15" fillId="3" borderId="16" xfId="0" applyFont="1" applyFill="1" applyBorder="1"/>
    <xf numFmtId="0" fontId="15" fillId="3" borderId="9" xfId="0" applyFont="1" applyFill="1" applyBorder="1"/>
    <xf numFmtId="0" fontId="15" fillId="3" borderId="10" xfId="0" applyFont="1" applyFill="1" applyBorder="1"/>
    <xf numFmtId="0" fontId="15" fillId="3" borderId="12" xfId="0" applyFont="1" applyFill="1" applyBorder="1"/>
    <xf numFmtId="0" fontId="15" fillId="3" borderId="11" xfId="0" applyFont="1" applyFill="1" applyBorder="1"/>
    <xf numFmtId="0" fontId="15" fillId="3" borderId="13" xfId="0" applyFont="1" applyFill="1" applyBorder="1"/>
    <xf numFmtId="0" fontId="53" fillId="13" borderId="1" xfId="0" applyFont="1" applyFill="1" applyBorder="1"/>
    <xf numFmtId="0" fontId="55" fillId="2" borderId="0" xfId="0" applyFont="1" applyFill="1" applyAlignment="1">
      <alignment wrapText="1"/>
    </xf>
    <xf numFmtId="0" fontId="16" fillId="3" borderId="0" xfId="0" applyFont="1" applyFill="1"/>
    <xf numFmtId="0" fontId="61" fillId="2" borderId="0" xfId="0" applyFont="1" applyFill="1"/>
    <xf numFmtId="0" fontId="13" fillId="13" borderId="3" xfId="0" applyFont="1" applyFill="1" applyBorder="1" applyAlignment="1">
      <alignment horizontal="center" wrapText="1"/>
    </xf>
    <xf numFmtId="0" fontId="55" fillId="9" borderId="0" xfId="0" applyFont="1" applyFill="1" applyAlignment="1">
      <alignment horizontal="left" vertical="top" wrapText="1"/>
    </xf>
    <xf numFmtId="170" fontId="1" fillId="9" borderId="1" xfId="2" applyNumberFormat="1" applyFont="1" applyFill="1" applyBorder="1" applyAlignment="1">
      <alignment horizontal="right"/>
    </xf>
    <xf numFmtId="3" fontId="15" fillId="9" borderId="0" xfId="0" applyNumberFormat="1" applyFont="1" applyFill="1"/>
    <xf numFmtId="0" fontId="62" fillId="2" borderId="0" xfId="0" applyFont="1" applyFill="1"/>
    <xf numFmtId="0" fontId="62" fillId="2" borderId="0" xfId="0" applyFont="1" applyFill="1" applyAlignment="1">
      <alignment wrapText="1"/>
    </xf>
    <xf numFmtId="0" fontId="63" fillId="2" borderId="0" xfId="0" applyFont="1" applyFill="1" applyAlignment="1">
      <alignment horizontal="right"/>
    </xf>
    <xf numFmtId="0" fontId="4" fillId="13" borderId="1" xfId="0" applyFont="1" applyFill="1" applyBorder="1" applyAlignment="1">
      <alignment horizontal="left"/>
    </xf>
    <xf numFmtId="0" fontId="4" fillId="13" borderId="8" xfId="0" applyFont="1" applyFill="1" applyBorder="1" applyAlignment="1">
      <alignment horizontal="left"/>
    </xf>
    <xf numFmtId="0" fontId="6" fillId="13" borderId="23" xfId="0" applyFont="1" applyFill="1" applyBorder="1" applyAlignment="1">
      <alignment horizontal="left" wrapText="1"/>
    </xf>
    <xf numFmtId="0" fontId="4" fillId="13" borderId="10" xfId="0" applyFont="1" applyFill="1" applyBorder="1" applyAlignment="1">
      <alignment horizontal="left" wrapText="1"/>
    </xf>
    <xf numFmtId="0" fontId="6" fillId="13" borderId="21" xfId="0" applyFont="1" applyFill="1" applyBorder="1" applyAlignment="1">
      <alignment horizontal="left" wrapText="1"/>
    </xf>
    <xf numFmtId="0" fontId="6" fillId="13" borderId="22" xfId="0" applyFont="1" applyFill="1" applyBorder="1" applyAlignment="1">
      <alignment horizontal="left" wrapText="1"/>
    </xf>
    <xf numFmtId="9" fontId="4" fillId="9" borderId="1" xfId="2" applyFont="1" applyFill="1" applyBorder="1"/>
    <xf numFmtId="0" fontId="13" fillId="15" borderId="1" xfId="0" applyFont="1" applyFill="1" applyBorder="1" applyAlignment="1">
      <alignment wrapText="1"/>
    </xf>
    <xf numFmtId="0" fontId="6" fillId="15" borderId="8" xfId="0" applyFont="1" applyFill="1" applyBorder="1" applyAlignment="1">
      <alignment horizontal="left" wrapText="1"/>
    </xf>
    <xf numFmtId="0" fontId="6" fillId="15" borderId="28" xfId="0" applyFont="1" applyFill="1" applyBorder="1" applyAlignment="1">
      <alignment horizontal="left" wrapText="1"/>
    </xf>
    <xf numFmtId="0" fontId="4" fillId="13" borderId="14" xfId="0" applyFont="1" applyFill="1" applyBorder="1" applyAlignment="1">
      <alignment horizontal="left" wrapText="1"/>
    </xf>
    <xf numFmtId="9" fontId="30" fillId="8" borderId="2" xfId="2" applyFont="1" applyFill="1" applyBorder="1" applyAlignment="1" applyProtection="1">
      <alignment wrapText="1"/>
      <protection locked="0"/>
    </xf>
    <xf numFmtId="0" fontId="4" fillId="13" borderId="1" xfId="0" applyFont="1" applyFill="1" applyBorder="1" applyAlignment="1">
      <alignment horizontal="left" wrapText="1"/>
    </xf>
    <xf numFmtId="1" fontId="30" fillId="8" borderId="1" xfId="2" applyNumberFormat="1" applyFont="1" applyFill="1" applyBorder="1" applyAlignment="1" applyProtection="1">
      <alignment wrapText="1"/>
      <protection locked="0"/>
    </xf>
    <xf numFmtId="0" fontId="17" fillId="2" borderId="0" xfId="0" applyFont="1" applyFill="1" applyAlignment="1">
      <alignment horizontal="center" vertical="center" textRotation="90"/>
    </xf>
    <xf numFmtId="9" fontId="1" fillId="0" borderId="19" xfId="2" applyFont="1" applyBorder="1"/>
    <xf numFmtId="0" fontId="1" fillId="0" borderId="19" xfId="0" quotePrefix="1" applyFont="1" applyBorder="1"/>
    <xf numFmtId="0" fontId="20" fillId="2" borderId="1" xfId="0" applyFont="1" applyFill="1" applyBorder="1"/>
    <xf numFmtId="0" fontId="20" fillId="2" borderId="8" xfId="0" applyFont="1" applyFill="1" applyBorder="1"/>
    <xf numFmtId="0" fontId="66" fillId="2" borderId="11" xfId="0" applyFont="1" applyFill="1" applyBorder="1"/>
    <xf numFmtId="0" fontId="20" fillId="8" borderId="1" xfId="0" applyFont="1" applyFill="1" applyBorder="1" applyProtection="1">
      <protection locked="0"/>
    </xf>
    <xf numFmtId="0" fontId="66" fillId="2" borderId="0" xfId="0" applyFont="1" applyFill="1"/>
    <xf numFmtId="0" fontId="13" fillId="6" borderId="0" xfId="0" applyFont="1" applyFill="1"/>
    <xf numFmtId="0" fontId="20" fillId="6" borderId="14" xfId="0" applyFont="1" applyFill="1" applyBorder="1"/>
    <xf numFmtId="0" fontId="21" fillId="6" borderId="14" xfId="0" applyFont="1" applyFill="1" applyBorder="1" applyAlignment="1">
      <alignment vertical="top"/>
    </xf>
    <xf numFmtId="0" fontId="21" fillId="6" borderId="14" xfId="0" applyFont="1" applyFill="1" applyBorder="1"/>
    <xf numFmtId="0" fontId="16" fillId="9" borderId="14" xfId="0" applyFont="1" applyFill="1" applyBorder="1"/>
    <xf numFmtId="3" fontId="1" fillId="2" borderId="0" xfId="0" applyNumberFormat="1" applyFont="1" applyFill="1" applyAlignment="1" applyProtection="1">
      <alignment horizontal="right"/>
      <protection locked="0"/>
    </xf>
    <xf numFmtId="0" fontId="1" fillId="2" borderId="0" xfId="0" applyFont="1" applyFill="1" applyProtection="1">
      <protection locked="0"/>
    </xf>
    <xf numFmtId="2" fontId="1" fillId="6" borderId="11" xfId="2" applyNumberFormat="1" applyFont="1" applyFill="1" applyBorder="1" applyAlignment="1">
      <alignment horizontal="right"/>
    </xf>
    <xf numFmtId="9" fontId="20" fillId="9" borderId="1" xfId="2" applyFont="1" applyFill="1" applyBorder="1"/>
    <xf numFmtId="0" fontId="21" fillId="2" borderId="2" xfId="0" applyFont="1" applyFill="1" applyBorder="1" applyAlignment="1">
      <alignment horizontal="center"/>
    </xf>
    <xf numFmtId="0" fontId="21" fillId="2" borderId="7" xfId="0" applyFont="1" applyFill="1" applyBorder="1" applyAlignment="1">
      <alignment horizontal="center"/>
    </xf>
    <xf numFmtId="0" fontId="20" fillId="0" borderId="0" xfId="0" applyFont="1" applyProtection="1">
      <protection locked="0"/>
    </xf>
    <xf numFmtId="0" fontId="1" fillId="8" borderId="0" xfId="0" applyFont="1" applyFill="1" applyProtection="1">
      <protection locked="0"/>
    </xf>
    <xf numFmtId="9" fontId="1" fillId="8" borderId="0" xfId="2" applyFont="1" applyFill="1" applyProtection="1">
      <protection locked="0"/>
    </xf>
    <xf numFmtId="0" fontId="1" fillId="8" borderId="0" xfId="0" applyFont="1" applyFill="1"/>
    <xf numFmtId="9" fontId="1" fillId="8" borderId="0" xfId="2" applyFont="1" applyFill="1"/>
    <xf numFmtId="168" fontId="20" fillId="8" borderId="0" xfId="0" applyNumberFormat="1" applyFont="1" applyFill="1" applyProtection="1">
      <protection locked="0"/>
    </xf>
    <xf numFmtId="0" fontId="20" fillId="8" borderId="0" xfId="0" applyFont="1" applyFill="1" applyProtection="1">
      <protection locked="0"/>
    </xf>
    <xf numFmtId="4" fontId="20" fillId="8" borderId="0" xfId="0" applyNumberFormat="1" applyFont="1" applyFill="1" applyProtection="1">
      <protection locked="0"/>
    </xf>
    <xf numFmtId="169" fontId="20" fillId="8" borderId="0" xfId="0" applyNumberFormat="1" applyFont="1" applyFill="1" applyProtection="1">
      <protection locked="0"/>
    </xf>
    <xf numFmtId="168" fontId="20" fillId="16" borderId="0" xfId="0" applyNumberFormat="1" applyFont="1" applyFill="1" applyProtection="1">
      <protection locked="0"/>
    </xf>
    <xf numFmtId="0" fontId="20" fillId="16" borderId="0" xfId="0" applyFont="1" applyFill="1" applyProtection="1">
      <protection locked="0"/>
    </xf>
    <xf numFmtId="169" fontId="20" fillId="16" borderId="0" xfId="0" applyNumberFormat="1" applyFont="1" applyFill="1" applyProtection="1">
      <protection locked="0"/>
    </xf>
    <xf numFmtId="0" fontId="1" fillId="16" borderId="0" xfId="0" applyFont="1" applyFill="1" applyProtection="1">
      <protection locked="0"/>
    </xf>
    <xf numFmtId="9" fontId="1" fillId="16" borderId="0" xfId="2" applyFont="1" applyFill="1" applyProtection="1">
      <protection locked="0"/>
    </xf>
    <xf numFmtId="0" fontId="1" fillId="16" borderId="0" xfId="0" applyFont="1" applyFill="1"/>
    <xf numFmtId="9" fontId="1" fillId="16" borderId="0" xfId="2" applyFont="1" applyFill="1"/>
    <xf numFmtId="4" fontId="20" fillId="16" borderId="0" xfId="0" applyNumberFormat="1" applyFont="1" applyFill="1" applyProtection="1">
      <protection locked="0"/>
    </xf>
    <xf numFmtId="0" fontId="1" fillId="8" borderId="2" xfId="0" applyFont="1" applyFill="1" applyBorder="1" applyAlignment="1" applyProtection="1">
      <alignment horizontal="left"/>
      <protection locked="0"/>
    </xf>
    <xf numFmtId="0" fontId="67" fillId="0" borderId="0" xfId="0" applyFont="1"/>
    <xf numFmtId="0" fontId="11" fillId="0" borderId="13" xfId="0" applyFont="1" applyBorder="1"/>
    <xf numFmtId="0" fontId="11" fillId="0" borderId="8" xfId="0" applyFont="1" applyBorder="1"/>
    <xf numFmtId="0" fontId="11" fillId="0" borderId="12" xfId="0" applyFont="1" applyBorder="1"/>
    <xf numFmtId="0" fontId="66" fillId="2" borderId="0" xfId="0" applyFont="1" applyFill="1" applyAlignment="1">
      <alignment vertical="top"/>
    </xf>
    <xf numFmtId="2" fontId="5" fillId="0" borderId="8" xfId="0" applyNumberFormat="1" applyFont="1" applyBorder="1" applyAlignment="1">
      <alignment horizontal="center"/>
    </xf>
    <xf numFmtId="0" fontId="53" fillId="13" borderId="3" xfId="0" applyFont="1" applyFill="1" applyBorder="1" applyAlignment="1">
      <alignment horizontal="center" wrapText="1"/>
    </xf>
    <xf numFmtId="0" fontId="53" fillId="13" borderId="1" xfId="0" applyFont="1" applyFill="1" applyBorder="1" applyAlignment="1">
      <alignment horizontal="center" wrapText="1"/>
    </xf>
    <xf numFmtId="3" fontId="1" fillId="17" borderId="1" xfId="2" applyNumberFormat="1" applyFont="1" applyFill="1" applyBorder="1" applyAlignment="1">
      <alignment horizontal="right"/>
    </xf>
    <xf numFmtId="170" fontId="1" fillId="17" borderId="1" xfId="2" applyNumberFormat="1" applyFont="1" applyFill="1" applyBorder="1" applyAlignment="1">
      <alignment horizontal="right"/>
    </xf>
    <xf numFmtId="2" fontId="16" fillId="9" borderId="1" xfId="0" applyNumberFormat="1" applyFont="1" applyFill="1" applyBorder="1"/>
    <xf numFmtId="3" fontId="4" fillId="6" borderId="29" xfId="0" applyNumberFormat="1" applyFont="1" applyFill="1" applyBorder="1"/>
    <xf numFmtId="3" fontId="4" fillId="0" borderId="29" xfId="0" applyNumberFormat="1" applyFont="1" applyBorder="1"/>
    <xf numFmtId="0" fontId="5" fillId="6" borderId="30" xfId="0" applyFont="1" applyFill="1" applyBorder="1"/>
    <xf numFmtId="0" fontId="6" fillId="5" borderId="0" xfId="0" applyFont="1" applyFill="1" applyAlignment="1">
      <alignment wrapText="1"/>
    </xf>
    <xf numFmtId="0" fontId="6" fillId="5" borderId="31" xfId="0" applyFont="1" applyFill="1" applyBorder="1" applyAlignment="1">
      <alignment wrapText="1"/>
    </xf>
    <xf numFmtId="0" fontId="5" fillId="0" borderId="30" xfId="0" applyFont="1" applyBorder="1"/>
    <xf numFmtId="0" fontId="4" fillId="6" borderId="30" xfId="0" applyFont="1" applyFill="1" applyBorder="1"/>
    <xf numFmtId="0" fontId="4" fillId="0" borderId="30" xfId="0" applyFont="1" applyBorder="1"/>
    <xf numFmtId="0" fontId="66" fillId="2" borderId="32" xfId="0" applyFont="1" applyFill="1" applyBorder="1" applyAlignment="1">
      <alignment vertical="top"/>
    </xf>
    <xf numFmtId="0" fontId="4" fillId="2" borderId="32" xfId="0" applyFont="1" applyFill="1" applyBorder="1"/>
    <xf numFmtId="0" fontId="6" fillId="2" borderId="0" xfId="0" applyFont="1" applyFill="1" applyAlignment="1">
      <alignment horizontal="center" wrapText="1"/>
    </xf>
    <xf numFmtId="0" fontId="11" fillId="2" borderId="0" xfId="0" applyFont="1" applyFill="1" applyAlignment="1">
      <alignment horizontal="center" wrapText="1"/>
    </xf>
    <xf numFmtId="0" fontId="5" fillId="2" borderId="0" xfId="0" applyFont="1" applyFill="1"/>
    <xf numFmtId="2" fontId="4" fillId="2" borderId="0" xfId="0" applyNumberFormat="1" applyFont="1" applyFill="1" applyAlignment="1">
      <alignment horizontal="center"/>
    </xf>
    <xf numFmtId="2" fontId="5" fillId="2" borderId="0" xfId="0" applyNumberFormat="1" applyFont="1" applyFill="1" applyAlignment="1">
      <alignment horizontal="center"/>
    </xf>
    <xf numFmtId="0" fontId="6" fillId="2" borderId="0" xfId="0" applyFont="1" applyFill="1" applyAlignment="1">
      <alignment wrapText="1"/>
    </xf>
    <xf numFmtId="0" fontId="39" fillId="2" borderId="0" xfId="0" applyFont="1" applyFill="1" applyAlignment="1">
      <alignment horizontal="center"/>
    </xf>
    <xf numFmtId="0" fontId="6" fillId="13" borderId="8" xfId="0" applyFont="1" applyFill="1" applyBorder="1" applyAlignment="1">
      <alignment horizontal="left"/>
    </xf>
    <xf numFmtId="0" fontId="4" fillId="0" borderId="0" xfId="0" applyFont="1"/>
    <xf numFmtId="0" fontId="6" fillId="2" borderId="0" xfId="0" applyFont="1" applyFill="1" applyAlignment="1">
      <alignment horizontal="left" wrapText="1"/>
    </xf>
    <xf numFmtId="0" fontId="1" fillId="2" borderId="0" xfId="0" applyFont="1" applyFill="1" applyAlignment="1" applyProtection="1">
      <alignment wrapText="1"/>
      <protection locked="0"/>
    </xf>
    <xf numFmtId="9" fontId="1" fillId="2" borderId="0" xfId="2" applyFont="1" applyFill="1" applyBorder="1" applyAlignment="1">
      <alignment wrapText="1"/>
    </xf>
    <xf numFmtId="9" fontId="1" fillId="2" borderId="0" xfId="2" applyFont="1" applyFill="1" applyBorder="1" applyAlignment="1" applyProtection="1">
      <alignment wrapText="1"/>
      <protection locked="0"/>
    </xf>
    <xf numFmtId="0" fontId="4" fillId="2" borderId="9" xfId="0" applyFont="1" applyFill="1" applyBorder="1" applyAlignment="1">
      <alignment horizontal="left" wrapText="1"/>
    </xf>
    <xf numFmtId="0" fontId="39" fillId="2" borderId="9" xfId="0" applyFont="1" applyFill="1" applyBorder="1" applyAlignment="1">
      <alignment horizontal="center"/>
    </xf>
    <xf numFmtId="3" fontId="4" fillId="6" borderId="19" xfId="0" applyNumberFormat="1" applyFont="1" applyFill="1" applyBorder="1"/>
    <xf numFmtId="2" fontId="1" fillId="2" borderId="0" xfId="0" applyNumberFormat="1" applyFont="1" applyFill="1" applyAlignment="1">
      <alignment wrapText="1"/>
    </xf>
    <xf numFmtId="3" fontId="1" fillId="2" borderId="6" xfId="0" applyNumberFormat="1" applyFont="1" applyFill="1" applyBorder="1" applyAlignment="1">
      <alignment horizontal="right"/>
    </xf>
    <xf numFmtId="0" fontId="1" fillId="2" borderId="33" xfId="0" applyFont="1" applyFill="1" applyBorder="1"/>
    <xf numFmtId="3" fontId="1" fillId="9" borderId="2" xfId="0" applyNumberFormat="1" applyFont="1" applyFill="1" applyBorder="1" applyAlignment="1">
      <alignment horizontal="right"/>
    </xf>
    <xf numFmtId="3" fontId="1" fillId="2" borderId="9" xfId="0" applyNumberFormat="1" applyFont="1" applyFill="1" applyBorder="1" applyAlignment="1">
      <alignment horizontal="right"/>
    </xf>
    <xf numFmtId="0" fontId="1" fillId="2" borderId="15" xfId="0" applyFont="1" applyFill="1" applyBorder="1"/>
    <xf numFmtId="0" fontId="21" fillId="2" borderId="2" xfId="0" applyFont="1" applyFill="1" applyBorder="1" applyAlignment="1">
      <alignment horizontal="right"/>
    </xf>
    <xf numFmtId="10" fontId="4" fillId="6" borderId="0" xfId="2" applyNumberFormat="1" applyFont="1" applyFill="1" applyBorder="1"/>
    <xf numFmtId="10" fontId="4" fillId="0" borderId="0" xfId="2" applyNumberFormat="1" applyFont="1" applyBorder="1"/>
    <xf numFmtId="0" fontId="62" fillId="2" borderId="0" xfId="0" applyFont="1" applyFill="1" applyAlignment="1">
      <alignment vertical="top" wrapText="1"/>
    </xf>
    <xf numFmtId="165" fontId="4" fillId="9" borderId="1" xfId="3" applyNumberFormat="1" applyFont="1" applyFill="1" applyBorder="1"/>
    <xf numFmtId="165" fontId="62" fillId="2" borderId="0" xfId="0" applyNumberFormat="1" applyFont="1" applyFill="1" applyAlignment="1">
      <alignment vertical="top" wrapText="1"/>
    </xf>
    <xf numFmtId="0" fontId="6" fillId="0" borderId="0" xfId="0" applyFont="1" applyAlignment="1">
      <alignment wrapText="1"/>
    </xf>
    <xf numFmtId="0" fontId="72" fillId="2" borderId="0" xfId="0" applyFont="1" applyFill="1"/>
    <xf numFmtId="0" fontId="73" fillId="2" borderId="0" xfId="0" applyFont="1" applyFill="1" applyAlignment="1">
      <alignment horizontal="right"/>
    </xf>
    <xf numFmtId="43" fontId="1" fillId="2" borderId="0" xfId="3" applyFont="1" applyFill="1"/>
    <xf numFmtId="3" fontId="1" fillId="18" borderId="1" xfId="0" applyNumberFormat="1" applyFont="1" applyFill="1" applyBorder="1" applyAlignment="1">
      <alignment horizontal="left" wrapText="1"/>
    </xf>
    <xf numFmtId="0" fontId="13" fillId="13" borderId="35" xfId="0" applyFont="1" applyFill="1" applyBorder="1"/>
    <xf numFmtId="0" fontId="15" fillId="2" borderId="14" xfId="0" applyFont="1" applyFill="1" applyBorder="1"/>
    <xf numFmtId="0" fontId="15" fillId="2" borderId="15" xfId="0" applyFont="1" applyFill="1" applyBorder="1"/>
    <xf numFmtId="0" fontId="15" fillId="2" borderId="16" xfId="0" applyFont="1" applyFill="1" applyBorder="1"/>
    <xf numFmtId="0" fontId="13" fillId="2" borderId="11" xfId="0" applyFont="1" applyFill="1" applyBorder="1"/>
    <xf numFmtId="0" fontId="20" fillId="2" borderId="11" xfId="0" applyFont="1" applyFill="1" applyBorder="1" applyAlignment="1">
      <alignment horizontal="right"/>
    </xf>
    <xf numFmtId="165" fontId="20" fillId="2" borderId="11" xfId="3" applyNumberFormat="1" applyFont="1" applyFill="1" applyBorder="1"/>
    <xf numFmtId="0" fontId="55" fillId="2" borderId="11" xfId="0" applyFont="1" applyFill="1" applyBorder="1" applyAlignment="1">
      <alignment wrapText="1"/>
    </xf>
    <xf numFmtId="0" fontId="16" fillId="2" borderId="0" xfId="0" applyFont="1" applyFill="1"/>
    <xf numFmtId="0" fontId="53" fillId="2" borderId="0" xfId="0" applyFont="1" applyFill="1"/>
    <xf numFmtId="9" fontId="1" fillId="2" borderId="0" xfId="2" applyFont="1" applyFill="1" applyBorder="1" applyAlignment="1" applyProtection="1">
      <alignment horizontal="right"/>
      <protection locked="0"/>
    </xf>
    <xf numFmtId="0" fontId="13" fillId="2" borderId="38" xfId="0" applyFont="1" applyFill="1" applyBorder="1"/>
    <xf numFmtId="0" fontId="20" fillId="2" borderId="37" xfId="0" applyFont="1" applyFill="1" applyBorder="1"/>
    <xf numFmtId="0" fontId="55" fillId="9" borderId="10" xfId="0" applyFont="1" applyFill="1" applyBorder="1" applyAlignment="1">
      <alignment horizontal="left" vertical="top" wrapText="1"/>
    </xf>
    <xf numFmtId="10" fontId="74" fillId="2" borderId="0" xfId="2" applyNumberFormat="1" applyFont="1" applyFill="1"/>
    <xf numFmtId="0" fontId="75" fillId="2" borderId="0" xfId="0" applyFont="1" applyFill="1"/>
    <xf numFmtId="0" fontId="75" fillId="0" borderId="0" xfId="0" applyFont="1" applyAlignment="1">
      <alignment wrapText="1"/>
    </xf>
    <xf numFmtId="0" fontId="13" fillId="2" borderId="0" xfId="0" applyFont="1" applyFill="1"/>
    <xf numFmtId="3" fontId="1" fillId="2" borderId="0" xfId="2" applyNumberFormat="1" applyFont="1" applyFill="1" applyBorder="1" applyAlignment="1">
      <alignment horizontal="right"/>
    </xf>
    <xf numFmtId="3" fontId="1" fillId="18" borderId="1" xfId="0" applyNumberFormat="1" applyFont="1" applyFill="1" applyBorder="1" applyAlignment="1" applyProtection="1">
      <alignment horizontal="right"/>
      <protection locked="0"/>
    </xf>
    <xf numFmtId="3" fontId="1" fillId="2" borderId="1" xfId="0" applyNumberFormat="1" applyFont="1" applyFill="1" applyBorder="1" applyAlignment="1">
      <alignment horizontal="right"/>
    </xf>
    <xf numFmtId="3" fontId="1" fillId="18" borderId="1" xfId="0" applyNumberFormat="1" applyFont="1" applyFill="1" applyBorder="1" applyAlignment="1">
      <alignment horizontal="right"/>
    </xf>
    <xf numFmtId="165" fontId="1" fillId="18" borderId="1" xfId="3" applyNumberFormat="1" applyFont="1" applyFill="1" applyBorder="1" applyAlignment="1" applyProtection="1">
      <alignment horizontal="right"/>
    </xf>
    <xf numFmtId="3" fontId="1" fillId="9" borderId="1" xfId="0" applyNumberFormat="1" applyFont="1" applyFill="1" applyBorder="1" applyAlignment="1">
      <alignment horizontal="left" wrapText="1"/>
    </xf>
    <xf numFmtId="0" fontId="1" fillId="2" borderId="14" xfId="0" applyFont="1" applyFill="1" applyBorder="1"/>
    <xf numFmtId="0" fontId="1" fillId="2" borderId="16" xfId="0" applyFont="1" applyFill="1" applyBorder="1"/>
    <xf numFmtId="0" fontId="13" fillId="13" borderId="19" xfId="0" applyFont="1" applyFill="1" applyBorder="1"/>
    <xf numFmtId="0" fontId="1" fillId="6" borderId="19" xfId="0" applyFont="1" applyFill="1" applyBorder="1"/>
    <xf numFmtId="9" fontId="1" fillId="6" borderId="19" xfId="2" applyFont="1" applyFill="1" applyBorder="1"/>
    <xf numFmtId="2" fontId="1" fillId="6" borderId="19" xfId="2" applyNumberFormat="1" applyFont="1" applyFill="1" applyBorder="1"/>
    <xf numFmtId="166" fontId="1" fillId="6" borderId="19" xfId="2" applyNumberFormat="1" applyFont="1" applyFill="1" applyBorder="1"/>
    <xf numFmtId="0" fontId="5" fillId="0" borderId="0" xfId="0" applyFont="1"/>
    <xf numFmtId="3" fontId="4" fillId="0" borderId="0" xfId="0" applyNumberFormat="1" applyFont="1"/>
    <xf numFmtId="2" fontId="5" fillId="0" borderId="24" xfId="0" applyNumberFormat="1" applyFont="1" applyBorder="1" applyAlignment="1">
      <alignment horizontal="center"/>
    </xf>
    <xf numFmtId="0" fontId="76" fillId="2" borderId="0" xfId="0" applyFont="1" applyFill="1"/>
    <xf numFmtId="9" fontId="20" fillId="18" borderId="1" xfId="0" applyNumberFormat="1" applyFont="1" applyFill="1" applyBorder="1"/>
    <xf numFmtId="0" fontId="1" fillId="2" borderId="2" xfId="0" applyFont="1" applyFill="1" applyBorder="1" applyAlignment="1">
      <alignment vertical="center"/>
    </xf>
    <xf numFmtId="0" fontId="1" fillId="2" borderId="7" xfId="0" applyFont="1" applyFill="1" applyBorder="1" applyAlignment="1">
      <alignment vertical="center"/>
    </xf>
    <xf numFmtId="164" fontId="1" fillId="0" borderId="0" xfId="2" applyNumberFormat="1" applyFont="1"/>
    <xf numFmtId="0" fontId="1" fillId="0" borderId="10" xfId="0" applyFont="1" applyBorder="1"/>
    <xf numFmtId="0" fontId="1" fillId="0" borderId="24" xfId="0" applyFont="1" applyBorder="1"/>
    <xf numFmtId="0" fontId="1" fillId="0" borderId="7" xfId="0" applyFont="1" applyBorder="1"/>
    <xf numFmtId="0" fontId="1" fillId="0" borderId="1" xfId="0" applyFont="1" applyBorder="1"/>
    <xf numFmtId="0" fontId="1" fillId="0" borderId="13" xfId="0" applyFont="1" applyBorder="1"/>
    <xf numFmtId="0" fontId="13" fillId="0" borderId="24" xfId="0" applyFont="1" applyBorder="1"/>
    <xf numFmtId="0" fontId="21" fillId="2" borderId="6" xfId="0" applyFont="1" applyFill="1" applyBorder="1" applyAlignment="1">
      <alignment horizontal="center" vertical="center"/>
    </xf>
    <xf numFmtId="169" fontId="1" fillId="2" borderId="0" xfId="2" applyNumberFormat="1" applyFont="1" applyFill="1" applyBorder="1" applyAlignment="1" applyProtection="1">
      <alignment horizontal="right"/>
      <protection locked="0"/>
    </xf>
    <xf numFmtId="3" fontId="1" fillId="18" borderId="1" xfId="2" applyNumberFormat="1" applyFont="1" applyFill="1" applyBorder="1" applyAlignment="1" applyProtection="1">
      <alignment horizontal="right"/>
    </xf>
    <xf numFmtId="3" fontId="76" fillId="2" borderId="0" xfId="0" applyNumberFormat="1" applyFont="1" applyFill="1"/>
    <xf numFmtId="0" fontId="78" fillId="0" borderId="0" xfId="1" applyFont="1"/>
    <xf numFmtId="0" fontId="20" fillId="2" borderId="15" xfId="0" applyFont="1" applyFill="1" applyBorder="1"/>
    <xf numFmtId="0" fontId="20" fillId="2" borderId="14" xfId="0" applyFont="1" applyFill="1" applyBorder="1"/>
    <xf numFmtId="0" fontId="20" fillId="2" borderId="16" xfId="0" applyFont="1" applyFill="1" applyBorder="1"/>
    <xf numFmtId="3" fontId="1" fillId="18" borderId="1" xfId="0" applyNumberFormat="1" applyFont="1" applyFill="1" applyBorder="1" applyAlignment="1">
      <alignment wrapText="1"/>
    </xf>
    <xf numFmtId="0" fontId="0" fillId="2" borderId="11" xfId="0" applyFill="1" applyBorder="1"/>
    <xf numFmtId="0" fontId="13" fillId="14" borderId="19" xfId="0" applyFont="1" applyFill="1" applyBorder="1"/>
    <xf numFmtId="0" fontId="1" fillId="8" borderId="19" xfId="0" applyFont="1" applyFill="1" applyBorder="1"/>
    <xf numFmtId="171" fontId="1" fillId="8" borderId="19" xfId="3" applyNumberFormat="1" applyFont="1" applyFill="1" applyBorder="1"/>
    <xf numFmtId="0" fontId="3" fillId="8" borderId="19" xfId="1" applyFill="1" applyBorder="1"/>
    <xf numFmtId="0" fontId="1" fillId="2" borderId="19" xfId="0" applyFont="1" applyFill="1" applyBorder="1"/>
    <xf numFmtId="10" fontId="1" fillId="2" borderId="19" xfId="2" applyNumberFormat="1" applyFont="1" applyFill="1" applyBorder="1"/>
    <xf numFmtId="0" fontId="3" fillId="2" borderId="19" xfId="1" applyFill="1" applyBorder="1"/>
    <xf numFmtId="10" fontId="1" fillId="8" borderId="19" xfId="2" applyNumberFormat="1" applyFont="1" applyFill="1" applyBorder="1"/>
    <xf numFmtId="171" fontId="1" fillId="2" borderId="19" xfId="3" applyNumberFormat="1" applyFont="1" applyFill="1" applyBorder="1"/>
    <xf numFmtId="3" fontId="13" fillId="13" borderId="1" xfId="0" applyNumberFormat="1" applyFont="1" applyFill="1" applyBorder="1"/>
    <xf numFmtId="0" fontId="5" fillId="0" borderId="1" xfId="0" applyFont="1" applyBorder="1" applyAlignment="1">
      <alignment horizontal="center"/>
    </xf>
    <xf numFmtId="0" fontId="6" fillId="13" borderId="19" xfId="0" applyFont="1" applyFill="1" applyBorder="1" applyAlignment="1">
      <alignment wrapText="1"/>
    </xf>
    <xf numFmtId="172" fontId="4" fillId="2" borderId="0" xfId="3" applyNumberFormat="1" applyFont="1" applyFill="1" applyAlignment="1">
      <alignment horizontal="center"/>
    </xf>
    <xf numFmtId="4" fontId="5" fillId="6" borderId="19" xfId="2" applyNumberFormat="1" applyFont="1" applyFill="1" applyBorder="1" applyAlignment="1">
      <alignment horizontal="center"/>
    </xf>
    <xf numFmtId="0" fontId="27" fillId="2" borderId="0" xfId="0" applyFont="1" applyFill="1" applyAlignment="1">
      <alignment horizontal="left" vertical="top" wrapText="1"/>
    </xf>
    <xf numFmtId="0" fontId="1" fillId="18" borderId="2" xfId="0" applyFont="1" applyFill="1" applyBorder="1" applyAlignment="1">
      <alignment horizontal="left"/>
    </xf>
    <xf numFmtId="10" fontId="4" fillId="0" borderId="0" xfId="2" applyNumberFormat="1" applyFont="1" applyFill="1" applyBorder="1"/>
    <xf numFmtId="0" fontId="4" fillId="2" borderId="44" xfId="0" applyFont="1" applyFill="1" applyBorder="1"/>
    <xf numFmtId="0" fontId="4" fillId="2" borderId="24" xfId="0" applyFont="1" applyFill="1" applyBorder="1"/>
    <xf numFmtId="0" fontId="75" fillId="2" borderId="24" xfId="0" applyFont="1" applyFill="1" applyBorder="1"/>
    <xf numFmtId="4" fontId="4" fillId="0" borderId="1" xfId="0" applyNumberFormat="1" applyFont="1" applyBorder="1" applyAlignment="1">
      <alignment horizontal="center"/>
    </xf>
    <xf numFmtId="0" fontId="5" fillId="0" borderId="3" xfId="0" applyFont="1" applyBorder="1" applyAlignment="1">
      <alignment horizontal="center"/>
    </xf>
    <xf numFmtId="3" fontId="4" fillId="0" borderId="19" xfId="0" applyNumberFormat="1" applyFont="1" applyBorder="1"/>
    <xf numFmtId="10" fontId="4" fillId="0" borderId="19" xfId="2" applyNumberFormat="1" applyFont="1" applyFill="1" applyBorder="1"/>
    <xf numFmtId="0" fontId="4" fillId="0" borderId="46" xfId="0" applyFont="1" applyBorder="1"/>
    <xf numFmtId="10" fontId="4" fillId="0" borderId="34" xfId="2" applyNumberFormat="1" applyFont="1" applyFill="1" applyBorder="1"/>
    <xf numFmtId="0" fontId="4" fillId="0" borderId="48" xfId="0" applyFont="1" applyBorder="1"/>
    <xf numFmtId="3" fontId="4" fillId="0" borderId="20" xfId="0" applyNumberFormat="1" applyFont="1" applyBorder="1"/>
    <xf numFmtId="0" fontId="6" fillId="13" borderId="31" xfId="0" applyFont="1" applyFill="1" applyBorder="1" applyAlignment="1">
      <alignment wrapText="1"/>
    </xf>
    <xf numFmtId="0" fontId="6" fillId="13" borderId="47" xfId="0" applyFont="1" applyFill="1" applyBorder="1" applyAlignment="1">
      <alignment wrapText="1"/>
    </xf>
    <xf numFmtId="3" fontId="4" fillId="0" borderId="30" xfId="0" applyNumberFormat="1" applyFont="1" applyBorder="1"/>
    <xf numFmtId="3" fontId="4" fillId="0" borderId="31" xfId="0" applyNumberFormat="1" applyFont="1" applyBorder="1"/>
    <xf numFmtId="10" fontId="5" fillId="0" borderId="46" xfId="2" applyNumberFormat="1" applyFont="1" applyFill="1" applyBorder="1" applyAlignment="1">
      <alignment horizontal="center"/>
    </xf>
    <xf numFmtId="4" fontId="5" fillId="0" borderId="34" xfId="2" applyNumberFormat="1" applyFont="1" applyFill="1" applyBorder="1" applyAlignment="1">
      <alignment horizontal="center"/>
    </xf>
    <xf numFmtId="10" fontId="5" fillId="0" borderId="48" xfId="2" applyNumberFormat="1" applyFont="1" applyFill="1" applyBorder="1" applyAlignment="1">
      <alignment horizontal="center"/>
    </xf>
    <xf numFmtId="4" fontId="5" fillId="0" borderId="29" xfId="2" applyNumberFormat="1" applyFont="1" applyFill="1" applyBorder="1" applyAlignment="1">
      <alignment horizontal="center"/>
    </xf>
    <xf numFmtId="172" fontId="5" fillId="0" borderId="34" xfId="3" applyNumberFormat="1" applyFont="1" applyFill="1" applyBorder="1" applyAlignment="1">
      <alignment horizontal="center"/>
    </xf>
    <xf numFmtId="172" fontId="5" fillId="0" borderId="29" xfId="3" applyNumberFormat="1" applyFont="1" applyFill="1" applyBorder="1" applyAlignment="1">
      <alignment horizontal="center"/>
    </xf>
    <xf numFmtId="4" fontId="5" fillId="0" borderId="19" xfId="0" applyNumberFormat="1" applyFont="1" applyBorder="1" applyAlignment="1">
      <alignment horizontal="center"/>
    </xf>
    <xf numFmtId="10" fontId="4" fillId="0" borderId="0" xfId="2" applyNumberFormat="1" applyFont="1" applyBorder="1" applyAlignment="1">
      <alignment horizontal="right"/>
    </xf>
    <xf numFmtId="0" fontId="6" fillId="13" borderId="0" xfId="0" applyFont="1" applyFill="1" applyAlignment="1">
      <alignment horizontal="center" wrapText="1"/>
    </xf>
    <xf numFmtId="0" fontId="6" fillId="13" borderId="45" xfId="0" applyFont="1" applyFill="1" applyBorder="1" applyAlignment="1">
      <alignment horizontal="center" wrapText="1"/>
    </xf>
    <xf numFmtId="0" fontId="6" fillId="13" borderId="43" xfId="0" applyFont="1" applyFill="1" applyBorder="1" applyAlignment="1">
      <alignment horizontal="center" wrapText="1"/>
    </xf>
    <xf numFmtId="0" fontId="4" fillId="2" borderId="0" xfId="0" applyFont="1" applyFill="1" applyAlignment="1">
      <alignment horizontal="center"/>
    </xf>
    <xf numFmtId="0" fontId="75" fillId="2" borderId="0" xfId="0" applyFont="1" applyFill="1" applyAlignment="1">
      <alignment horizontal="center"/>
    </xf>
    <xf numFmtId="3" fontId="1" fillId="8" borderId="14" xfId="0" applyNumberFormat="1" applyFont="1" applyFill="1" applyBorder="1" applyAlignment="1" applyProtection="1">
      <alignment wrapText="1"/>
      <protection locked="0"/>
    </xf>
    <xf numFmtId="3" fontId="1" fillId="18" borderId="14" xfId="0" applyNumberFormat="1" applyFont="1" applyFill="1" applyBorder="1" applyAlignment="1">
      <alignment wrapText="1"/>
    </xf>
    <xf numFmtId="3" fontId="1" fillId="18" borderId="3" xfId="0" applyNumberFormat="1" applyFont="1" applyFill="1" applyBorder="1" applyAlignment="1">
      <alignment wrapText="1"/>
    </xf>
    <xf numFmtId="3" fontId="1" fillId="8" borderId="2" xfId="0" applyNumberFormat="1" applyFont="1" applyFill="1" applyBorder="1" applyAlignment="1" applyProtection="1">
      <alignment wrapText="1"/>
      <protection locked="0"/>
    </xf>
    <xf numFmtId="3" fontId="1" fillId="18" borderId="2" xfId="0" applyNumberFormat="1" applyFont="1" applyFill="1" applyBorder="1" applyAlignment="1">
      <alignment wrapText="1"/>
    </xf>
    <xf numFmtId="3" fontId="1" fillId="2" borderId="0" xfId="0" applyNumberFormat="1" applyFont="1" applyFill="1" applyAlignment="1">
      <alignment wrapText="1"/>
    </xf>
    <xf numFmtId="0" fontId="33" fillId="2" borderId="11" xfId="0" applyFont="1" applyFill="1" applyBorder="1"/>
    <xf numFmtId="0" fontId="33" fillId="2" borderId="0" xfId="0" applyFont="1" applyFill="1"/>
    <xf numFmtId="0" fontId="77" fillId="13" borderId="7" xfId="0" applyFont="1" applyFill="1" applyBorder="1" applyAlignment="1">
      <alignment horizontal="left"/>
    </xf>
    <xf numFmtId="3" fontId="1" fillId="18" borderId="7" xfId="0" applyNumberFormat="1" applyFont="1" applyFill="1" applyBorder="1" applyAlignment="1">
      <alignment wrapText="1"/>
    </xf>
    <xf numFmtId="9" fontId="1" fillId="18" borderId="7" xfId="2" applyFont="1" applyFill="1" applyBorder="1" applyAlignment="1" applyProtection="1">
      <alignment wrapText="1"/>
    </xf>
    <xf numFmtId="3" fontId="1" fillId="18" borderId="6" xfId="0" applyNumberFormat="1" applyFont="1" applyFill="1" applyBorder="1" applyAlignment="1">
      <alignment wrapText="1"/>
    </xf>
    <xf numFmtId="9" fontId="1" fillId="18" borderId="2" xfId="2" applyFont="1" applyFill="1" applyBorder="1" applyAlignment="1" applyProtection="1">
      <alignment wrapText="1"/>
    </xf>
    <xf numFmtId="3" fontId="1" fillId="18" borderId="15" xfId="0" applyNumberFormat="1" applyFont="1" applyFill="1" applyBorder="1" applyAlignment="1">
      <alignment wrapText="1"/>
    </xf>
    <xf numFmtId="9" fontId="1" fillId="18" borderId="14" xfId="2" applyFont="1" applyFill="1" applyBorder="1" applyAlignment="1" applyProtection="1">
      <alignment wrapText="1"/>
    </xf>
    <xf numFmtId="9" fontId="1" fillId="2" borderId="0" xfId="2" applyFont="1" applyFill="1" applyBorder="1" applyAlignment="1" applyProtection="1">
      <alignment wrapText="1"/>
    </xf>
    <xf numFmtId="3" fontId="1" fillId="2" borderId="0" xfId="0" applyNumberFormat="1" applyFont="1" applyFill="1" applyAlignment="1" applyProtection="1">
      <alignment wrapText="1"/>
      <protection locked="0"/>
    </xf>
    <xf numFmtId="0" fontId="13" fillId="13" borderId="1" xfId="0" applyFont="1" applyFill="1" applyBorder="1" applyAlignment="1">
      <alignment horizontal="left" wrapText="1"/>
    </xf>
    <xf numFmtId="0" fontId="5" fillId="6" borderId="14" xfId="0" applyFont="1" applyFill="1" applyBorder="1"/>
    <xf numFmtId="2" fontId="4" fillId="6" borderId="14" xfId="0" applyNumberFormat="1" applyFont="1" applyFill="1" applyBorder="1" applyAlignment="1">
      <alignment horizontal="center"/>
    </xf>
    <xf numFmtId="2" fontId="4" fillId="6" borderId="51" xfId="0" applyNumberFormat="1" applyFont="1" applyFill="1" applyBorder="1" applyAlignment="1">
      <alignment horizontal="center"/>
    </xf>
    <xf numFmtId="2" fontId="4" fillId="6" borderId="29" xfId="0" applyNumberFormat="1" applyFont="1" applyFill="1" applyBorder="1" applyAlignment="1">
      <alignment horizontal="center"/>
    </xf>
    <xf numFmtId="0" fontId="5" fillId="0" borderId="14" xfId="0" applyFont="1" applyBorder="1"/>
    <xf numFmtId="2" fontId="4" fillId="0" borderId="14" xfId="0" applyNumberFormat="1" applyFont="1" applyBorder="1" applyAlignment="1">
      <alignment horizontal="center"/>
    </xf>
    <xf numFmtId="2" fontId="4" fillId="0" borderId="51" xfId="0" applyNumberFormat="1" applyFont="1" applyBorder="1" applyAlignment="1">
      <alignment horizontal="center"/>
    </xf>
    <xf numFmtId="2" fontId="4" fillId="0" borderId="29" xfId="0" applyNumberFormat="1" applyFont="1" applyBorder="1" applyAlignment="1">
      <alignment horizontal="center"/>
    </xf>
    <xf numFmtId="0" fontId="6" fillId="13" borderId="9" xfId="0" applyFont="1" applyFill="1" applyBorder="1" applyAlignment="1">
      <alignment horizontal="left"/>
    </xf>
    <xf numFmtId="0" fontId="6" fillId="13" borderId="54" xfId="0" applyFont="1" applyFill="1" applyBorder="1" applyAlignment="1">
      <alignment horizontal="left" wrapText="1"/>
    </xf>
    <xf numFmtId="0" fontId="6" fillId="13" borderId="9" xfId="0" applyFont="1" applyFill="1" applyBorder="1" applyAlignment="1">
      <alignment horizontal="left" wrapText="1"/>
    </xf>
    <xf numFmtId="0" fontId="6" fillId="13" borderId="55" xfId="0" applyFont="1" applyFill="1" applyBorder="1" applyAlignment="1">
      <alignment horizontal="left" wrapText="1"/>
    </xf>
    <xf numFmtId="0" fontId="6" fillId="13" borderId="24" xfId="0" applyFont="1" applyFill="1" applyBorder="1" applyAlignment="1">
      <alignment horizontal="left" wrapText="1"/>
    </xf>
    <xf numFmtId="0" fontId="11" fillId="13" borderId="9" xfId="0" applyFont="1" applyFill="1" applyBorder="1" applyAlignment="1">
      <alignment horizontal="left"/>
    </xf>
    <xf numFmtId="0" fontId="11" fillId="13" borderId="54" xfId="0" applyFont="1" applyFill="1" applyBorder="1" applyAlignment="1">
      <alignment horizontal="left" wrapText="1"/>
    </xf>
    <xf numFmtId="0" fontId="11" fillId="13" borderId="9" xfId="0" applyFont="1" applyFill="1" applyBorder="1" applyAlignment="1">
      <alignment horizontal="left" wrapText="1"/>
    </xf>
    <xf numFmtId="0" fontId="11" fillId="13" borderId="24" xfId="0" applyFont="1" applyFill="1" applyBorder="1" applyAlignment="1">
      <alignment horizontal="left" wrapText="1"/>
    </xf>
    <xf numFmtId="0" fontId="30" fillId="9" borderId="7" xfId="0" applyFont="1" applyFill="1" applyBorder="1" applyAlignment="1">
      <alignment wrapText="1"/>
    </xf>
    <xf numFmtId="0" fontId="19" fillId="2" borderId="15" xfId="0" applyFont="1" applyFill="1" applyBorder="1" applyAlignment="1">
      <alignment horizontal="center" wrapText="1"/>
    </xf>
    <xf numFmtId="0" fontId="6" fillId="2" borderId="11" xfId="0" applyFont="1" applyFill="1" applyBorder="1" applyAlignment="1">
      <alignment wrapText="1"/>
    </xf>
    <xf numFmtId="0" fontId="19" fillId="2" borderId="15" xfId="0" applyFont="1" applyFill="1" applyBorder="1" applyAlignment="1">
      <alignment horizontal="center"/>
    </xf>
    <xf numFmtId="3" fontId="1" fillId="2" borderId="10" xfId="0" applyNumberFormat="1" applyFont="1" applyFill="1" applyBorder="1"/>
    <xf numFmtId="3" fontId="1" fillId="2" borderId="1" xfId="2" applyNumberFormat="1" applyFont="1" applyFill="1" applyBorder="1" applyAlignment="1">
      <alignment horizontal="right"/>
    </xf>
    <xf numFmtId="0" fontId="33" fillId="6" borderId="9" xfId="0" applyFont="1" applyFill="1" applyBorder="1"/>
    <xf numFmtId="0" fontId="33" fillId="6" borderId="10" xfId="0" applyFont="1" applyFill="1" applyBorder="1"/>
    <xf numFmtId="0" fontId="13" fillId="13" borderId="1" xfId="0" applyFont="1" applyFill="1" applyBorder="1" applyAlignment="1">
      <alignment horizontal="left"/>
    </xf>
    <xf numFmtId="0" fontId="13" fillId="13" borderId="8" xfId="0" applyFont="1" applyFill="1" applyBorder="1" applyAlignment="1">
      <alignment horizontal="left" wrapText="1"/>
    </xf>
    <xf numFmtId="0" fontId="13" fillId="13" borderId="8" xfId="0" applyFont="1" applyFill="1" applyBorder="1" applyAlignment="1">
      <alignment horizontal="left"/>
    </xf>
    <xf numFmtId="0" fontId="13" fillId="13" borderId="24" xfId="0" applyFont="1" applyFill="1" applyBorder="1" applyAlignment="1">
      <alignment horizontal="left" wrapText="1"/>
    </xf>
    <xf numFmtId="0" fontId="20" fillId="0" borderId="9" xfId="0" applyFont="1" applyBorder="1"/>
    <xf numFmtId="0" fontId="1" fillId="2" borderId="15" xfId="0" applyFont="1" applyFill="1" applyBorder="1" applyAlignment="1">
      <alignment wrapText="1"/>
    </xf>
    <xf numFmtId="3" fontId="1" fillId="2" borderId="11" xfId="0" applyNumberFormat="1" applyFont="1" applyFill="1" applyBorder="1" applyAlignment="1">
      <alignment wrapText="1"/>
    </xf>
    <xf numFmtId="0" fontId="1" fillId="2" borderId="11" xfId="0" applyFont="1" applyFill="1" applyBorder="1" applyAlignment="1">
      <alignment wrapText="1"/>
    </xf>
    <xf numFmtId="3" fontId="21" fillId="2" borderId="0" xfId="0" applyNumberFormat="1" applyFont="1" applyFill="1" applyAlignment="1">
      <alignment wrapText="1"/>
    </xf>
    <xf numFmtId="0" fontId="13" fillId="13" borderId="3" xfId="0" applyFont="1" applyFill="1" applyBorder="1" applyAlignment="1">
      <alignment horizontal="left" wrapText="1"/>
    </xf>
    <xf numFmtId="3" fontId="1" fillId="18" borderId="14" xfId="0" applyNumberFormat="1" applyFont="1" applyFill="1" applyBorder="1" applyAlignment="1" applyProtection="1">
      <alignment wrapText="1"/>
      <protection locked="0"/>
    </xf>
    <xf numFmtId="3" fontId="1" fillId="18" borderId="2" xfId="0" applyNumberFormat="1" applyFont="1" applyFill="1" applyBorder="1" applyAlignment="1" applyProtection="1">
      <alignment wrapText="1"/>
      <protection locked="0"/>
    </xf>
    <xf numFmtId="9" fontId="30" fillId="8" borderId="1" xfId="2" applyFont="1" applyFill="1" applyBorder="1" applyAlignment="1" applyProtection="1">
      <alignment wrapText="1"/>
      <protection locked="0"/>
    </xf>
    <xf numFmtId="9" fontId="1" fillId="8" borderId="1" xfId="2" applyFont="1" applyFill="1" applyBorder="1" applyAlignment="1" applyProtection="1">
      <alignment wrapText="1"/>
      <protection locked="0"/>
    </xf>
    <xf numFmtId="3" fontId="30" fillId="8" borderId="14" xfId="0" applyNumberFormat="1" applyFont="1" applyFill="1" applyBorder="1" applyAlignment="1" applyProtection="1">
      <alignment wrapText="1"/>
      <protection locked="0"/>
    </xf>
    <xf numFmtId="9" fontId="30" fillId="8" borderId="14" xfId="2" applyFont="1" applyFill="1" applyBorder="1" applyAlignment="1" applyProtection="1">
      <alignment wrapText="1"/>
      <protection locked="0"/>
    </xf>
    <xf numFmtId="1" fontId="30" fillId="8" borderId="52" xfId="2" applyNumberFormat="1" applyFont="1" applyFill="1" applyBorder="1" applyAlignment="1" applyProtection="1">
      <alignment wrapText="1"/>
      <protection locked="0"/>
    </xf>
    <xf numFmtId="9" fontId="1" fillId="8" borderId="14" xfId="2" applyFont="1" applyFill="1" applyBorder="1" applyAlignment="1" applyProtection="1">
      <alignment wrapText="1"/>
      <protection locked="0"/>
    </xf>
    <xf numFmtId="1" fontId="30" fillId="8" borderId="53" xfId="2" applyNumberFormat="1" applyFont="1" applyFill="1" applyBorder="1" applyAlignment="1" applyProtection="1">
      <alignment wrapText="1"/>
      <protection locked="0"/>
    </xf>
    <xf numFmtId="3" fontId="30" fillId="8" borderId="2" xfId="0" applyNumberFormat="1" applyFont="1" applyFill="1" applyBorder="1" applyAlignment="1" applyProtection="1">
      <alignment wrapText="1"/>
      <protection locked="0"/>
    </xf>
    <xf numFmtId="1" fontId="30" fillId="8" borderId="50" xfId="2" applyNumberFormat="1" applyFont="1" applyFill="1" applyBorder="1" applyAlignment="1" applyProtection="1">
      <alignment wrapText="1"/>
      <protection locked="0"/>
    </xf>
    <xf numFmtId="0" fontId="6" fillId="13" borderId="14" xfId="0" applyFont="1" applyFill="1" applyBorder="1" applyAlignment="1">
      <alignment horizontal="center" wrapText="1"/>
    </xf>
    <xf numFmtId="0" fontId="11" fillId="13" borderId="57" xfId="0" applyFont="1" applyFill="1" applyBorder="1" applyAlignment="1">
      <alignment horizontal="center" wrapText="1"/>
    </xf>
    <xf numFmtId="2" fontId="5" fillId="6" borderId="58" xfId="0" applyNumberFormat="1" applyFont="1" applyFill="1" applyBorder="1" applyAlignment="1">
      <alignment horizontal="center"/>
    </xf>
    <xf numFmtId="2" fontId="5" fillId="0" borderId="58" xfId="0" applyNumberFormat="1" applyFont="1" applyBorder="1" applyAlignment="1">
      <alignment horizontal="center"/>
    </xf>
    <xf numFmtId="0" fontId="84" fillId="13" borderId="51" xfId="0" applyFont="1" applyFill="1" applyBorder="1" applyAlignment="1">
      <alignment horizontal="center" wrapText="1"/>
    </xf>
    <xf numFmtId="0" fontId="13" fillId="13" borderId="23" xfId="0" applyFont="1" applyFill="1" applyBorder="1" applyAlignment="1">
      <alignment horizontal="left" wrapText="1"/>
    </xf>
    <xf numFmtId="0" fontId="13" fillId="13" borderId="13" xfId="0" applyFont="1" applyFill="1" applyBorder="1" applyAlignment="1">
      <alignment horizontal="left" wrapText="1"/>
    </xf>
    <xf numFmtId="3" fontId="1" fillId="8" borderId="7" xfId="0" applyNumberFormat="1" applyFont="1" applyFill="1" applyBorder="1" applyAlignment="1" applyProtection="1">
      <alignment wrapText="1"/>
      <protection locked="0"/>
    </xf>
    <xf numFmtId="9" fontId="1" fillId="8" borderId="7" xfId="2" applyFont="1" applyFill="1" applyBorder="1" applyAlignment="1" applyProtection="1">
      <alignment wrapText="1"/>
      <protection locked="0"/>
    </xf>
    <xf numFmtId="9" fontId="1" fillId="8" borderId="2" xfId="2" applyFont="1" applyFill="1" applyBorder="1" applyAlignment="1" applyProtection="1">
      <alignment wrapText="1"/>
      <protection locked="0"/>
    </xf>
    <xf numFmtId="4" fontId="1" fillId="18" borderId="7" xfId="0" applyNumberFormat="1" applyFont="1" applyFill="1" applyBorder="1" applyAlignment="1">
      <alignment wrapText="1"/>
    </xf>
    <xf numFmtId="0" fontId="13" fillId="13" borderId="13" xfId="0" applyFont="1" applyFill="1" applyBorder="1" applyAlignment="1">
      <alignment horizontal="left"/>
    </xf>
    <xf numFmtId="0" fontId="20" fillId="13" borderId="1" xfId="0" applyFont="1" applyFill="1" applyBorder="1"/>
    <xf numFmtId="2" fontId="4" fillId="6" borderId="1" xfId="0" applyNumberFormat="1" applyFont="1" applyFill="1" applyBorder="1" applyAlignment="1">
      <alignment horizontal="center"/>
    </xf>
    <xf numFmtId="0" fontId="5" fillId="6" borderId="1" xfId="0" applyFont="1" applyFill="1" applyBorder="1"/>
    <xf numFmtId="2" fontId="5" fillId="6" borderId="1" xfId="0" applyNumberFormat="1" applyFont="1" applyFill="1" applyBorder="1" applyAlignment="1">
      <alignment horizontal="center"/>
    </xf>
    <xf numFmtId="0" fontId="84" fillId="13" borderId="9" xfId="0" applyFont="1" applyFill="1" applyBorder="1" applyAlignment="1">
      <alignment horizontal="center" wrapText="1"/>
    </xf>
    <xf numFmtId="0" fontId="84" fillId="13" borderId="31" xfId="0" applyFont="1" applyFill="1" applyBorder="1" applyAlignment="1">
      <alignment horizontal="center" wrapText="1"/>
    </xf>
    <xf numFmtId="0" fontId="11" fillId="13" borderId="31" xfId="0" applyFont="1" applyFill="1" applyBorder="1" applyAlignment="1">
      <alignment horizontal="center" wrapText="1"/>
    </xf>
    <xf numFmtId="2" fontId="5" fillId="0" borderId="29" xfId="0" applyNumberFormat="1" applyFont="1" applyBorder="1" applyAlignment="1">
      <alignment horizontal="center"/>
    </xf>
    <xf numFmtId="0" fontId="5" fillId="0" borderId="2" xfId="0" applyFont="1" applyBorder="1"/>
    <xf numFmtId="2" fontId="4" fillId="0" borderId="2" xfId="0" applyNumberFormat="1" applyFont="1" applyBorder="1" applyAlignment="1">
      <alignment horizontal="center"/>
    </xf>
    <xf numFmtId="2" fontId="4" fillId="0" borderId="1" xfId="0" applyNumberFormat="1" applyFont="1" applyBorder="1" applyAlignment="1">
      <alignment horizontal="center"/>
    </xf>
    <xf numFmtId="0" fontId="6" fillId="13" borderId="31" xfId="0" applyFont="1" applyFill="1" applyBorder="1" applyAlignment="1">
      <alignment horizontal="center" wrapText="1"/>
    </xf>
    <xf numFmtId="0" fontId="5" fillId="0" borderId="40" xfId="0" applyFont="1" applyBorder="1"/>
    <xf numFmtId="2" fontId="4" fillId="0" borderId="40" xfId="0" applyNumberFormat="1" applyFont="1" applyBorder="1" applyAlignment="1">
      <alignment horizontal="center"/>
    </xf>
    <xf numFmtId="0" fontId="11" fillId="13" borderId="28" xfId="0" applyFont="1" applyFill="1" applyBorder="1" applyAlignment="1">
      <alignment horizontal="center" wrapText="1"/>
    </xf>
    <xf numFmtId="2" fontId="5" fillId="0" borderId="20" xfId="0" applyNumberFormat="1" applyFont="1" applyBorder="1" applyAlignment="1">
      <alignment horizontal="center"/>
    </xf>
    <xf numFmtId="0" fontId="5" fillId="0" borderId="3" xfId="0" applyFont="1" applyBorder="1"/>
    <xf numFmtId="2" fontId="4" fillId="0" borderId="3" xfId="0" applyNumberFormat="1" applyFont="1" applyBorder="1" applyAlignment="1">
      <alignment horizontal="center"/>
    </xf>
    <xf numFmtId="0" fontId="11" fillId="13" borderId="56" xfId="0" applyFont="1" applyFill="1" applyBorder="1" applyAlignment="1">
      <alignment horizontal="center" wrapText="1"/>
    </xf>
    <xf numFmtId="0" fontId="6" fillId="13" borderId="56" xfId="0" applyFont="1" applyFill="1" applyBorder="1" applyAlignment="1">
      <alignment horizontal="left" wrapText="1"/>
    </xf>
    <xf numFmtId="0" fontId="6" fillId="13" borderId="47" xfId="0" applyFont="1" applyFill="1" applyBorder="1" applyAlignment="1">
      <alignment horizontal="left" wrapText="1"/>
    </xf>
    <xf numFmtId="0" fontId="6" fillId="13" borderId="0" xfId="0" applyFont="1" applyFill="1" applyAlignment="1">
      <alignment horizontal="left" wrapText="1"/>
    </xf>
    <xf numFmtId="9" fontId="1" fillId="2" borderId="1" xfId="2" applyFont="1" applyFill="1" applyBorder="1"/>
    <xf numFmtId="164" fontId="1" fillId="2" borderId="1" xfId="2" applyNumberFormat="1" applyFont="1" applyFill="1" applyBorder="1" applyProtection="1">
      <protection locked="0"/>
    </xf>
    <xf numFmtId="0" fontId="84" fillId="13" borderId="56" xfId="0" applyFont="1" applyFill="1" applyBorder="1" applyAlignment="1">
      <alignment horizontal="center" wrapText="1"/>
    </xf>
    <xf numFmtId="0" fontId="84" fillId="13" borderId="59" xfId="0" applyFont="1" applyFill="1" applyBorder="1" applyAlignment="1">
      <alignment horizontal="center" wrapText="1"/>
    </xf>
    <xf numFmtId="0" fontId="13" fillId="13" borderId="39" xfId="0" applyFont="1" applyFill="1" applyBorder="1" applyAlignment="1">
      <alignment horizontal="left"/>
    </xf>
    <xf numFmtId="0" fontId="13" fillId="13" borderId="10" xfId="0" applyFont="1" applyFill="1" applyBorder="1" applyAlignment="1">
      <alignment horizontal="left" wrapText="1"/>
    </xf>
    <xf numFmtId="0" fontId="21" fillId="18" borderId="35" xfId="0" applyFont="1" applyFill="1" applyBorder="1"/>
    <xf numFmtId="0" fontId="21" fillId="18" borderId="35" xfId="0" applyFont="1" applyFill="1" applyBorder="1" applyAlignment="1">
      <alignment horizontal="right"/>
    </xf>
    <xf numFmtId="0" fontId="1" fillId="18" borderId="35" xfId="0" applyFont="1" applyFill="1" applyBorder="1"/>
    <xf numFmtId="0" fontId="1" fillId="18" borderId="35" xfId="0" applyFont="1" applyFill="1" applyBorder="1" applyAlignment="1">
      <alignment horizontal="right"/>
    </xf>
    <xf numFmtId="0" fontId="1" fillId="0" borderId="35" xfId="0" applyFont="1" applyBorder="1" applyAlignment="1" applyProtection="1">
      <alignment horizontal="right"/>
      <protection locked="0"/>
    </xf>
    <xf numFmtId="0" fontId="1" fillId="8" borderId="35" xfId="0" applyFont="1" applyFill="1" applyBorder="1" applyAlignment="1" applyProtection="1">
      <alignment horizontal="right"/>
      <protection locked="0"/>
    </xf>
    <xf numFmtId="0" fontId="1" fillId="8" borderId="35" xfId="0" applyFont="1" applyFill="1" applyBorder="1" applyProtection="1">
      <protection locked="0"/>
    </xf>
    <xf numFmtId="165" fontId="1" fillId="0" borderId="35" xfId="3" applyNumberFormat="1" applyFont="1" applyBorder="1" applyProtection="1">
      <protection locked="0"/>
    </xf>
    <xf numFmtId="165" fontId="1" fillId="0" borderId="35" xfId="3" applyNumberFormat="1" applyFont="1" applyBorder="1"/>
    <xf numFmtId="165" fontId="1" fillId="0" borderId="35" xfId="3" applyNumberFormat="1" applyFont="1" applyFill="1" applyBorder="1"/>
    <xf numFmtId="165" fontId="1" fillId="0" borderId="35" xfId="3" applyNumberFormat="1" applyFont="1" applyFill="1" applyBorder="1" applyProtection="1">
      <protection locked="0"/>
    </xf>
    <xf numFmtId="3" fontId="1" fillId="2" borderId="0" xfId="0" applyNumberFormat="1" applyFont="1" applyFill="1" applyAlignment="1">
      <alignment horizontal="left" wrapText="1"/>
    </xf>
    <xf numFmtId="0" fontId="58" fillId="2" borderId="0" xfId="0" applyFont="1" applyFill="1" applyAlignment="1">
      <alignment horizontal="left" vertical="top"/>
    </xf>
    <xf numFmtId="9" fontId="1" fillId="8" borderId="1" xfId="0" applyNumberFormat="1" applyFont="1" applyFill="1" applyBorder="1" applyProtection="1">
      <protection locked="0"/>
    </xf>
    <xf numFmtId="0" fontId="1" fillId="0" borderId="60" xfId="0" applyFont="1" applyBorder="1" applyAlignment="1" applyProtection="1">
      <alignment horizontal="right"/>
      <protection locked="0"/>
    </xf>
    <xf numFmtId="165" fontId="21" fillId="18" borderId="35" xfId="3" applyNumberFormat="1" applyFont="1" applyFill="1" applyBorder="1" applyProtection="1"/>
    <xf numFmtId="165" fontId="1" fillId="18" borderId="35" xfId="3" applyNumberFormat="1" applyFont="1" applyFill="1" applyBorder="1" applyProtection="1"/>
    <xf numFmtId="165" fontId="1" fillId="18" borderId="1" xfId="3" applyNumberFormat="1" applyFont="1" applyFill="1" applyBorder="1" applyProtection="1"/>
    <xf numFmtId="9" fontId="1" fillId="8" borderId="18" xfId="0" applyNumberFormat="1" applyFont="1" applyFill="1" applyBorder="1" applyAlignment="1" applyProtection="1">
      <alignment horizontal="right"/>
      <protection locked="0"/>
    </xf>
    <xf numFmtId="0" fontId="1" fillId="18" borderId="2" xfId="0" applyFont="1" applyFill="1" applyBorder="1"/>
    <xf numFmtId="0" fontId="78" fillId="0" borderId="11" xfId="1" applyFont="1" applyFill="1" applyBorder="1"/>
    <xf numFmtId="0" fontId="21" fillId="6" borderId="9" xfId="0" applyFont="1" applyFill="1" applyBorder="1"/>
    <xf numFmtId="3" fontId="1" fillId="2" borderId="15" xfId="0" applyNumberFormat="1" applyFont="1" applyFill="1" applyBorder="1" applyAlignment="1">
      <alignment wrapText="1"/>
    </xf>
    <xf numFmtId="0" fontId="21" fillId="2" borderId="0" xfId="0" applyFont="1" applyFill="1" applyAlignment="1">
      <alignment horizontal="center"/>
    </xf>
    <xf numFmtId="0" fontId="13" fillId="13" borderId="9" xfId="0" applyFont="1" applyFill="1" applyBorder="1" applyAlignment="1">
      <alignment horizontal="left"/>
    </xf>
    <xf numFmtId="3" fontId="1" fillId="2" borderId="14" xfId="0" applyNumberFormat="1" applyFont="1" applyFill="1" applyBorder="1" applyAlignment="1" applyProtection="1">
      <alignment wrapText="1"/>
      <protection locked="0"/>
    </xf>
    <xf numFmtId="2" fontId="20" fillId="9" borderId="1" xfId="0" applyNumberFormat="1" applyFont="1" applyFill="1" applyBorder="1"/>
    <xf numFmtId="0" fontId="4" fillId="2" borderId="61" xfId="0" applyFont="1" applyFill="1" applyBorder="1"/>
    <xf numFmtId="0" fontId="13" fillId="15" borderId="62" xfId="0" applyFont="1" applyFill="1" applyBorder="1" applyAlignment="1">
      <alignment wrapText="1"/>
    </xf>
    <xf numFmtId="0" fontId="1" fillId="9" borderId="1" xfId="0" applyFont="1" applyFill="1" applyBorder="1" applyAlignment="1">
      <alignment wrapText="1"/>
    </xf>
    <xf numFmtId="164" fontId="1" fillId="9" borderId="1" xfId="2" applyNumberFormat="1" applyFont="1" applyFill="1" applyBorder="1" applyProtection="1"/>
    <xf numFmtId="168" fontId="1" fillId="9" borderId="1" xfId="0" applyNumberFormat="1" applyFont="1" applyFill="1" applyBorder="1"/>
    <xf numFmtId="9" fontId="1" fillId="9" borderId="1" xfId="2" applyFont="1" applyFill="1" applyBorder="1" applyProtection="1"/>
    <xf numFmtId="0" fontId="1" fillId="9" borderId="2" xfId="0" applyFont="1" applyFill="1" applyBorder="1" applyAlignment="1">
      <alignment wrapText="1"/>
    </xf>
    <xf numFmtId="168" fontId="1" fillId="9" borderId="1" xfId="0" applyNumberFormat="1" applyFont="1" applyFill="1" applyBorder="1" applyAlignment="1">
      <alignment horizontal="right"/>
    </xf>
    <xf numFmtId="0" fontId="20" fillId="9" borderId="1" xfId="0" applyFont="1" applyFill="1" applyBorder="1"/>
    <xf numFmtId="0" fontId="19" fillId="2" borderId="14" xfId="0" applyFont="1" applyFill="1" applyBorder="1" applyAlignment="1">
      <alignment horizontal="center"/>
    </xf>
    <xf numFmtId="0" fontId="19" fillId="2" borderId="16" xfId="0" applyFont="1" applyFill="1" applyBorder="1" applyAlignment="1">
      <alignment horizontal="center"/>
    </xf>
    <xf numFmtId="0" fontId="58" fillId="3" borderId="15" xfId="0" applyFont="1" applyFill="1" applyBorder="1" applyAlignment="1">
      <alignment horizontal="left" vertical="top"/>
    </xf>
    <xf numFmtId="0" fontId="58" fillId="3" borderId="0" xfId="0" applyFont="1" applyFill="1" applyAlignment="1">
      <alignment horizontal="left" vertical="top"/>
    </xf>
    <xf numFmtId="0" fontId="20" fillId="2" borderId="0" xfId="0" applyFont="1" applyFill="1" applyAlignment="1">
      <alignment horizontal="left" wrapText="1"/>
    </xf>
    <xf numFmtId="2" fontId="1" fillId="18" borderId="1" xfId="2" applyNumberFormat="1" applyFont="1" applyFill="1" applyBorder="1" applyAlignment="1" applyProtection="1">
      <alignment horizontal="right"/>
      <protection locked="0"/>
    </xf>
    <xf numFmtId="9" fontId="1" fillId="2" borderId="0" xfId="2" applyFont="1" applyFill="1" applyBorder="1" applyAlignment="1">
      <alignment horizontal="right"/>
    </xf>
    <xf numFmtId="0" fontId="20" fillId="0" borderId="35" xfId="0" applyFont="1" applyBorder="1" applyAlignment="1" applyProtection="1">
      <alignment horizontal="right"/>
      <protection locked="0"/>
    </xf>
    <xf numFmtId="165" fontId="20" fillId="18" borderId="35" xfId="3" applyNumberFormat="1" applyFont="1" applyFill="1" applyBorder="1"/>
    <xf numFmtId="0" fontId="20" fillId="2" borderId="0" xfId="0" applyFont="1" applyFill="1" applyAlignment="1" applyProtection="1">
      <alignment horizontal="right"/>
      <protection locked="0"/>
    </xf>
    <xf numFmtId="165" fontId="20" fillId="2" borderId="0" xfId="3" applyNumberFormat="1" applyFont="1" applyFill="1" applyBorder="1"/>
    <xf numFmtId="0" fontId="20" fillId="2" borderId="0" xfId="0" applyFont="1" applyFill="1" applyAlignment="1">
      <alignment horizontal="right"/>
    </xf>
    <xf numFmtId="0" fontId="20" fillId="8" borderId="35" xfId="0" applyFont="1" applyFill="1" applyBorder="1" applyAlignment="1" applyProtection="1">
      <alignment horizontal="right"/>
      <protection locked="0"/>
    </xf>
    <xf numFmtId="0" fontId="20" fillId="8" borderId="35" xfId="0" applyFont="1" applyFill="1" applyBorder="1" applyProtection="1">
      <protection locked="0"/>
    </xf>
    <xf numFmtId="43" fontId="1" fillId="8" borderId="0" xfId="3" applyFont="1" applyFill="1" applyProtection="1">
      <protection locked="0"/>
    </xf>
    <xf numFmtId="0" fontId="1" fillId="8" borderId="0" xfId="1" applyFont="1" applyFill="1" applyProtection="1">
      <protection locked="0"/>
    </xf>
    <xf numFmtId="43" fontId="1" fillId="16" borderId="0" xfId="3" applyFont="1" applyFill="1" applyProtection="1">
      <protection locked="0"/>
    </xf>
    <xf numFmtId="0" fontId="1" fillId="16" borderId="0" xfId="1" applyFont="1" applyFill="1" applyProtection="1">
      <protection locked="0"/>
    </xf>
    <xf numFmtId="3" fontId="1" fillId="2" borderId="1" xfId="0" applyNumberFormat="1" applyFont="1" applyFill="1" applyBorder="1"/>
    <xf numFmtId="3" fontId="91" fillId="2" borderId="0" xfId="0" applyNumberFormat="1" applyFont="1" applyFill="1"/>
    <xf numFmtId="0" fontId="92" fillId="18" borderId="9" xfId="0" applyFont="1" applyFill="1" applyBorder="1" applyAlignment="1">
      <alignment horizontal="center" wrapText="1"/>
    </xf>
    <xf numFmtId="164" fontId="1" fillId="2" borderId="1" xfId="2" applyNumberFormat="1" applyFont="1" applyFill="1" applyBorder="1"/>
    <xf numFmtId="0" fontId="86" fillId="13" borderId="8" xfId="0" applyFont="1" applyFill="1" applyBorder="1" applyAlignment="1">
      <alignment horizontal="left" wrapText="1"/>
    </xf>
    <xf numFmtId="0" fontId="13" fillId="13" borderId="0" xfId="0" applyFont="1" applyFill="1" applyAlignment="1">
      <alignment horizontal="left" wrapText="1"/>
    </xf>
    <xf numFmtId="0" fontId="49" fillId="0" borderId="0" xfId="1" applyFont="1" applyAlignment="1">
      <alignment wrapText="1"/>
    </xf>
    <xf numFmtId="0" fontId="1" fillId="9" borderId="7" xfId="0" applyFont="1" applyFill="1" applyBorder="1" applyAlignment="1">
      <alignment wrapText="1"/>
    </xf>
    <xf numFmtId="0" fontId="1" fillId="8" borderId="7" xfId="0" applyFont="1" applyFill="1" applyBorder="1" applyAlignment="1" applyProtection="1">
      <alignment wrapText="1"/>
      <protection locked="0"/>
    </xf>
    <xf numFmtId="168" fontId="1" fillId="9" borderId="2" xfId="0" applyNumberFormat="1" applyFont="1" applyFill="1" applyBorder="1"/>
    <xf numFmtId="168" fontId="1" fillId="8" borderId="2" xfId="0" applyNumberFormat="1" applyFont="1" applyFill="1" applyBorder="1" applyProtection="1">
      <protection locked="0"/>
    </xf>
    <xf numFmtId="0" fontId="13" fillId="13" borderId="13" xfId="0" applyFont="1" applyFill="1" applyBorder="1" applyAlignment="1">
      <alignment wrapText="1"/>
    </xf>
    <xf numFmtId="0" fontId="13" fillId="13" borderId="8" xfId="0" applyFont="1" applyFill="1" applyBorder="1"/>
    <xf numFmtId="0" fontId="13" fillId="13" borderId="12" xfId="0" applyFont="1" applyFill="1" applyBorder="1"/>
    <xf numFmtId="0" fontId="1" fillId="8" borderId="16" xfId="0" applyFont="1" applyFill="1" applyBorder="1" applyAlignment="1" applyProtection="1">
      <alignment wrapText="1"/>
      <protection locked="0"/>
    </xf>
    <xf numFmtId="164" fontId="1" fillId="8" borderId="3" xfId="2" applyNumberFormat="1" applyFont="1" applyFill="1" applyBorder="1" applyProtection="1">
      <protection locked="0"/>
    </xf>
    <xf numFmtId="0" fontId="1" fillId="2" borderId="3" xfId="0" applyFont="1" applyFill="1" applyBorder="1" applyProtection="1">
      <protection locked="0"/>
    </xf>
    <xf numFmtId="168" fontId="1" fillId="8" borderId="14" xfId="0" applyNumberFormat="1" applyFont="1" applyFill="1" applyBorder="1" applyProtection="1">
      <protection locked="0"/>
    </xf>
    <xf numFmtId="0" fontId="95" fillId="0" borderId="0" xfId="0" applyFont="1"/>
    <xf numFmtId="0" fontId="19" fillId="2" borderId="0" xfId="0" applyFont="1" applyFill="1" applyAlignment="1">
      <alignment wrapText="1"/>
    </xf>
    <xf numFmtId="0" fontId="21" fillId="2" borderId="15" xfId="0" applyFont="1" applyFill="1" applyBorder="1" applyAlignment="1">
      <alignment horizontal="center"/>
    </xf>
    <xf numFmtId="0" fontId="21" fillId="2" borderId="16" xfId="0" applyFont="1" applyFill="1" applyBorder="1" applyAlignment="1">
      <alignment horizontal="center"/>
    </xf>
    <xf numFmtId="0" fontId="37" fillId="13" borderId="0" xfId="0" applyFont="1" applyFill="1" applyAlignment="1">
      <alignment horizontal="center"/>
    </xf>
    <xf numFmtId="0" fontId="1" fillId="3" borderId="0" xfId="0" applyFont="1" applyFill="1"/>
    <xf numFmtId="0" fontId="13" fillId="13" borderId="8" xfId="0" applyFont="1" applyFill="1" applyBorder="1" applyAlignment="1">
      <alignment wrapText="1"/>
    </xf>
    <xf numFmtId="0" fontId="1" fillId="2" borderId="24" xfId="0" applyFont="1" applyFill="1" applyBorder="1"/>
    <xf numFmtId="165" fontId="1" fillId="9" borderId="1" xfId="3" applyNumberFormat="1" applyFont="1" applyFill="1" applyBorder="1" applyAlignment="1">
      <alignment horizontal="right"/>
    </xf>
    <xf numFmtId="170" fontId="1" fillId="9" borderId="1" xfId="0" applyNumberFormat="1" applyFont="1" applyFill="1" applyBorder="1" applyAlignment="1">
      <alignment horizontal="right"/>
    </xf>
    <xf numFmtId="165" fontId="1" fillId="2" borderId="0" xfId="3" applyNumberFormat="1" applyFont="1" applyFill="1"/>
    <xf numFmtId="3" fontId="1" fillId="2" borderId="25" xfId="0" applyNumberFormat="1" applyFont="1" applyFill="1" applyBorder="1"/>
    <xf numFmtId="173" fontId="1" fillId="2" borderId="0" xfId="2" applyNumberFormat="1" applyFont="1" applyFill="1"/>
    <xf numFmtId="0" fontId="4" fillId="8" borderId="62" xfId="0" applyFont="1" applyFill="1" applyBorder="1" applyProtection="1">
      <protection locked="0"/>
    </xf>
    <xf numFmtId="169" fontId="1" fillId="0" borderId="0" xfId="2" applyNumberFormat="1" applyFont="1" applyBorder="1"/>
    <xf numFmtId="169" fontId="1" fillId="0" borderId="0" xfId="2" applyNumberFormat="1" applyFont="1" applyFill="1" applyBorder="1"/>
    <xf numFmtId="0" fontId="1" fillId="0" borderId="0" xfId="1" applyFont="1" applyFill="1" applyBorder="1"/>
    <xf numFmtId="9" fontId="78" fillId="6" borderId="19" xfId="1" applyNumberFormat="1" applyFont="1" applyFill="1" applyBorder="1"/>
    <xf numFmtId="164" fontId="1" fillId="0" borderId="1" xfId="2" applyNumberFormat="1" applyFont="1" applyBorder="1" applyProtection="1"/>
    <xf numFmtId="164" fontId="1" fillId="9" borderId="1" xfId="2" applyNumberFormat="1" applyFont="1" applyFill="1" applyBorder="1" applyAlignment="1" applyProtection="1">
      <alignment horizontal="right"/>
    </xf>
    <xf numFmtId="0" fontId="1" fillId="11" borderId="1" xfId="0" applyFont="1" applyFill="1" applyBorder="1"/>
    <xf numFmtId="0" fontId="30" fillId="0" borderId="7" xfId="0" applyFont="1" applyBorder="1" applyProtection="1">
      <protection locked="0"/>
    </xf>
    <xf numFmtId="0" fontId="30" fillId="0" borderId="1" xfId="0" applyFont="1" applyBorder="1" applyProtection="1">
      <protection locked="0"/>
    </xf>
    <xf numFmtId="0" fontId="30" fillId="0" borderId="2" xfId="0" applyFont="1" applyBorder="1" applyProtection="1">
      <protection locked="0"/>
    </xf>
    <xf numFmtId="0" fontId="3" fillId="0" borderId="1" xfId="1" applyBorder="1" applyProtection="1">
      <protection locked="0"/>
    </xf>
    <xf numFmtId="10" fontId="30" fillId="0" borderId="1" xfId="0" applyNumberFormat="1" applyFont="1" applyBorder="1" applyProtection="1">
      <protection locked="0"/>
    </xf>
    <xf numFmtId="9" fontId="30" fillId="0" borderId="1" xfId="0" applyNumberFormat="1" applyFont="1" applyBorder="1" applyProtection="1">
      <protection locked="0"/>
    </xf>
    <xf numFmtId="0" fontId="30" fillId="0" borderId="1" xfId="0" applyFont="1" applyBorder="1" applyAlignment="1" applyProtection="1">
      <alignment wrapText="1"/>
      <protection locked="0"/>
    </xf>
    <xf numFmtId="0" fontId="30" fillId="0" borderId="2" xfId="0" applyFont="1" applyBorder="1" applyAlignment="1" applyProtection="1">
      <alignment wrapText="1"/>
      <protection locked="0"/>
    </xf>
    <xf numFmtId="0" fontId="30" fillId="0" borderId="16" xfId="0" applyFont="1" applyBorder="1" applyProtection="1">
      <protection locked="0"/>
    </xf>
    <xf numFmtId="0" fontId="30" fillId="0" borderId="3" xfId="0" applyFont="1" applyBorder="1" applyProtection="1">
      <protection locked="0"/>
    </xf>
    <xf numFmtId="0" fontId="30" fillId="0" borderId="14" xfId="0" applyFont="1" applyBorder="1" applyProtection="1">
      <protection locked="0"/>
    </xf>
    <xf numFmtId="0" fontId="91" fillId="2" borderId="0" xfId="0" applyFont="1" applyFill="1"/>
    <xf numFmtId="0" fontId="9" fillId="2" borderId="15" xfId="0" applyFont="1" applyFill="1" applyBorder="1"/>
    <xf numFmtId="0" fontId="9" fillId="2" borderId="11" xfId="0" applyFont="1" applyFill="1" applyBorder="1"/>
    <xf numFmtId="0" fontId="3" fillId="0" borderId="0" xfId="1"/>
    <xf numFmtId="9" fontId="1" fillId="8" borderId="63" xfId="2" applyFont="1" applyFill="1" applyBorder="1" applyProtection="1">
      <protection locked="0"/>
    </xf>
    <xf numFmtId="165" fontId="1" fillId="2" borderId="0" xfId="0" applyNumberFormat="1" applyFont="1" applyFill="1"/>
    <xf numFmtId="3" fontId="1" fillId="2" borderId="15" xfId="0" applyNumberFormat="1" applyFont="1" applyFill="1" applyBorder="1" applyAlignment="1">
      <alignment horizontal="left" wrapText="1"/>
    </xf>
    <xf numFmtId="3" fontId="1" fillId="2" borderId="15" xfId="0" applyNumberFormat="1" applyFont="1" applyFill="1" applyBorder="1" applyAlignment="1" applyProtection="1">
      <alignment horizontal="right"/>
      <protection locked="0"/>
    </xf>
    <xf numFmtId="169" fontId="1" fillId="18" borderId="1" xfId="2" applyNumberFormat="1" applyFont="1" applyFill="1" applyBorder="1" applyAlignment="1" applyProtection="1">
      <alignment horizontal="right"/>
    </xf>
    <xf numFmtId="0" fontId="98" fillId="2" borderId="0" xfId="0" applyFont="1" applyFill="1"/>
    <xf numFmtId="3" fontId="1" fillId="2" borderId="11" xfId="0" applyNumberFormat="1" applyFont="1" applyFill="1" applyBorder="1" applyAlignment="1">
      <alignment horizontal="left" wrapText="1"/>
    </xf>
    <xf numFmtId="0" fontId="13" fillId="13" borderId="2" xfId="0" applyFont="1" applyFill="1" applyBorder="1" applyAlignment="1">
      <alignment wrapText="1"/>
    </xf>
    <xf numFmtId="3" fontId="1" fillId="18" borderId="1" xfId="0" applyNumberFormat="1" applyFont="1" applyFill="1" applyBorder="1" applyProtection="1">
      <protection locked="0"/>
    </xf>
    <xf numFmtId="0" fontId="27" fillId="2" borderId="0" xfId="0" applyFont="1" applyFill="1" applyAlignment="1">
      <alignment horizontal="left" vertical="top" wrapText="1"/>
    </xf>
    <xf numFmtId="0" fontId="0" fillId="0" borderId="0" xfId="0" applyAlignment="1">
      <alignment horizontal="left" vertical="top" wrapText="1"/>
    </xf>
    <xf numFmtId="0" fontId="44" fillId="2" borderId="0" xfId="0" applyFont="1" applyFill="1" applyAlignment="1">
      <alignment horizontal="left" vertical="top" wrapText="1"/>
    </xf>
    <xf numFmtId="0" fontId="78" fillId="2" borderId="0" xfId="1" applyFont="1" applyFill="1" applyAlignment="1">
      <alignment horizontal="left" vertical="top"/>
    </xf>
    <xf numFmtId="0" fontId="20" fillId="0" borderId="0" xfId="0" applyFont="1" applyAlignment="1">
      <alignment horizontal="left" vertical="top"/>
    </xf>
    <xf numFmtId="0" fontId="78" fillId="2" borderId="0" xfId="1" applyFont="1" applyFill="1" applyAlignment="1">
      <alignment horizontal="left" vertical="top" wrapText="1"/>
    </xf>
    <xf numFmtId="0" fontId="5" fillId="2" borderId="1" xfId="0" applyFont="1" applyFill="1" applyBorder="1" applyAlignment="1">
      <alignment horizontal="center"/>
    </xf>
    <xf numFmtId="0" fontId="4" fillId="8" borderId="2" xfId="0" applyFont="1" applyFill="1" applyBorder="1" applyAlignment="1" applyProtection="1">
      <alignment horizontal="center"/>
      <protection locked="0"/>
    </xf>
    <xf numFmtId="0" fontId="4" fillId="8" borderId="7" xfId="0" applyFont="1" applyFill="1" applyBorder="1" applyAlignment="1" applyProtection="1">
      <alignment horizontal="center"/>
      <protection locked="0"/>
    </xf>
    <xf numFmtId="0" fontId="1" fillId="8" borderId="2" xfId="0" applyFont="1" applyFill="1" applyBorder="1" applyAlignment="1" applyProtection="1">
      <alignment horizontal="center"/>
      <protection locked="0"/>
    </xf>
    <xf numFmtId="0" fontId="1" fillId="8" borderId="7" xfId="0" applyFont="1" applyFill="1" applyBorder="1" applyAlignment="1" applyProtection="1">
      <alignment horizontal="center"/>
      <protection locked="0"/>
    </xf>
    <xf numFmtId="0" fontId="41" fillId="2" borderId="14" xfId="0" applyFont="1" applyFill="1" applyBorder="1" applyAlignment="1">
      <alignment horizontal="left" vertical="top"/>
    </xf>
    <xf numFmtId="0" fontId="41" fillId="2" borderId="9" xfId="0" applyFont="1" applyFill="1" applyBorder="1" applyAlignment="1">
      <alignment horizontal="left" vertical="top"/>
    </xf>
    <xf numFmtId="0" fontId="41" fillId="2" borderId="12" xfId="0" applyFont="1" applyFill="1" applyBorder="1" applyAlignment="1">
      <alignment horizontal="left" vertical="top"/>
    </xf>
    <xf numFmtId="0" fontId="39" fillId="2" borderId="40" xfId="0" applyFont="1" applyFill="1" applyBorder="1" applyAlignment="1">
      <alignment horizontal="center"/>
    </xf>
    <xf numFmtId="0" fontId="0" fillId="0" borderId="42" xfId="0" applyBorder="1" applyAlignment="1">
      <alignment horizontal="center"/>
    </xf>
    <xf numFmtId="0" fontId="39" fillId="2" borderId="1" xfId="0" applyFont="1" applyFill="1" applyBorder="1" applyAlignment="1">
      <alignment horizontal="center"/>
    </xf>
    <xf numFmtId="0" fontId="39" fillId="2" borderId="14" xfId="0" applyFont="1" applyFill="1" applyBorder="1" applyAlignment="1">
      <alignment horizontal="center"/>
    </xf>
    <xf numFmtId="0" fontId="39" fillId="2" borderId="15" xfId="0" applyFont="1" applyFill="1" applyBorder="1" applyAlignment="1">
      <alignment horizontal="center"/>
    </xf>
    <xf numFmtId="0" fontId="39" fillId="2" borderId="16" xfId="0" applyFont="1" applyFill="1" applyBorder="1" applyAlignment="1">
      <alignment horizontal="center"/>
    </xf>
    <xf numFmtId="0" fontId="39" fillId="2" borderId="41" xfId="0" applyFont="1" applyFill="1" applyBorder="1" applyAlignment="1">
      <alignment horizontal="center"/>
    </xf>
    <xf numFmtId="0" fontId="39" fillId="2" borderId="42" xfId="0" applyFont="1" applyFill="1" applyBorder="1" applyAlignment="1">
      <alignment horizontal="center"/>
    </xf>
    <xf numFmtId="0" fontId="39" fillId="2" borderId="3" xfId="0" applyFont="1" applyFill="1" applyBorder="1" applyAlignment="1">
      <alignment horizontal="center"/>
    </xf>
    <xf numFmtId="0" fontId="96" fillId="2" borderId="0" xfId="0" applyFont="1" applyFill="1" applyAlignment="1">
      <alignment horizontal="left" wrapText="1"/>
    </xf>
    <xf numFmtId="0" fontId="39" fillId="2" borderId="14" xfId="0" applyFont="1" applyFill="1" applyBorder="1" applyAlignment="1">
      <alignment horizontal="center" wrapText="1"/>
    </xf>
    <xf numFmtId="0" fontId="39" fillId="2" borderId="15" xfId="0" applyFont="1" applyFill="1" applyBorder="1" applyAlignment="1">
      <alignment horizontal="center" wrapText="1"/>
    </xf>
    <xf numFmtId="0" fontId="39" fillId="2" borderId="16" xfId="0" applyFont="1" applyFill="1" applyBorder="1" applyAlignment="1">
      <alignment horizontal="center" wrapText="1"/>
    </xf>
    <xf numFmtId="0" fontId="6" fillId="5" borderId="31" xfId="0" applyFont="1" applyFill="1" applyBorder="1" applyAlignment="1">
      <alignment horizontal="center" wrapText="1"/>
    </xf>
    <xf numFmtId="0" fontId="6" fillId="5" borderId="49" xfId="0" applyFont="1" applyFill="1" applyBorder="1" applyAlignment="1">
      <alignment horizontal="center" wrapText="1"/>
    </xf>
    <xf numFmtId="0" fontId="39" fillId="2" borderId="2" xfId="0" applyFont="1" applyFill="1" applyBorder="1" applyAlignment="1">
      <alignment horizontal="center"/>
    </xf>
    <xf numFmtId="0" fontId="39" fillId="2" borderId="6" xfId="0" applyFont="1" applyFill="1" applyBorder="1" applyAlignment="1">
      <alignment horizontal="center"/>
    </xf>
    <xf numFmtId="0" fontId="39" fillId="2" borderId="7" xfId="0" applyFont="1" applyFill="1" applyBorder="1" applyAlignment="1">
      <alignment horizontal="center"/>
    </xf>
    <xf numFmtId="0" fontId="39" fillId="2" borderId="0" xfId="0" applyFont="1" applyFill="1" applyAlignment="1">
      <alignment horizontal="center"/>
    </xf>
    <xf numFmtId="3" fontId="5" fillId="2" borderId="0" xfId="0" applyNumberFormat="1" applyFont="1" applyFill="1" applyAlignment="1">
      <alignment horizontal="left"/>
    </xf>
    <xf numFmtId="0" fontId="62" fillId="2" borderId="0" xfId="0" applyFont="1" applyFill="1" applyAlignment="1">
      <alignment horizontal="left" vertical="top" wrapText="1"/>
    </xf>
    <xf numFmtId="0" fontId="63" fillId="2" borderId="1" xfId="0" applyFont="1" applyFill="1" applyBorder="1" applyAlignment="1">
      <alignment horizontal="center"/>
    </xf>
    <xf numFmtId="0" fontId="62" fillId="2" borderId="0" xfId="0" applyFont="1" applyFill="1" applyAlignment="1">
      <alignment horizontal="left" wrapText="1"/>
    </xf>
    <xf numFmtId="0" fontId="96" fillId="2" borderId="0" xfId="0" applyFont="1" applyFill="1" applyAlignment="1">
      <alignment wrapText="1"/>
    </xf>
    <xf numFmtId="0" fontId="37" fillId="13" borderId="14" xfId="0" applyFont="1" applyFill="1" applyBorder="1" applyAlignment="1">
      <alignment horizontal="center"/>
    </xf>
    <xf numFmtId="0" fontId="37" fillId="13" borderId="15" xfId="0" applyFont="1" applyFill="1" applyBorder="1" applyAlignment="1">
      <alignment horizontal="center"/>
    </xf>
    <xf numFmtId="0" fontId="37" fillId="13" borderId="16" xfId="0" applyFont="1" applyFill="1" applyBorder="1" applyAlignment="1">
      <alignment horizontal="center"/>
    </xf>
    <xf numFmtId="0" fontId="30" fillId="9" borderId="2" xfId="0" applyFont="1" applyFill="1" applyBorder="1" applyAlignment="1">
      <alignment horizontal="left" wrapText="1"/>
    </xf>
    <xf numFmtId="0" fontId="30" fillId="9" borderId="7" xfId="0" applyFont="1" applyFill="1" applyBorder="1" applyAlignment="1">
      <alignment horizontal="left" wrapText="1"/>
    </xf>
    <xf numFmtId="0" fontId="20" fillId="9" borderId="3" xfId="0" applyFont="1" applyFill="1" applyBorder="1" applyAlignment="1">
      <alignment horizontal="center" wrapText="1"/>
    </xf>
    <xf numFmtId="0" fontId="20" fillId="9" borderId="8" xfId="0" applyFont="1" applyFill="1" applyBorder="1" applyAlignment="1">
      <alignment horizontal="center" wrapText="1"/>
    </xf>
    <xf numFmtId="0" fontId="37" fillId="13" borderId="1" xfId="0" applyFont="1" applyFill="1" applyBorder="1" applyAlignment="1">
      <alignment horizontal="center"/>
    </xf>
    <xf numFmtId="0" fontId="30" fillId="2" borderId="0" xfId="0" applyFont="1" applyFill="1" applyAlignment="1">
      <alignment horizontal="left" wrapText="1"/>
    </xf>
    <xf numFmtId="3" fontId="30" fillId="9" borderId="7" xfId="0" applyNumberFormat="1" applyFont="1" applyFill="1" applyBorder="1" applyAlignment="1">
      <alignment horizontal="left" wrapText="1"/>
    </xf>
    <xf numFmtId="3" fontId="30" fillId="9" borderId="1" xfId="0" applyNumberFormat="1" applyFont="1" applyFill="1" applyBorder="1" applyAlignment="1">
      <alignment horizontal="left" wrapText="1"/>
    </xf>
    <xf numFmtId="0" fontId="37" fillId="13" borderId="2" xfId="0" applyFont="1" applyFill="1" applyBorder="1" applyAlignment="1">
      <alignment horizontal="center"/>
    </xf>
    <xf numFmtId="0" fontId="37" fillId="13" borderId="6" xfId="0" applyFont="1" applyFill="1" applyBorder="1" applyAlignment="1">
      <alignment horizontal="center"/>
    </xf>
    <xf numFmtId="0" fontId="37" fillId="13" borderId="7" xfId="0" applyFont="1" applyFill="1" applyBorder="1" applyAlignment="1">
      <alignment horizontal="center"/>
    </xf>
    <xf numFmtId="3" fontId="30" fillId="9" borderId="6" xfId="0" applyNumberFormat="1" applyFont="1" applyFill="1" applyBorder="1" applyAlignment="1">
      <alignment horizontal="left" wrapText="1"/>
    </xf>
    <xf numFmtId="3" fontId="30" fillId="9" borderId="2" xfId="0" applyNumberFormat="1" applyFont="1" applyFill="1" applyBorder="1" applyAlignment="1">
      <alignment horizontal="left" wrapText="1"/>
    </xf>
    <xf numFmtId="0" fontId="13" fillId="13" borderId="1" xfId="0" applyFont="1" applyFill="1" applyBorder="1" applyAlignment="1">
      <alignment horizontal="left" wrapText="1"/>
    </xf>
    <xf numFmtId="0" fontId="30" fillId="2" borderId="13" xfId="0" applyFont="1" applyFill="1" applyBorder="1" applyAlignment="1">
      <alignment horizontal="left" wrapText="1"/>
    </xf>
    <xf numFmtId="0" fontId="30" fillId="2" borderId="8" xfId="0" applyFont="1" applyFill="1" applyBorder="1" applyAlignment="1">
      <alignment horizontal="left" wrapText="1"/>
    </xf>
    <xf numFmtId="0" fontId="30" fillId="2" borderId="12" xfId="0" applyFont="1" applyFill="1" applyBorder="1" applyAlignment="1">
      <alignment horizontal="left" wrapText="1"/>
    </xf>
    <xf numFmtId="0" fontId="13" fillId="13" borderId="2" xfId="0" applyFont="1" applyFill="1" applyBorder="1" applyAlignment="1">
      <alignment horizontal="left" wrapText="1"/>
    </xf>
    <xf numFmtId="0" fontId="0" fillId="0" borderId="7" xfId="0" applyBorder="1" applyAlignment="1">
      <alignment horizontal="left" wrapText="1"/>
    </xf>
    <xf numFmtId="0" fontId="17" fillId="2" borderId="0" xfId="0" applyFont="1" applyFill="1" applyAlignment="1">
      <alignment horizontal="center" vertical="center" textRotation="90"/>
    </xf>
    <xf numFmtId="0" fontId="13" fillId="13" borderId="2" xfId="0" applyFont="1" applyFill="1" applyBorder="1" applyAlignment="1">
      <alignment horizontal="left"/>
    </xf>
    <xf numFmtId="0" fontId="13" fillId="13" borderId="7" xfId="0" applyFont="1" applyFill="1" applyBorder="1" applyAlignment="1">
      <alignment horizontal="left"/>
    </xf>
    <xf numFmtId="0" fontId="13" fillId="13" borderId="15" xfId="0" applyFont="1" applyFill="1" applyBorder="1" applyAlignment="1">
      <alignment horizontal="left" wrapText="1"/>
    </xf>
    <xf numFmtId="0" fontId="0" fillId="0" borderId="16" xfId="0" applyBorder="1" applyAlignment="1">
      <alignment horizontal="left" wrapText="1"/>
    </xf>
    <xf numFmtId="0" fontId="93" fillId="2" borderId="0" xfId="0" applyFont="1" applyFill="1" applyAlignment="1">
      <alignment horizontal="left" wrapText="1"/>
    </xf>
    <xf numFmtId="0" fontId="93" fillId="6" borderId="0" xfId="0" applyFont="1" applyFill="1" applyAlignment="1">
      <alignment vertical="center" wrapText="1"/>
    </xf>
    <xf numFmtId="0" fontId="94" fillId="0" borderId="0" xfId="0" applyFont="1" applyAlignment="1">
      <alignment vertical="center" wrapText="1"/>
    </xf>
    <xf numFmtId="3" fontId="1" fillId="2" borderId="0" xfId="0" applyNumberFormat="1" applyFont="1" applyFill="1" applyAlignment="1">
      <alignment horizontal="left" wrapText="1"/>
    </xf>
    <xf numFmtId="3" fontId="1" fillId="2" borderId="0" xfId="0" applyNumberFormat="1" applyFont="1" applyFill="1" applyAlignment="1">
      <alignment horizontal="left" vertical="top" wrapText="1"/>
    </xf>
    <xf numFmtId="0" fontId="93" fillId="6" borderId="0" xfId="0" applyFont="1" applyFill="1" applyAlignment="1">
      <alignment horizontal="left" vertical="top" wrapText="1"/>
    </xf>
    <xf numFmtId="0" fontId="21" fillId="2" borderId="6" xfId="0" applyFont="1" applyFill="1" applyBorder="1" applyAlignment="1">
      <alignment horizontal="center"/>
    </xf>
    <xf numFmtId="0" fontId="21" fillId="2" borderId="7" xfId="0" applyFont="1" applyFill="1" applyBorder="1" applyAlignment="1">
      <alignment horizontal="center"/>
    </xf>
    <xf numFmtId="0" fontId="30" fillId="9" borderId="1" xfId="0" applyFont="1" applyFill="1" applyBorder="1" applyAlignment="1">
      <alignment horizontal="left" wrapText="1"/>
    </xf>
    <xf numFmtId="0" fontId="30" fillId="9" borderId="6" xfId="0" applyFont="1" applyFill="1" applyBorder="1" applyAlignment="1">
      <alignment horizontal="left" wrapText="1"/>
    </xf>
    <xf numFmtId="0" fontId="13" fillId="13" borderId="1" xfId="0" applyFont="1" applyFill="1" applyBorder="1" applyAlignment="1">
      <alignment horizontal="center" wrapText="1"/>
    </xf>
    <xf numFmtId="0" fontId="55" fillId="9" borderId="14" xfId="0" applyFont="1" applyFill="1" applyBorder="1" applyAlignment="1">
      <alignment horizontal="left" vertical="top" wrapText="1"/>
    </xf>
    <xf numFmtId="0" fontId="55" fillId="9" borderId="16" xfId="0" applyFont="1" applyFill="1" applyBorder="1" applyAlignment="1">
      <alignment horizontal="left" vertical="top" wrapText="1"/>
    </xf>
    <xf numFmtId="0" fontId="55" fillId="9" borderId="9" xfId="0" applyFont="1" applyFill="1" applyBorder="1" applyAlignment="1">
      <alignment horizontal="left" vertical="top" wrapText="1"/>
    </xf>
    <xf numFmtId="0" fontId="55" fillId="9" borderId="10" xfId="0" applyFont="1" applyFill="1" applyBorder="1" applyAlignment="1">
      <alignment horizontal="left" vertical="top" wrapText="1"/>
    </xf>
    <xf numFmtId="0" fontId="55" fillId="9" borderId="12" xfId="0" applyFont="1" applyFill="1" applyBorder="1" applyAlignment="1">
      <alignment horizontal="left" vertical="top" wrapText="1"/>
    </xf>
    <xf numFmtId="0" fontId="55" fillId="9" borderId="13" xfId="0" applyFont="1" applyFill="1" applyBorder="1" applyAlignment="1">
      <alignment horizontal="left" vertical="top" wrapText="1"/>
    </xf>
    <xf numFmtId="0" fontId="92" fillId="18" borderId="9" xfId="0" applyFont="1" applyFill="1" applyBorder="1" applyAlignment="1">
      <alignment horizontal="center" vertical="center"/>
    </xf>
    <xf numFmtId="0" fontId="58" fillId="3" borderId="15" xfId="0" applyFont="1" applyFill="1" applyBorder="1" applyAlignment="1">
      <alignment horizontal="left" vertical="top"/>
    </xf>
    <xf numFmtId="0" fontId="58" fillId="3" borderId="0" xfId="0" applyFont="1" applyFill="1" applyAlignment="1">
      <alignment horizontal="left" vertical="top"/>
    </xf>
    <xf numFmtId="0" fontId="13" fillId="13" borderId="2" xfId="0" applyFont="1" applyFill="1" applyBorder="1"/>
    <xf numFmtId="0" fontId="0" fillId="0" borderId="7" xfId="0" applyBorder="1"/>
    <xf numFmtId="0" fontId="20" fillId="2" borderId="54" xfId="0" applyFont="1" applyFill="1" applyBorder="1"/>
    <xf numFmtId="0" fontId="0" fillId="0" borderId="0" xfId="0"/>
    <xf numFmtId="0" fontId="21" fillId="2" borderId="2" xfId="0" applyFont="1" applyFill="1" applyBorder="1" applyAlignment="1">
      <alignment horizontal="left"/>
    </xf>
    <xf numFmtId="0" fontId="21" fillId="2" borderId="6" xfId="0" applyFont="1" applyFill="1" applyBorder="1" applyAlignment="1">
      <alignment horizontal="left"/>
    </xf>
    <xf numFmtId="0" fontId="21" fillId="2" borderId="7" xfId="0" applyFont="1" applyFill="1" applyBorder="1" applyAlignment="1">
      <alignment horizontal="left"/>
    </xf>
    <xf numFmtId="0" fontId="13" fillId="13" borderId="39" xfId="0" applyFont="1" applyFill="1" applyBorder="1" applyAlignment="1">
      <alignment horizontal="left"/>
    </xf>
    <xf numFmtId="0" fontId="13" fillId="13" borderId="36" xfId="0" applyFont="1" applyFill="1" applyBorder="1" applyAlignment="1">
      <alignment horizontal="left"/>
    </xf>
    <xf numFmtId="0" fontId="13" fillId="13" borderId="39" xfId="0" applyFont="1" applyFill="1" applyBorder="1"/>
    <xf numFmtId="0" fontId="0" fillId="0" borderId="36" xfId="0" applyBorder="1"/>
    <xf numFmtId="0" fontId="20" fillId="18" borderId="39" xfId="0" applyFont="1" applyFill="1" applyBorder="1"/>
    <xf numFmtId="0" fontId="13" fillId="13" borderId="2" xfId="0" applyFont="1" applyFill="1" applyBorder="1" applyAlignment="1">
      <alignment wrapText="1"/>
    </xf>
    <xf numFmtId="0" fontId="0" fillId="0" borderId="7" xfId="0" applyBorder="1" applyAlignment="1">
      <alignment wrapText="1"/>
    </xf>
    <xf numFmtId="0" fontId="21" fillId="2" borderId="11" xfId="0" applyFont="1" applyFill="1" applyBorder="1" applyAlignment="1">
      <alignment horizontal="center"/>
    </xf>
    <xf numFmtId="0" fontId="77" fillId="13" borderId="14" xfId="0" applyFont="1" applyFill="1" applyBorder="1" applyAlignment="1">
      <alignment horizontal="center"/>
    </xf>
    <xf numFmtId="0" fontId="77" fillId="13" borderId="15" xfId="0" applyFont="1" applyFill="1" applyBorder="1" applyAlignment="1">
      <alignment horizontal="center"/>
    </xf>
    <xf numFmtId="0" fontId="77" fillId="13" borderId="16" xfId="0" applyFont="1" applyFill="1" applyBorder="1" applyAlignment="1">
      <alignment horizontal="center"/>
    </xf>
    <xf numFmtId="0" fontId="21" fillId="2" borderId="14" xfId="0" applyFont="1" applyFill="1" applyBorder="1" applyAlignment="1">
      <alignment horizontal="center"/>
    </xf>
    <xf numFmtId="0" fontId="21" fillId="2" borderId="15" xfId="0" applyFont="1" applyFill="1" applyBorder="1" applyAlignment="1">
      <alignment horizontal="center"/>
    </xf>
    <xf numFmtId="0" fontId="21" fillId="2" borderId="16" xfId="0" applyFont="1" applyFill="1" applyBorder="1" applyAlignment="1">
      <alignment horizontal="center"/>
    </xf>
    <xf numFmtId="0" fontId="21" fillId="2" borderId="2" xfId="0" applyFont="1" applyFill="1" applyBorder="1" applyAlignment="1">
      <alignment horizontal="center"/>
    </xf>
    <xf numFmtId="0" fontId="21" fillId="2" borderId="1" xfId="0" applyFont="1" applyFill="1" applyBorder="1" applyAlignment="1">
      <alignment horizontal="center"/>
    </xf>
    <xf numFmtId="0" fontId="37" fillId="14" borderId="2" xfId="0" applyFont="1" applyFill="1" applyBorder="1" applyAlignment="1">
      <alignment horizontal="center"/>
    </xf>
    <xf numFmtId="0" fontId="37" fillId="14" borderId="6" xfId="0" applyFont="1" applyFill="1" applyBorder="1" applyAlignment="1">
      <alignment horizontal="center"/>
    </xf>
    <xf numFmtId="0" fontId="37" fillId="14" borderId="7" xfId="0" applyFont="1" applyFill="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38" fillId="3" borderId="2" xfId="0" applyFont="1" applyFill="1" applyBorder="1" applyAlignment="1">
      <alignment horizontal="center"/>
    </xf>
    <xf numFmtId="0" fontId="38" fillId="3" borderId="6" xfId="0" applyFont="1" applyFill="1" applyBorder="1" applyAlignment="1">
      <alignment horizontal="center"/>
    </xf>
    <xf numFmtId="0" fontId="38" fillId="3" borderId="7" xfId="0" applyFont="1" applyFill="1" applyBorder="1" applyAlignment="1">
      <alignment horizontal="center"/>
    </xf>
    <xf numFmtId="0" fontId="0" fillId="0" borderId="15" xfId="0" applyBorder="1" applyAlignment="1">
      <alignment horizontal="center"/>
    </xf>
    <xf numFmtId="0" fontId="21" fillId="2" borderId="40" xfId="0" applyFont="1" applyFill="1" applyBorder="1" applyAlignment="1">
      <alignment horizontal="center"/>
    </xf>
    <xf numFmtId="0" fontId="0" fillId="0" borderId="41" xfId="0" applyBorder="1"/>
    <xf numFmtId="0" fontId="0" fillId="0" borderId="42" xfId="0" applyBorder="1"/>
    <xf numFmtId="0" fontId="37" fillId="13" borderId="9" xfId="0" applyFont="1" applyFill="1" applyBorder="1" applyAlignment="1">
      <alignment horizontal="center"/>
    </xf>
    <xf numFmtId="0" fontId="0" fillId="0" borderId="0" xfId="0" applyAlignment="1">
      <alignment horizontal="center"/>
    </xf>
    <xf numFmtId="0" fontId="77" fillId="5" borderId="40" xfId="0" applyFont="1" applyFill="1" applyBorder="1" applyAlignment="1">
      <alignment horizontal="center"/>
    </xf>
    <xf numFmtId="0" fontId="77" fillId="5" borderId="41" xfId="0" applyFont="1" applyFill="1" applyBorder="1" applyAlignment="1">
      <alignment horizontal="center"/>
    </xf>
    <xf numFmtId="0" fontId="77" fillId="5" borderId="42" xfId="0" applyFont="1" applyFill="1" applyBorder="1" applyAlignment="1">
      <alignment horizontal="center"/>
    </xf>
    <xf numFmtId="0" fontId="21" fillId="2" borderId="41" xfId="0" applyFont="1" applyFill="1" applyBorder="1" applyAlignment="1">
      <alignment horizontal="center"/>
    </xf>
    <xf numFmtId="0" fontId="21" fillId="2" borderId="42" xfId="0" applyFont="1" applyFill="1" applyBorder="1" applyAlignment="1">
      <alignment horizontal="center"/>
    </xf>
  </cellXfs>
  <cellStyles count="11">
    <cellStyle name="Background" xfId="7" xr:uid="{00000000-0005-0000-0000-000000000000}"/>
    <cellStyle name="Check Cell 2" xfId="6" xr:uid="{00000000-0005-0000-0000-000001000000}"/>
    <cellStyle name="Comma" xfId="3" builtinId="3"/>
    <cellStyle name="Heading 1 2" xfId="9" xr:uid="{00000000-0005-0000-0000-000003000000}"/>
    <cellStyle name="Heading 2 2" xfId="10" xr:uid="{00000000-0005-0000-0000-000004000000}"/>
    <cellStyle name="Hyperlink" xfId="1" builtinId="8"/>
    <cellStyle name="Normal" xfId="0" builtinId="0"/>
    <cellStyle name="Normal 2" xfId="8" xr:uid="{00000000-0005-0000-0000-000007000000}"/>
    <cellStyle name="Normal 2 2" xfId="5" xr:uid="{00000000-0005-0000-0000-000008000000}"/>
    <cellStyle name="Normal 3" xfId="4" xr:uid="{00000000-0005-0000-0000-000009000000}"/>
    <cellStyle name="Percent" xfId="2" builtinId="5"/>
  </cellStyles>
  <dxfs count="3734">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1" tint="0.24994659260841701"/>
      </font>
      <fill>
        <patternFill>
          <bgColor theme="1" tint="0.34998626667073579"/>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1" tint="0.24994659260841701"/>
      </font>
      <fill>
        <patternFill>
          <bgColor theme="1" tint="0.34998626667073579"/>
        </patternFill>
      </fill>
    </dxf>
    <dxf>
      <font>
        <color theme="0"/>
      </font>
      <fill>
        <patternFill>
          <bgColor rgb="FFDA2A2A"/>
        </patternFill>
      </fill>
    </dxf>
    <dxf>
      <font>
        <color theme="0"/>
      </font>
      <fill>
        <patternFill>
          <bgColor rgb="FFDA2A2A"/>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theme="1" tint="0.34998626667073579"/>
        </patternFill>
      </fill>
    </dxf>
    <dxf>
      <font>
        <color theme="0"/>
      </font>
      <fill>
        <patternFill>
          <bgColor rgb="FFDA2A2A"/>
        </patternFill>
      </fill>
    </dxf>
    <dxf>
      <font>
        <color theme="0"/>
      </font>
      <fill>
        <patternFill>
          <bgColor rgb="FFDA2A2A"/>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0"/>
      </font>
      <fill>
        <patternFill>
          <bgColor rgb="FFDA2A2A"/>
        </patternFill>
      </fill>
    </dxf>
    <dxf>
      <font>
        <color theme="0"/>
      </font>
      <fill>
        <patternFill>
          <bgColor rgb="FFDA2A2A"/>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theme="1" tint="0.34998626667073579"/>
        </patternFill>
      </fill>
    </dxf>
    <dxf>
      <font>
        <color theme="0"/>
      </font>
      <fill>
        <patternFill>
          <bgColor rgb="FFDA2A2A"/>
        </patternFill>
      </fill>
    </dxf>
    <dxf>
      <font>
        <color theme="0"/>
      </font>
      <fill>
        <patternFill>
          <bgColor rgb="FFDA2A2A"/>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theme="1" tint="0.34998626667073579"/>
        </patternFill>
      </fill>
    </dxf>
    <dxf>
      <font>
        <color theme="0"/>
      </font>
      <fill>
        <patternFill>
          <bgColor rgb="FFDA2A2A"/>
        </patternFill>
      </fill>
    </dxf>
    <dxf>
      <font>
        <color theme="0"/>
      </font>
      <fill>
        <patternFill>
          <bgColor rgb="FFDA2A2A"/>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0"/>
      </font>
      <fill>
        <patternFill>
          <bgColor rgb="FFDA2A2A"/>
        </patternFill>
      </fill>
    </dxf>
    <dxf>
      <font>
        <color theme="0"/>
      </font>
      <fill>
        <patternFill>
          <bgColor rgb="FFDA2A2A"/>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0"/>
      </font>
      <fill>
        <patternFill>
          <bgColor rgb="FFDA2A2A"/>
        </patternFill>
      </fill>
    </dxf>
    <dxf>
      <font>
        <color theme="0"/>
      </font>
      <fill>
        <patternFill>
          <bgColor rgb="FFDA2A2A"/>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theme="1" tint="0.34998626667073579"/>
        </patternFill>
      </fill>
    </dxf>
    <dxf>
      <font>
        <color theme="0"/>
      </font>
      <fill>
        <patternFill>
          <bgColor rgb="FFDA2A2A"/>
        </patternFill>
      </fill>
    </dxf>
    <dxf>
      <font>
        <color theme="0"/>
      </font>
      <fill>
        <patternFill>
          <bgColor rgb="FFDA2A2A"/>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theme="1" tint="0.34998626667073579"/>
        </patternFill>
      </fill>
    </dxf>
    <dxf>
      <font>
        <color theme="0"/>
      </font>
      <fill>
        <patternFill>
          <bgColor rgb="FFDA2A2A"/>
        </patternFill>
      </fill>
    </dxf>
    <dxf>
      <font>
        <color theme="0"/>
      </font>
      <fill>
        <patternFill>
          <bgColor rgb="FFDA2A2A"/>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rgb="FFFEF09C"/>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FBD803"/>
        </patternFill>
      </fill>
    </dxf>
    <dxf>
      <font>
        <color theme="0"/>
      </font>
      <fill>
        <patternFill>
          <bgColor rgb="FF48B84D"/>
        </patternFill>
      </fill>
    </dxf>
    <dxf>
      <font>
        <color theme="1" tint="0.24994659260841701"/>
      </font>
      <fill>
        <patternFill>
          <bgColor rgb="FFFBD803"/>
        </patternFill>
      </fill>
    </dxf>
    <dxf>
      <font>
        <color theme="0"/>
      </font>
      <fill>
        <patternFill>
          <bgColor rgb="FF48B84D"/>
        </patternFill>
      </fill>
    </dxf>
    <dxf>
      <font>
        <color theme="0"/>
      </font>
      <fill>
        <patternFill>
          <bgColor rgb="FFDA2A2A"/>
        </patternFill>
      </fill>
    </dxf>
    <dxf>
      <font>
        <color theme="0"/>
      </font>
      <fill>
        <patternFill>
          <bgColor rgb="FFDA2A2A"/>
        </patternFill>
      </fill>
    </dxf>
    <dxf>
      <font>
        <color theme="1" tint="0.24994659260841701"/>
      </font>
      <fill>
        <patternFill>
          <bgColor rgb="FFFBD803"/>
        </patternFill>
      </fill>
    </dxf>
    <dxf>
      <font>
        <color theme="0"/>
      </font>
      <fill>
        <patternFill>
          <bgColor rgb="FF48B84D"/>
        </patternFill>
      </fill>
    </dxf>
    <dxf>
      <font>
        <color theme="1" tint="0.24994659260841701"/>
      </font>
      <fill>
        <patternFill>
          <bgColor rgb="FFFBD803"/>
        </patternFill>
      </fill>
    </dxf>
    <dxf>
      <font>
        <color theme="0"/>
      </font>
      <fill>
        <patternFill>
          <bgColor rgb="FF48B84D"/>
        </patternFill>
      </fill>
    </dxf>
    <dxf>
      <font>
        <color theme="0"/>
      </font>
      <fill>
        <patternFill>
          <bgColor rgb="FFDA2A2A"/>
        </patternFill>
      </fill>
    </dxf>
    <dxf>
      <font>
        <color theme="0"/>
      </font>
      <fill>
        <patternFill>
          <bgColor rgb="FFDA2A2A"/>
        </patternFill>
      </fill>
    </dxf>
    <dxf>
      <font>
        <color theme="1" tint="0.24994659260841701"/>
      </font>
      <fill>
        <patternFill>
          <bgColor rgb="FFFBD803"/>
        </patternFill>
      </fill>
    </dxf>
    <dxf>
      <font>
        <color theme="0"/>
      </font>
      <fill>
        <patternFill>
          <bgColor rgb="FF48B84D"/>
        </patternFill>
      </fill>
    </dxf>
    <dxf>
      <font>
        <color theme="1" tint="0.24994659260841701"/>
      </font>
      <fill>
        <patternFill>
          <bgColor rgb="FFFBD803"/>
        </patternFill>
      </fill>
    </dxf>
    <dxf>
      <font>
        <color theme="0"/>
      </font>
      <fill>
        <patternFill>
          <bgColor rgb="FF48B84D"/>
        </patternFill>
      </fill>
    </dxf>
    <dxf>
      <font>
        <color theme="0"/>
      </font>
      <fill>
        <patternFill>
          <bgColor rgb="FFDA2A2A"/>
        </patternFill>
      </fill>
    </dxf>
    <dxf>
      <font>
        <color theme="0"/>
      </font>
      <fill>
        <patternFill>
          <bgColor rgb="FFDA2A2A"/>
        </patternFill>
      </fill>
    </dxf>
    <dxf>
      <font>
        <color theme="1" tint="0.24994659260841701"/>
      </font>
      <fill>
        <patternFill>
          <bgColor rgb="FFFBD803"/>
        </patternFill>
      </fill>
    </dxf>
    <dxf>
      <font>
        <color theme="0"/>
      </font>
      <fill>
        <patternFill>
          <bgColor rgb="FF48B84D"/>
        </patternFill>
      </fill>
    </dxf>
    <dxf>
      <font>
        <color theme="0"/>
      </font>
      <fill>
        <patternFill>
          <bgColor rgb="FF48B84D"/>
        </patternFill>
      </fill>
    </dxf>
    <dxf>
      <font>
        <color theme="1" tint="0.24994659260841701"/>
      </font>
      <fill>
        <patternFill>
          <bgColor rgb="FFFBD803"/>
        </patternFill>
      </fill>
    </dxf>
    <dxf>
      <font>
        <color theme="0"/>
      </font>
      <fill>
        <patternFill>
          <bgColor rgb="FFDA2A2A"/>
        </patternFill>
      </fill>
    </dxf>
    <dxf>
      <font>
        <color theme="0"/>
      </font>
      <fill>
        <patternFill>
          <bgColor rgb="FFDA2A2A"/>
        </patternFill>
      </fill>
    </dxf>
    <dxf>
      <font>
        <color theme="0"/>
      </font>
      <fill>
        <patternFill>
          <bgColor rgb="FF48B84D"/>
        </patternFill>
      </fill>
    </dxf>
    <dxf>
      <font>
        <color theme="1" tint="0.24994659260841701"/>
      </font>
      <fill>
        <patternFill>
          <bgColor rgb="FFFBD803"/>
        </patternFill>
      </fill>
    </dxf>
    <dxf>
      <font>
        <color theme="1" tint="0.24994659260841701"/>
      </font>
      <fill>
        <patternFill>
          <bgColor rgb="FFFBD803"/>
        </patternFill>
      </fill>
    </dxf>
    <dxf>
      <font>
        <color theme="0"/>
      </font>
      <fill>
        <patternFill>
          <bgColor rgb="FF48B84D"/>
        </patternFill>
      </fill>
    </dxf>
    <dxf>
      <font>
        <color theme="0"/>
      </font>
      <fill>
        <patternFill>
          <bgColor rgb="FFDA2A2A"/>
        </patternFill>
      </fill>
    </dxf>
    <dxf>
      <font>
        <color theme="0"/>
      </font>
      <fill>
        <patternFill>
          <bgColor rgb="FFDA2A2A"/>
        </patternFill>
      </fill>
    </dxf>
    <dxf>
      <font>
        <color theme="0"/>
      </font>
      <fill>
        <patternFill>
          <bgColor rgb="FF48B84D"/>
        </patternFill>
      </fill>
    </dxf>
    <dxf>
      <font>
        <color theme="1" tint="0.24994659260841701"/>
      </font>
      <fill>
        <patternFill>
          <bgColor rgb="FFFBD803"/>
        </patternFill>
      </fill>
    </dxf>
    <dxf>
      <font>
        <color theme="0"/>
      </font>
      <fill>
        <patternFill>
          <bgColor rgb="FF48B84D"/>
        </patternFill>
      </fill>
    </dxf>
    <dxf>
      <font>
        <color theme="1" tint="0.24994659260841701"/>
      </font>
      <fill>
        <patternFill>
          <bgColor rgb="FFFBD803"/>
        </patternFill>
      </fill>
    </dxf>
    <dxf>
      <font>
        <color theme="0"/>
      </font>
      <fill>
        <patternFill>
          <bgColor rgb="FFDA2A2A"/>
        </patternFill>
      </fill>
    </dxf>
    <dxf>
      <font>
        <color theme="0"/>
      </font>
      <fill>
        <patternFill>
          <bgColor rgb="FFDA2A2A"/>
        </patternFill>
      </fill>
    </dxf>
    <dxf>
      <font>
        <color theme="0"/>
      </font>
      <fill>
        <patternFill>
          <bgColor rgb="FF48B84D"/>
        </patternFill>
      </fill>
    </dxf>
    <dxf>
      <font>
        <color theme="1" tint="0.24994659260841701"/>
      </font>
      <fill>
        <patternFill>
          <bgColor rgb="FFFBD803"/>
        </patternFill>
      </fill>
    </dxf>
    <dxf>
      <font>
        <color theme="0"/>
      </font>
      <fill>
        <patternFill>
          <bgColor rgb="FF48B84D"/>
        </patternFill>
      </fill>
    </dxf>
    <dxf>
      <font>
        <color theme="1" tint="0.24994659260841701"/>
      </font>
      <fill>
        <patternFill>
          <bgColor rgb="FFFBD803"/>
        </patternFill>
      </fill>
    </dxf>
    <dxf>
      <font>
        <color theme="0"/>
      </font>
      <fill>
        <patternFill>
          <bgColor rgb="FFDA2A2A"/>
        </patternFill>
      </fill>
    </dxf>
    <dxf>
      <font>
        <color theme="0"/>
      </font>
      <fill>
        <patternFill>
          <bgColor rgb="FFDA2A2A"/>
        </patternFill>
      </fill>
    </dxf>
    <dxf>
      <font>
        <color theme="0"/>
      </font>
      <fill>
        <patternFill>
          <bgColor rgb="FF48B84D"/>
        </patternFill>
      </fill>
    </dxf>
    <dxf>
      <font>
        <color theme="1" tint="0.24994659260841701"/>
      </font>
      <fill>
        <patternFill>
          <bgColor rgb="FFFBD803"/>
        </patternFill>
      </fill>
    </dxf>
    <dxf>
      <font>
        <color theme="0"/>
      </font>
      <fill>
        <patternFill>
          <bgColor rgb="FF48B84D"/>
        </patternFill>
      </fill>
    </dxf>
    <dxf>
      <font>
        <color theme="1" tint="0.24994659260841701"/>
      </font>
      <fill>
        <patternFill>
          <bgColor rgb="FFFBD803"/>
        </patternFill>
      </fill>
    </dxf>
    <dxf>
      <font>
        <color theme="0"/>
      </font>
      <fill>
        <patternFill>
          <bgColor rgb="FFDA2A2A"/>
        </patternFill>
      </fill>
    </dxf>
    <dxf>
      <font>
        <color theme="0"/>
      </font>
      <fill>
        <patternFill>
          <bgColor rgb="FFDA2A2A"/>
        </patternFill>
      </fill>
    </dxf>
    <dxf>
      <font>
        <color theme="0"/>
      </font>
      <fill>
        <patternFill>
          <bgColor rgb="FF48B84D"/>
        </patternFill>
      </fill>
    </dxf>
    <dxf>
      <font>
        <color theme="1" tint="0.24994659260841701"/>
      </font>
      <fill>
        <patternFill>
          <bgColor rgb="FFFBD803"/>
        </patternFill>
      </fill>
    </dxf>
    <dxf>
      <font>
        <color theme="1" tint="0.24994659260841701"/>
      </font>
      <fill>
        <patternFill>
          <bgColor rgb="FFFBD803"/>
        </patternFill>
      </fill>
    </dxf>
    <dxf>
      <font>
        <color theme="0"/>
      </font>
      <fill>
        <patternFill>
          <bgColor rgb="FF48B84D"/>
        </patternFill>
      </fill>
    </dxf>
    <dxf>
      <font>
        <color theme="0"/>
      </font>
      <fill>
        <patternFill>
          <bgColor rgb="FFDA2A2A"/>
        </patternFill>
      </fill>
    </dxf>
    <dxf>
      <font>
        <color theme="0"/>
      </font>
      <fill>
        <patternFill>
          <bgColor rgb="FFDA2A2A"/>
        </patternFill>
      </fill>
    </dxf>
    <dxf>
      <font>
        <color theme="0"/>
      </font>
      <fill>
        <patternFill>
          <bgColor rgb="FF48B84D"/>
        </patternFill>
      </fill>
    </dxf>
    <dxf>
      <font>
        <color theme="1" tint="0.24994659260841701"/>
      </font>
      <fill>
        <patternFill>
          <bgColor rgb="FFFBD803"/>
        </patternFill>
      </fill>
    </dxf>
    <dxf>
      <font>
        <color theme="0"/>
      </font>
      <fill>
        <patternFill>
          <bgColor rgb="FF48B84D"/>
        </patternFill>
      </fill>
    </dxf>
    <dxf>
      <font>
        <color theme="1" tint="0.24994659260841701"/>
      </font>
      <fill>
        <patternFill>
          <bgColor rgb="FFFBD803"/>
        </patternFill>
      </fill>
    </dxf>
    <dxf>
      <font>
        <color theme="0"/>
      </font>
      <fill>
        <patternFill>
          <bgColor rgb="FFDA2A2A"/>
        </patternFill>
      </fill>
    </dxf>
    <dxf>
      <font>
        <color theme="0"/>
      </font>
      <fill>
        <patternFill>
          <bgColor rgb="FFDA2A2A"/>
        </patternFill>
      </fill>
    </dxf>
    <dxf>
      <font>
        <color theme="0"/>
      </font>
      <fill>
        <patternFill>
          <bgColor rgb="FF48B84D"/>
        </patternFill>
      </fill>
    </dxf>
    <dxf>
      <font>
        <color theme="1" tint="0.24994659260841701"/>
      </font>
      <fill>
        <patternFill>
          <bgColor rgb="FFFBD803"/>
        </patternFill>
      </fill>
    </dxf>
    <dxf>
      <font>
        <color theme="0"/>
      </font>
      <fill>
        <patternFill>
          <bgColor rgb="FF48B84D"/>
        </patternFill>
      </fill>
    </dxf>
    <dxf>
      <font>
        <color theme="1" tint="0.24994659260841701"/>
      </font>
      <fill>
        <patternFill>
          <bgColor rgb="FFFBD803"/>
        </patternFill>
      </fill>
    </dxf>
    <dxf>
      <font>
        <color theme="0"/>
      </font>
      <fill>
        <patternFill>
          <bgColor rgb="FFDA2A2A"/>
        </patternFill>
      </fill>
    </dxf>
    <dxf>
      <font>
        <color theme="0"/>
      </font>
      <fill>
        <patternFill>
          <bgColor rgb="FFDA2A2A"/>
        </patternFill>
      </fill>
    </dxf>
    <dxf>
      <font>
        <color theme="1" tint="0.24994659260841701"/>
      </font>
      <fill>
        <patternFill>
          <bgColor rgb="FFFBD803"/>
        </patternFill>
      </fill>
    </dxf>
    <dxf>
      <font>
        <color theme="0"/>
      </font>
      <fill>
        <patternFill>
          <bgColor rgb="FF48B84D"/>
        </patternFill>
      </fill>
    </dxf>
    <dxf>
      <font>
        <color theme="0"/>
      </font>
      <fill>
        <patternFill>
          <bgColor rgb="FF48B84D"/>
        </patternFill>
      </fill>
    </dxf>
    <dxf>
      <font>
        <color theme="1" tint="0.24994659260841701"/>
      </font>
      <fill>
        <patternFill>
          <bgColor rgb="FFFBD803"/>
        </patternFill>
      </fill>
    </dxf>
    <dxf>
      <font>
        <color theme="0"/>
      </font>
      <fill>
        <patternFill>
          <bgColor rgb="FFDA2A2A"/>
        </patternFill>
      </fill>
    </dxf>
    <dxf>
      <font>
        <color theme="0"/>
      </font>
      <fill>
        <patternFill>
          <bgColor rgb="FFDA2A2A"/>
        </patternFill>
      </fill>
    </dxf>
    <dxf>
      <font>
        <color theme="1" tint="0.24994659260841701"/>
      </font>
      <fill>
        <patternFill>
          <bgColor rgb="FFFBD803"/>
        </patternFill>
      </fill>
    </dxf>
    <dxf>
      <font>
        <color theme="0"/>
      </font>
      <fill>
        <patternFill>
          <bgColor rgb="FF48B84D"/>
        </patternFill>
      </fill>
    </dxf>
    <dxf>
      <font>
        <color theme="1" tint="0.24994659260841701"/>
      </font>
      <fill>
        <patternFill>
          <bgColor rgb="FFFBD803"/>
        </patternFill>
      </fill>
    </dxf>
    <dxf>
      <font>
        <color theme="0"/>
      </font>
      <fill>
        <patternFill>
          <bgColor rgb="FF48B84D"/>
        </patternFill>
      </fill>
    </dxf>
    <dxf>
      <font>
        <color theme="0"/>
      </font>
      <fill>
        <patternFill>
          <bgColor rgb="FFDA2A2A"/>
        </patternFill>
      </fill>
    </dxf>
    <dxf>
      <font>
        <color theme="0"/>
      </font>
      <fill>
        <patternFill>
          <bgColor rgb="FFDA2A2A"/>
        </patternFill>
      </fill>
    </dxf>
    <dxf>
      <font>
        <color theme="0"/>
      </font>
      <fill>
        <patternFill>
          <bgColor rgb="FF48B84D"/>
        </patternFill>
      </fill>
    </dxf>
    <dxf>
      <font>
        <color theme="1" tint="0.24994659260841701"/>
      </font>
      <fill>
        <patternFill>
          <bgColor rgb="FFFBD803"/>
        </patternFill>
      </fill>
    </dxf>
    <dxf>
      <font>
        <color theme="1" tint="0.24994659260841701"/>
      </font>
      <fill>
        <patternFill>
          <bgColor rgb="FFFBD803"/>
        </patternFill>
      </fill>
    </dxf>
    <dxf>
      <font>
        <color theme="0"/>
      </font>
      <fill>
        <patternFill>
          <bgColor rgb="FF48B84D"/>
        </patternFill>
      </fill>
    </dxf>
    <dxf>
      <font>
        <color theme="0"/>
      </font>
      <fill>
        <patternFill>
          <bgColor rgb="FFDA2A2A"/>
        </patternFill>
      </fill>
    </dxf>
    <dxf>
      <font>
        <color theme="0"/>
      </font>
      <fill>
        <patternFill>
          <bgColor rgb="FFDA2A2A"/>
        </patternFill>
      </fill>
    </dxf>
    <dxf>
      <font>
        <color theme="0"/>
      </font>
      <fill>
        <patternFill>
          <bgColor rgb="FF48B84D"/>
        </patternFill>
      </fill>
    </dxf>
    <dxf>
      <font>
        <color theme="1" tint="0.24994659260841701"/>
      </font>
      <fill>
        <patternFill>
          <bgColor rgb="FFFBD803"/>
        </patternFill>
      </fill>
    </dxf>
    <dxf>
      <font>
        <color theme="1" tint="0.24994659260841701"/>
      </font>
      <fill>
        <patternFill>
          <bgColor rgb="FFFBD803"/>
        </patternFill>
      </fill>
    </dxf>
    <dxf>
      <font>
        <color theme="0"/>
      </font>
      <fill>
        <patternFill>
          <bgColor rgb="FF48B84D"/>
        </patternFill>
      </fill>
    </dxf>
    <dxf>
      <font>
        <color theme="0"/>
      </font>
      <fill>
        <patternFill>
          <bgColor rgb="FFDA2A2A"/>
        </patternFill>
      </fill>
    </dxf>
    <dxf>
      <font>
        <color theme="0"/>
      </font>
      <fill>
        <patternFill>
          <bgColor rgb="FFDA2A2A"/>
        </patternFill>
      </fill>
    </dxf>
    <dxf>
      <font>
        <color theme="1" tint="0.24994659260841701"/>
      </font>
      <fill>
        <patternFill>
          <bgColor rgb="FFFBD803"/>
        </patternFill>
      </fill>
    </dxf>
    <dxf>
      <font>
        <color theme="0"/>
      </font>
      <fill>
        <patternFill>
          <bgColor rgb="FF48B84D"/>
        </patternFill>
      </fill>
    </dxf>
    <dxf>
      <font>
        <color theme="1" tint="0.24994659260841701"/>
      </font>
      <fill>
        <patternFill>
          <bgColor rgb="FFFBD803"/>
        </patternFill>
      </fill>
    </dxf>
    <dxf>
      <font>
        <color theme="0"/>
      </font>
      <fill>
        <patternFill>
          <bgColor rgb="FF48B84D"/>
        </patternFill>
      </fill>
    </dxf>
    <dxf>
      <font>
        <color theme="0"/>
      </font>
      <fill>
        <patternFill>
          <bgColor rgb="FFDA2A2A"/>
        </patternFill>
      </fill>
    </dxf>
    <dxf>
      <font>
        <color theme="0"/>
      </font>
      <fill>
        <patternFill>
          <bgColor rgb="FFDA2A2A"/>
        </patternFill>
      </fill>
    </dxf>
    <dxf>
      <font>
        <color theme="1" tint="0.24994659260841701"/>
      </font>
      <fill>
        <patternFill>
          <bgColor rgb="FFFBD803"/>
        </patternFill>
      </fill>
    </dxf>
    <dxf>
      <font>
        <color theme="0"/>
      </font>
      <fill>
        <patternFill>
          <bgColor rgb="FF48B84D"/>
        </patternFill>
      </fill>
    </dxf>
    <dxf>
      <font>
        <color theme="0"/>
      </font>
      <fill>
        <patternFill>
          <bgColor rgb="FF48B84D"/>
        </patternFill>
      </fill>
    </dxf>
    <dxf>
      <font>
        <color theme="1" tint="0.24994659260841701"/>
      </font>
      <fill>
        <patternFill>
          <bgColor rgb="FFFBD803"/>
        </patternFill>
      </fill>
    </dxf>
    <dxf>
      <font>
        <color theme="0"/>
      </font>
      <fill>
        <patternFill>
          <bgColor rgb="FFDA2A2A"/>
        </patternFill>
      </fill>
    </dxf>
    <dxf>
      <font>
        <color theme="0"/>
      </font>
      <fill>
        <patternFill>
          <bgColor rgb="FFDA2A2A"/>
        </patternFill>
      </fill>
    </dxf>
    <dxf>
      <font>
        <color theme="1" tint="0.24994659260841701"/>
      </font>
      <fill>
        <patternFill>
          <bgColor rgb="FFFBD803"/>
        </patternFill>
      </fill>
    </dxf>
    <dxf>
      <font>
        <color theme="0"/>
      </font>
      <fill>
        <patternFill>
          <bgColor rgb="FF48B84D"/>
        </patternFill>
      </fill>
    </dxf>
    <dxf>
      <font>
        <color theme="1" tint="0.24994659260841701"/>
      </font>
      <fill>
        <patternFill>
          <bgColor rgb="FFFBD803"/>
        </patternFill>
      </fill>
    </dxf>
    <dxf>
      <font>
        <color theme="0"/>
      </font>
      <fill>
        <patternFill>
          <bgColor rgb="FF48B84D"/>
        </patternFill>
      </fill>
    </dxf>
    <dxf>
      <font>
        <color theme="0"/>
      </font>
      <fill>
        <patternFill>
          <bgColor rgb="FFDA2A2A"/>
        </patternFill>
      </fill>
    </dxf>
    <dxf>
      <font>
        <color theme="0"/>
      </font>
      <fill>
        <patternFill>
          <bgColor rgb="FFDA2A2A"/>
        </patternFill>
      </fill>
    </dxf>
    <dxf>
      <font>
        <color theme="0"/>
      </font>
      <fill>
        <patternFill>
          <bgColor rgb="FF48B84D"/>
        </patternFill>
      </fill>
    </dxf>
    <dxf>
      <font>
        <color theme="1" tint="0.24994659260841701"/>
      </font>
      <fill>
        <patternFill>
          <bgColor rgb="FFFBD803"/>
        </patternFill>
      </fill>
    </dxf>
    <dxf>
      <font>
        <color theme="0"/>
      </font>
      <fill>
        <patternFill>
          <bgColor rgb="FF48B84D"/>
        </patternFill>
      </fill>
    </dxf>
    <dxf>
      <font>
        <color theme="1" tint="0.24994659260841701"/>
      </font>
      <fill>
        <patternFill>
          <bgColor rgb="FFFBD803"/>
        </patternFill>
      </fill>
    </dxf>
    <dxf>
      <font>
        <color theme="0"/>
      </font>
      <fill>
        <patternFill>
          <bgColor rgb="FFDA2A2A"/>
        </patternFill>
      </fill>
    </dxf>
    <dxf>
      <font>
        <color theme="0"/>
      </font>
      <fill>
        <patternFill>
          <bgColor rgb="FFDA2A2A"/>
        </patternFill>
      </fill>
    </dxf>
    <dxf>
      <font>
        <color theme="0"/>
      </font>
      <fill>
        <patternFill>
          <bgColor rgb="FF48B84D"/>
        </patternFill>
      </fill>
    </dxf>
    <dxf>
      <font>
        <color theme="1" tint="0.24994659260841701"/>
      </font>
      <fill>
        <patternFill>
          <bgColor rgb="FFFBD803"/>
        </patternFill>
      </fill>
    </dxf>
    <dxf>
      <font>
        <color theme="0"/>
      </font>
      <fill>
        <patternFill>
          <bgColor rgb="FF48B84D"/>
        </patternFill>
      </fill>
    </dxf>
    <dxf>
      <font>
        <color theme="1" tint="0.24994659260841701"/>
      </font>
      <fill>
        <patternFill>
          <bgColor rgb="FFFBD803"/>
        </patternFill>
      </fill>
    </dxf>
    <dxf>
      <font>
        <color theme="0"/>
      </font>
      <fill>
        <patternFill>
          <bgColor rgb="FFDA2A2A"/>
        </patternFill>
      </fill>
    </dxf>
    <dxf>
      <font>
        <color theme="0"/>
      </font>
      <fill>
        <patternFill>
          <bgColor rgb="FFDA2A2A"/>
        </patternFill>
      </fill>
    </dxf>
    <dxf>
      <font>
        <color theme="0"/>
      </font>
      <fill>
        <patternFill>
          <bgColor rgb="FF48B84D"/>
        </patternFill>
      </fill>
    </dxf>
    <dxf>
      <font>
        <color theme="1" tint="0.24994659260841701"/>
      </font>
      <fill>
        <patternFill>
          <bgColor rgb="FFFBD803"/>
        </patternFill>
      </fill>
    </dxf>
    <dxf>
      <font>
        <color theme="0"/>
      </font>
      <fill>
        <patternFill>
          <bgColor rgb="FF48B84D"/>
        </patternFill>
      </fill>
    </dxf>
    <dxf>
      <font>
        <color theme="1" tint="0.24994659260841701"/>
      </font>
      <fill>
        <patternFill>
          <bgColor rgb="FFFBD803"/>
        </patternFill>
      </fill>
    </dxf>
    <dxf>
      <font>
        <color theme="0"/>
      </font>
      <fill>
        <patternFill>
          <bgColor rgb="FFDA2A2A"/>
        </patternFill>
      </fill>
    </dxf>
    <dxf>
      <font>
        <color theme="0"/>
      </font>
      <fill>
        <patternFill>
          <bgColor rgb="FFDA2A2A"/>
        </patternFill>
      </fill>
    </dxf>
    <dxf>
      <font>
        <color theme="1" tint="0.24994659260841701"/>
      </font>
      <fill>
        <patternFill>
          <bgColor rgb="FFFBD803"/>
        </patternFill>
      </fill>
    </dxf>
    <dxf>
      <font>
        <color theme="0"/>
      </font>
      <fill>
        <patternFill>
          <bgColor rgb="FF48B84D"/>
        </patternFill>
      </fill>
    </dxf>
    <dxf>
      <font>
        <color theme="0"/>
      </font>
      <fill>
        <patternFill>
          <bgColor rgb="FF48B84D"/>
        </patternFill>
      </fill>
    </dxf>
    <dxf>
      <font>
        <color theme="1" tint="0.24994659260841701"/>
      </font>
      <fill>
        <patternFill>
          <bgColor rgb="FFFBD803"/>
        </patternFill>
      </fill>
    </dxf>
    <dxf>
      <font>
        <color theme="0"/>
      </font>
      <fill>
        <patternFill>
          <bgColor rgb="FFDA2A2A"/>
        </patternFill>
      </fill>
    </dxf>
    <dxf>
      <font>
        <color theme="0"/>
      </font>
      <fill>
        <patternFill>
          <bgColor rgb="FFDA2A2A"/>
        </patternFill>
      </fill>
    </dxf>
    <dxf>
      <font>
        <color theme="1" tint="0.24994659260841701"/>
      </font>
      <fill>
        <patternFill>
          <bgColor rgb="FFFBD803"/>
        </patternFill>
      </fill>
    </dxf>
    <dxf>
      <font>
        <color theme="0"/>
      </font>
      <fill>
        <patternFill>
          <bgColor rgb="FF48B84D"/>
        </patternFill>
      </fill>
    </dxf>
    <dxf>
      <font>
        <color theme="1" tint="0.24994659260841701"/>
      </font>
      <fill>
        <patternFill>
          <bgColor rgb="FFFBD803"/>
        </patternFill>
      </fill>
    </dxf>
    <dxf>
      <font>
        <color theme="0"/>
      </font>
      <fill>
        <patternFill>
          <bgColor rgb="FF48B84D"/>
        </patternFill>
      </fill>
    </dxf>
    <dxf>
      <font>
        <color theme="0"/>
      </font>
      <fill>
        <patternFill>
          <bgColor rgb="FFDA2A2A"/>
        </patternFill>
      </fill>
    </dxf>
    <dxf>
      <font>
        <color theme="0"/>
      </font>
      <fill>
        <patternFill>
          <bgColor rgb="FFDA2A2A"/>
        </patternFill>
      </fill>
    </dxf>
    <dxf>
      <font>
        <color theme="0"/>
      </font>
      <fill>
        <patternFill>
          <bgColor rgb="FF48B84D"/>
        </patternFill>
      </fill>
    </dxf>
    <dxf>
      <font>
        <color theme="1" tint="0.24994659260841701"/>
      </font>
      <fill>
        <patternFill>
          <bgColor rgb="FFFBD803"/>
        </patternFill>
      </fill>
    </dxf>
    <dxf>
      <font>
        <color theme="0"/>
      </font>
      <fill>
        <patternFill>
          <bgColor rgb="FF48B84D"/>
        </patternFill>
      </fill>
    </dxf>
    <dxf>
      <font>
        <color theme="1" tint="0.24994659260841701"/>
      </font>
      <fill>
        <patternFill>
          <bgColor rgb="FFFBD803"/>
        </patternFill>
      </fill>
    </dxf>
    <dxf>
      <font>
        <color theme="0"/>
      </font>
      <fill>
        <patternFill>
          <bgColor rgb="FFDA2A2A"/>
        </patternFill>
      </fill>
    </dxf>
    <dxf>
      <font>
        <color theme="0"/>
      </font>
      <fill>
        <patternFill>
          <bgColor rgb="FFDA2A2A"/>
        </patternFill>
      </fill>
    </dxf>
    <dxf>
      <font>
        <color theme="0"/>
      </font>
      <fill>
        <patternFill>
          <bgColor rgb="FF48B84D"/>
        </patternFill>
      </fill>
    </dxf>
    <dxf>
      <font>
        <color theme="1" tint="0.24994659260841701"/>
      </font>
      <fill>
        <patternFill>
          <bgColor rgb="FFFBD803"/>
        </patternFill>
      </fill>
    </dxf>
    <dxf>
      <font>
        <color theme="0"/>
      </font>
      <fill>
        <patternFill>
          <bgColor rgb="FF48B84D"/>
        </patternFill>
      </fill>
    </dxf>
    <dxf>
      <font>
        <color theme="1" tint="0.24994659260841701"/>
      </font>
      <fill>
        <patternFill>
          <bgColor rgb="FFFBD803"/>
        </patternFill>
      </fill>
    </dxf>
    <dxf>
      <font>
        <color theme="0"/>
      </font>
      <fill>
        <patternFill>
          <bgColor rgb="FFDA2A2A"/>
        </patternFill>
      </fill>
    </dxf>
    <dxf>
      <font>
        <color theme="0"/>
      </font>
      <fill>
        <patternFill>
          <bgColor rgb="FFDA2A2A"/>
        </patternFill>
      </fill>
    </dxf>
    <dxf>
      <font>
        <color theme="0"/>
      </font>
      <fill>
        <patternFill>
          <bgColor rgb="FF48B84D"/>
        </patternFill>
      </fill>
    </dxf>
    <dxf>
      <font>
        <color theme="1" tint="0.24994659260841701"/>
      </font>
      <fill>
        <patternFill>
          <bgColor rgb="FFFBD803"/>
        </patternFill>
      </fill>
    </dxf>
    <dxf>
      <font>
        <color theme="0"/>
      </font>
      <fill>
        <patternFill>
          <bgColor rgb="FF48B84D"/>
        </patternFill>
      </fill>
    </dxf>
    <dxf>
      <font>
        <color theme="1" tint="0.24994659260841701"/>
      </font>
      <fill>
        <patternFill>
          <bgColor rgb="FFFBD803"/>
        </patternFill>
      </fill>
    </dxf>
    <dxf>
      <font>
        <color theme="0"/>
      </font>
      <fill>
        <patternFill>
          <bgColor rgb="FFDA2A2A"/>
        </patternFill>
      </fill>
    </dxf>
    <dxf>
      <font>
        <color theme="0"/>
      </font>
      <fill>
        <patternFill>
          <bgColor rgb="FFDA2A2A"/>
        </patternFill>
      </fill>
    </dxf>
    <dxf>
      <font>
        <color theme="1" tint="0.24994659260841701"/>
      </font>
      <fill>
        <patternFill>
          <bgColor rgb="FFFBD803"/>
        </patternFill>
      </fill>
    </dxf>
    <dxf>
      <font>
        <color theme="0"/>
      </font>
      <fill>
        <patternFill>
          <bgColor rgb="FF48B84D"/>
        </patternFill>
      </fill>
    </dxf>
    <dxf>
      <font>
        <color theme="1" tint="0.24994659260841701"/>
      </font>
      <fill>
        <patternFill>
          <bgColor rgb="FFFBD803"/>
        </patternFill>
      </fill>
    </dxf>
    <dxf>
      <font>
        <color theme="0"/>
      </font>
      <fill>
        <patternFill>
          <bgColor rgb="FF48B84D"/>
        </patternFill>
      </fill>
    </dxf>
    <dxf>
      <font>
        <color theme="0"/>
      </font>
      <fill>
        <patternFill>
          <bgColor rgb="FFDA2A2A"/>
        </patternFill>
      </fill>
    </dxf>
    <dxf>
      <font>
        <color theme="0"/>
      </font>
      <fill>
        <patternFill>
          <bgColor rgb="FFDA2A2A"/>
        </patternFill>
      </fill>
    </dxf>
    <dxf>
      <font>
        <color theme="1" tint="0.24994659260841701"/>
      </font>
      <fill>
        <patternFill>
          <bgColor rgb="FFFBD803"/>
        </patternFill>
      </fill>
    </dxf>
    <dxf>
      <font>
        <color theme="0"/>
      </font>
      <fill>
        <patternFill>
          <bgColor rgb="FF48B84D"/>
        </patternFill>
      </fill>
    </dxf>
    <dxf>
      <font>
        <color theme="0"/>
      </font>
      <fill>
        <patternFill>
          <bgColor rgb="FF48B84D"/>
        </patternFill>
      </fill>
    </dxf>
    <dxf>
      <font>
        <color theme="1" tint="0.24994659260841701"/>
      </font>
      <fill>
        <patternFill>
          <bgColor rgb="FFFBD803"/>
        </patternFill>
      </fill>
    </dxf>
    <dxf>
      <font>
        <color theme="0"/>
      </font>
      <fill>
        <patternFill>
          <bgColor rgb="FFDA2A2A"/>
        </patternFill>
      </fill>
    </dxf>
    <dxf>
      <font>
        <color theme="0"/>
      </font>
      <fill>
        <patternFill>
          <bgColor rgb="FFDA2A2A"/>
        </patternFill>
      </fill>
    </dxf>
    <dxf>
      <font>
        <color theme="0"/>
      </font>
      <fill>
        <patternFill>
          <bgColor rgb="FF48B84D"/>
        </patternFill>
      </fill>
    </dxf>
    <dxf>
      <font>
        <color theme="1" tint="0.24994659260841701"/>
      </font>
      <fill>
        <patternFill>
          <bgColor rgb="FFFBD803"/>
        </patternFill>
      </fill>
    </dxf>
    <dxf>
      <font>
        <color theme="0"/>
      </font>
      <fill>
        <patternFill>
          <bgColor rgb="FF48B84D"/>
        </patternFill>
      </fill>
    </dxf>
    <dxf>
      <font>
        <color theme="1" tint="0.24994659260841701"/>
      </font>
      <fill>
        <patternFill>
          <bgColor rgb="FFFBD803"/>
        </patternFill>
      </fill>
    </dxf>
    <dxf>
      <font>
        <color theme="0"/>
      </font>
      <fill>
        <patternFill>
          <bgColor rgb="FFDA2A2A"/>
        </patternFill>
      </fill>
    </dxf>
    <dxf>
      <font>
        <color theme="0"/>
      </font>
      <fill>
        <patternFill>
          <bgColor rgb="FFDA2A2A"/>
        </patternFill>
      </fill>
    </dxf>
    <dxf>
      <font>
        <color theme="1" tint="0.24994659260841701"/>
      </font>
      <fill>
        <patternFill>
          <bgColor rgb="FFFBD803"/>
        </patternFill>
      </fill>
    </dxf>
    <dxf>
      <font>
        <color theme="0"/>
      </font>
      <fill>
        <patternFill>
          <bgColor rgb="FF48B84D"/>
        </patternFill>
      </fill>
    </dxf>
    <dxf>
      <font>
        <color theme="1" tint="0.24994659260841701"/>
      </font>
      <fill>
        <patternFill>
          <bgColor rgb="FFFBD803"/>
        </patternFill>
      </fill>
    </dxf>
    <dxf>
      <font>
        <color theme="0"/>
      </font>
      <fill>
        <patternFill>
          <bgColor rgb="FF48B84D"/>
        </patternFill>
      </fill>
    </dxf>
    <dxf>
      <font>
        <color theme="0"/>
      </font>
      <fill>
        <patternFill>
          <bgColor rgb="FFDA2A2A"/>
        </patternFill>
      </fill>
    </dxf>
    <dxf>
      <font>
        <color theme="0"/>
      </font>
      <fill>
        <patternFill>
          <bgColor rgb="FFDA2A2A"/>
        </patternFill>
      </fill>
    </dxf>
    <dxf>
      <font>
        <color theme="0"/>
      </font>
      <fill>
        <patternFill>
          <bgColor rgb="FF48B84D"/>
        </patternFill>
      </fill>
    </dxf>
    <dxf>
      <font>
        <color theme="1" tint="0.24994659260841701"/>
      </font>
      <fill>
        <patternFill>
          <bgColor rgb="FFFBD803"/>
        </patternFill>
      </fill>
    </dxf>
    <dxf>
      <font>
        <color theme="0"/>
      </font>
      <fill>
        <patternFill>
          <bgColor rgb="FF48B84D"/>
        </patternFill>
      </fill>
    </dxf>
    <dxf>
      <font>
        <color theme="1" tint="0.24994659260841701"/>
      </font>
      <fill>
        <patternFill>
          <bgColor rgb="FFFBD803"/>
        </patternFill>
      </fill>
    </dxf>
    <dxf>
      <font>
        <color theme="0"/>
      </font>
      <fill>
        <patternFill>
          <bgColor rgb="FFDA2A2A"/>
        </patternFill>
      </fill>
    </dxf>
    <dxf>
      <font>
        <color theme="0"/>
      </font>
      <fill>
        <patternFill>
          <bgColor rgb="FFDA2A2A"/>
        </patternFill>
      </fill>
    </dxf>
    <dxf>
      <font>
        <color theme="1" tint="0.24994659260841701"/>
      </font>
      <fill>
        <patternFill>
          <bgColor rgb="FFFBD803"/>
        </patternFill>
      </fill>
    </dxf>
    <dxf>
      <font>
        <color theme="0"/>
      </font>
      <fill>
        <patternFill>
          <bgColor rgb="FF48B84D"/>
        </patternFill>
      </fill>
    </dxf>
    <dxf>
      <font>
        <color theme="1" tint="0.24994659260841701"/>
      </font>
      <fill>
        <patternFill>
          <bgColor rgb="FFFBD803"/>
        </patternFill>
      </fill>
    </dxf>
    <dxf>
      <font>
        <color theme="0"/>
      </font>
      <fill>
        <patternFill>
          <bgColor rgb="FF48B84D"/>
        </patternFill>
      </fill>
    </dxf>
    <dxf>
      <font>
        <color theme="0"/>
      </font>
      <fill>
        <patternFill>
          <bgColor rgb="FFDA2A2A"/>
        </patternFill>
      </fill>
    </dxf>
    <dxf>
      <font>
        <color theme="0"/>
      </font>
      <fill>
        <patternFill>
          <bgColor rgb="FFDA2A2A"/>
        </patternFill>
      </fill>
    </dxf>
    <dxf>
      <font>
        <color theme="0"/>
      </font>
      <fill>
        <patternFill>
          <bgColor rgb="FF48B84D"/>
        </patternFill>
      </fill>
    </dxf>
    <dxf>
      <font>
        <color theme="1" tint="0.24994659260841701"/>
      </font>
      <fill>
        <patternFill>
          <bgColor rgb="FFFBD803"/>
        </patternFill>
      </fill>
    </dxf>
    <dxf>
      <font>
        <color theme="1" tint="0.24994659260841701"/>
      </font>
      <fill>
        <patternFill>
          <bgColor rgb="FFFBD803"/>
        </patternFill>
      </fill>
    </dxf>
    <dxf>
      <font>
        <color theme="0"/>
      </font>
      <fill>
        <patternFill>
          <bgColor rgb="FF48B84D"/>
        </patternFill>
      </fill>
    </dxf>
    <dxf>
      <font>
        <color theme="0"/>
      </font>
      <fill>
        <patternFill>
          <bgColor rgb="FFDA2A2A"/>
        </patternFill>
      </fill>
    </dxf>
    <dxf>
      <font>
        <color theme="0"/>
      </font>
      <fill>
        <patternFill>
          <bgColor rgb="FFDA2A2A"/>
        </patternFill>
      </fill>
    </dxf>
    <dxf>
      <font>
        <color theme="0"/>
      </font>
      <fill>
        <patternFill>
          <bgColor rgb="FF48B84D"/>
        </patternFill>
      </fill>
    </dxf>
    <dxf>
      <font>
        <color theme="1" tint="0.24994659260841701"/>
      </font>
      <fill>
        <patternFill>
          <bgColor rgb="FFFBD803"/>
        </patternFill>
      </fill>
    </dxf>
    <dxf>
      <font>
        <color theme="1" tint="0.24994659260841701"/>
      </font>
      <fill>
        <patternFill>
          <bgColor rgb="FFFBD803"/>
        </patternFill>
      </fill>
    </dxf>
    <dxf>
      <font>
        <color theme="0"/>
      </font>
      <fill>
        <patternFill>
          <bgColor rgb="FF48B84D"/>
        </patternFill>
      </fill>
    </dxf>
    <dxf>
      <font>
        <color theme="0"/>
      </font>
      <fill>
        <patternFill>
          <bgColor rgb="FFDA2A2A"/>
        </patternFill>
      </fill>
    </dxf>
    <dxf>
      <font>
        <color theme="0"/>
      </font>
      <fill>
        <patternFill>
          <bgColor rgb="FFDA2A2A"/>
        </patternFill>
      </fill>
    </dxf>
    <dxf>
      <font>
        <color theme="0"/>
      </font>
      <fill>
        <patternFill>
          <bgColor rgb="FF48B84D"/>
        </patternFill>
      </fill>
    </dxf>
    <dxf>
      <font>
        <color theme="1" tint="0.24994659260841701"/>
      </font>
      <fill>
        <patternFill>
          <bgColor rgb="FFFBD803"/>
        </patternFill>
      </fill>
    </dxf>
    <dxf>
      <font>
        <color theme="1" tint="0.24994659260841701"/>
      </font>
      <fill>
        <patternFill>
          <bgColor rgb="FFFBD803"/>
        </patternFill>
      </fill>
    </dxf>
    <dxf>
      <font>
        <color theme="0"/>
      </font>
      <fill>
        <patternFill>
          <bgColor rgb="FF48B84D"/>
        </patternFill>
      </fill>
    </dxf>
    <dxf>
      <font>
        <color theme="0"/>
      </font>
      <fill>
        <patternFill>
          <bgColor rgb="FFDA2A2A"/>
        </patternFill>
      </fill>
    </dxf>
    <dxf>
      <font>
        <color theme="0"/>
      </font>
      <fill>
        <patternFill>
          <bgColor rgb="FFDA2A2A"/>
        </patternFill>
      </fill>
    </dxf>
    <dxf>
      <font>
        <color theme="1" tint="0.24994659260841701"/>
      </font>
      <fill>
        <patternFill>
          <bgColor rgb="FFFBD803"/>
        </patternFill>
      </fill>
    </dxf>
    <dxf>
      <font>
        <color theme="0"/>
      </font>
      <fill>
        <patternFill>
          <bgColor rgb="FF48B84D"/>
        </patternFill>
      </fill>
    </dxf>
    <dxf>
      <font>
        <color theme="1" tint="0.24994659260841701"/>
      </font>
      <fill>
        <patternFill>
          <bgColor rgb="FFFBD803"/>
        </patternFill>
      </fill>
    </dxf>
    <dxf>
      <font>
        <color theme="0"/>
      </font>
      <fill>
        <patternFill>
          <bgColor rgb="FF48B84D"/>
        </patternFill>
      </fill>
    </dxf>
    <dxf>
      <font>
        <color theme="0"/>
      </font>
      <fill>
        <patternFill>
          <bgColor rgb="FFDA2A2A"/>
        </patternFill>
      </fill>
    </dxf>
    <dxf>
      <font>
        <color theme="0"/>
      </font>
      <fill>
        <patternFill>
          <bgColor rgb="FFDA2A2A"/>
        </patternFill>
      </fill>
    </dxf>
    <dxf>
      <font>
        <color theme="0"/>
      </font>
      <fill>
        <patternFill>
          <bgColor rgb="FF48B84D"/>
        </patternFill>
      </fill>
    </dxf>
    <dxf>
      <font>
        <color theme="1" tint="0.24994659260841701"/>
      </font>
      <fill>
        <patternFill>
          <bgColor rgb="FFFBD803"/>
        </patternFill>
      </fill>
    </dxf>
    <dxf>
      <font>
        <color theme="1" tint="0.24994659260841701"/>
      </font>
      <fill>
        <patternFill>
          <bgColor rgb="FFFBD803"/>
        </patternFill>
      </fill>
    </dxf>
    <dxf>
      <font>
        <color theme="0"/>
      </font>
      <fill>
        <patternFill>
          <bgColor rgb="FF48B84D"/>
        </patternFill>
      </fill>
    </dxf>
    <dxf>
      <font>
        <color theme="0"/>
      </font>
      <fill>
        <patternFill>
          <bgColor rgb="FFDA2A2A"/>
        </patternFill>
      </fill>
    </dxf>
    <dxf>
      <font>
        <color theme="0"/>
      </font>
      <fill>
        <patternFill>
          <bgColor rgb="FFDA2A2A"/>
        </patternFill>
      </fill>
    </dxf>
    <dxf>
      <font>
        <color theme="0"/>
      </font>
      <fill>
        <patternFill>
          <bgColor rgb="FF48B84D"/>
        </patternFill>
      </fill>
    </dxf>
    <dxf>
      <font>
        <color theme="1" tint="0.24994659260841701"/>
      </font>
      <fill>
        <patternFill>
          <bgColor rgb="FFFBD803"/>
        </patternFill>
      </fill>
    </dxf>
    <dxf>
      <font>
        <color theme="0"/>
      </font>
      <fill>
        <patternFill>
          <bgColor rgb="FF48B84D"/>
        </patternFill>
      </fill>
    </dxf>
    <dxf>
      <font>
        <color theme="1" tint="0.24994659260841701"/>
      </font>
      <fill>
        <patternFill>
          <bgColor rgb="FFFBD803"/>
        </patternFill>
      </fill>
    </dxf>
    <dxf>
      <font>
        <color theme="0"/>
      </font>
      <fill>
        <patternFill>
          <bgColor rgb="FFDA2A2A"/>
        </patternFill>
      </fill>
    </dxf>
    <dxf>
      <font>
        <color theme="0"/>
      </font>
      <fill>
        <patternFill>
          <bgColor rgb="FFDA2A2A"/>
        </patternFill>
      </fill>
    </dxf>
    <dxf>
      <font>
        <color theme="0"/>
      </font>
      <fill>
        <patternFill>
          <bgColor rgb="FF48B84D"/>
        </patternFill>
      </fill>
    </dxf>
    <dxf>
      <font>
        <color theme="1" tint="0.24994659260841701"/>
      </font>
      <fill>
        <patternFill>
          <bgColor rgb="FFFBD803"/>
        </patternFill>
      </fill>
    </dxf>
    <dxf>
      <font>
        <color theme="0"/>
      </font>
      <fill>
        <patternFill>
          <bgColor rgb="FF48B84D"/>
        </patternFill>
      </fill>
    </dxf>
    <dxf>
      <font>
        <color theme="1" tint="0.24994659260841701"/>
      </font>
      <fill>
        <patternFill>
          <bgColor rgb="FFFBD803"/>
        </patternFill>
      </fill>
    </dxf>
    <dxf>
      <font>
        <color theme="0"/>
      </font>
      <fill>
        <patternFill>
          <bgColor rgb="FFDA2A2A"/>
        </patternFill>
      </fill>
    </dxf>
    <dxf>
      <font>
        <color theme="0"/>
      </font>
      <fill>
        <patternFill>
          <bgColor rgb="FFDA2A2A"/>
        </patternFill>
      </fill>
    </dxf>
    <dxf>
      <font>
        <color theme="0"/>
      </font>
      <fill>
        <patternFill>
          <bgColor rgb="FF48B84D"/>
        </patternFill>
      </fill>
    </dxf>
    <dxf>
      <font>
        <color theme="1" tint="0.24994659260841701"/>
      </font>
      <fill>
        <patternFill>
          <bgColor rgb="FFFBD803"/>
        </patternFill>
      </fill>
    </dxf>
    <dxf>
      <font>
        <color theme="1" tint="0.24994659260841701"/>
      </font>
      <fill>
        <patternFill>
          <bgColor rgb="FFFBD803"/>
        </patternFill>
      </fill>
    </dxf>
    <dxf>
      <font>
        <color theme="0"/>
      </font>
      <fill>
        <patternFill>
          <bgColor rgb="FF48B84D"/>
        </patternFill>
      </fill>
    </dxf>
    <dxf>
      <font>
        <color theme="0"/>
      </font>
      <fill>
        <patternFill>
          <bgColor rgb="FFDA2A2A"/>
        </patternFill>
      </fill>
    </dxf>
    <dxf>
      <font>
        <color theme="0"/>
      </font>
      <fill>
        <patternFill>
          <bgColor rgb="FFDA2A2A"/>
        </patternFill>
      </fill>
    </dxf>
    <dxf>
      <font>
        <color theme="1" tint="0.24994659260841701"/>
      </font>
      <fill>
        <patternFill>
          <bgColor rgb="FFFBD803"/>
        </patternFill>
      </fill>
    </dxf>
    <dxf>
      <font>
        <color theme="0"/>
      </font>
      <fill>
        <patternFill>
          <bgColor rgb="FF48B84D"/>
        </patternFill>
      </fill>
    </dxf>
    <dxf>
      <font>
        <color theme="0"/>
      </font>
      <fill>
        <patternFill>
          <bgColor rgb="FF48B84D"/>
        </patternFill>
      </fill>
    </dxf>
    <dxf>
      <font>
        <color theme="1" tint="0.24994659260841701"/>
      </font>
      <fill>
        <patternFill>
          <bgColor rgb="FFFBD803"/>
        </patternFill>
      </fill>
    </dxf>
    <dxf>
      <font>
        <color theme="0"/>
      </font>
      <fill>
        <patternFill>
          <bgColor rgb="FFDA2A2A"/>
        </patternFill>
      </fill>
    </dxf>
    <dxf>
      <font>
        <color theme="0"/>
      </font>
      <fill>
        <patternFill>
          <bgColor rgb="FFDA2A2A"/>
        </patternFill>
      </fill>
    </dxf>
    <dxf>
      <font>
        <color theme="1" tint="0.24994659260841701"/>
      </font>
      <fill>
        <patternFill>
          <bgColor rgb="FFFBD803"/>
        </patternFill>
      </fill>
    </dxf>
    <dxf>
      <font>
        <color theme="0"/>
      </font>
      <fill>
        <patternFill>
          <bgColor rgb="FF48B84D"/>
        </patternFill>
      </fill>
    </dxf>
    <dxf>
      <font>
        <color theme="0"/>
      </font>
      <fill>
        <patternFill>
          <bgColor rgb="FF48B84D"/>
        </patternFill>
      </fill>
    </dxf>
    <dxf>
      <font>
        <color theme="1" tint="0.24994659260841701"/>
      </font>
      <fill>
        <patternFill>
          <bgColor rgb="FFFBD803"/>
        </patternFill>
      </fill>
    </dxf>
    <dxf>
      <font>
        <color theme="0"/>
      </font>
      <fill>
        <patternFill>
          <bgColor rgb="FFDA2A2A"/>
        </patternFill>
      </fill>
    </dxf>
    <dxf>
      <font>
        <color theme="0"/>
      </font>
      <fill>
        <patternFill>
          <bgColor rgb="FFDA2A2A"/>
        </patternFill>
      </fill>
    </dxf>
    <dxf>
      <font>
        <color theme="0"/>
      </font>
      <fill>
        <patternFill>
          <bgColor rgb="FF48B84D"/>
        </patternFill>
      </fill>
    </dxf>
    <dxf>
      <font>
        <color theme="1" tint="0.24994659260841701"/>
      </font>
      <fill>
        <patternFill>
          <bgColor rgb="FFFBD803"/>
        </patternFill>
      </fill>
    </dxf>
    <dxf>
      <font>
        <color theme="0"/>
      </font>
      <fill>
        <patternFill>
          <bgColor rgb="FF48B84D"/>
        </patternFill>
      </fill>
    </dxf>
    <dxf>
      <font>
        <color theme="1" tint="0.24994659260841701"/>
      </font>
      <fill>
        <patternFill>
          <bgColor rgb="FFFBD803"/>
        </patternFill>
      </fill>
    </dxf>
    <dxf>
      <font>
        <color theme="0"/>
      </font>
      <fill>
        <patternFill>
          <bgColor rgb="FFDA2A2A"/>
        </patternFill>
      </fill>
    </dxf>
    <dxf>
      <font>
        <color theme="0"/>
      </font>
      <fill>
        <patternFill>
          <bgColor rgb="FFDA2A2A"/>
        </patternFill>
      </fill>
    </dxf>
    <dxf>
      <font>
        <color theme="1" tint="0.24994659260841701"/>
      </font>
      <fill>
        <patternFill>
          <bgColor rgb="FFFBD803"/>
        </patternFill>
      </fill>
    </dxf>
    <dxf>
      <font>
        <color theme="0"/>
      </font>
      <fill>
        <patternFill>
          <bgColor rgb="FF48B84D"/>
        </patternFill>
      </fill>
    </dxf>
    <dxf>
      <font>
        <color theme="0"/>
      </font>
      <fill>
        <patternFill>
          <bgColor rgb="FF48B84D"/>
        </patternFill>
      </fill>
    </dxf>
    <dxf>
      <font>
        <color theme="1" tint="0.24994659260841701"/>
      </font>
      <fill>
        <patternFill>
          <bgColor rgb="FFFBD803"/>
        </patternFill>
      </fill>
    </dxf>
    <dxf>
      <font>
        <color theme="0"/>
      </font>
      <fill>
        <patternFill>
          <bgColor rgb="FFDA2A2A"/>
        </patternFill>
      </fill>
    </dxf>
    <dxf>
      <font>
        <color theme="0"/>
      </font>
      <fill>
        <patternFill>
          <bgColor rgb="FFDA2A2A"/>
        </patternFill>
      </fill>
    </dxf>
    <dxf>
      <font>
        <color theme="0"/>
      </font>
      <fill>
        <patternFill>
          <bgColor rgb="FF48B84D"/>
        </patternFill>
      </fill>
    </dxf>
    <dxf>
      <font>
        <color theme="1" tint="0.24994659260841701"/>
      </font>
      <fill>
        <patternFill>
          <bgColor rgb="FFFBD803"/>
        </patternFill>
      </fill>
    </dxf>
    <dxf>
      <font>
        <color theme="0"/>
      </font>
      <fill>
        <patternFill>
          <bgColor rgb="FF48B84D"/>
        </patternFill>
      </fill>
    </dxf>
    <dxf>
      <font>
        <color theme="1" tint="0.24994659260841701"/>
      </font>
      <fill>
        <patternFill>
          <bgColor rgb="FFFBD803"/>
        </patternFill>
      </fill>
    </dxf>
    <dxf>
      <font>
        <color theme="0"/>
      </font>
      <fill>
        <patternFill>
          <bgColor rgb="FF48B84D"/>
        </patternFill>
      </fill>
    </dxf>
    <dxf>
      <font>
        <color theme="1" tint="0.24994659260841701"/>
      </font>
      <fill>
        <patternFill>
          <bgColor rgb="FFFBD803"/>
        </patternFill>
      </fill>
    </dxf>
    <dxf>
      <font>
        <color theme="1" tint="0.24994659260841701"/>
      </font>
      <fill>
        <patternFill>
          <bgColor rgb="FFFBD803"/>
        </patternFill>
      </fill>
    </dxf>
    <dxf>
      <font>
        <color theme="0"/>
      </font>
      <fill>
        <patternFill>
          <bgColor rgb="FF48B84D"/>
        </patternFill>
      </fill>
    </dxf>
    <dxf>
      <font>
        <color theme="1" tint="0.24994659260841701"/>
      </font>
      <fill>
        <patternFill>
          <bgColor theme="1" tint="0.34998626667073579"/>
        </patternFill>
      </fill>
    </dxf>
    <dxf>
      <font>
        <color theme="1" tint="0.24994659260841701"/>
      </font>
      <fill>
        <patternFill>
          <bgColor rgb="FFFBD803"/>
        </patternFill>
      </fill>
    </dxf>
    <dxf>
      <font>
        <color theme="0"/>
      </font>
      <fill>
        <patternFill>
          <bgColor rgb="FF48B84D"/>
        </patternFill>
      </fill>
    </dxf>
    <dxf>
      <font>
        <color theme="1" tint="0.24994659260841701"/>
      </font>
      <fill>
        <patternFill>
          <bgColor rgb="FFFBD803"/>
        </patternFill>
      </fill>
    </dxf>
    <dxf>
      <font>
        <color theme="0"/>
      </font>
      <fill>
        <patternFill>
          <bgColor rgb="FF48B84D"/>
        </patternFill>
      </fill>
    </dxf>
    <dxf>
      <font>
        <color theme="1" tint="0.24994659260841701"/>
      </font>
      <fill>
        <patternFill>
          <bgColor theme="1" tint="0.34998626667073579"/>
        </patternFill>
      </fill>
    </dxf>
    <dxf>
      <font>
        <color theme="1" tint="0.24994659260841701"/>
      </font>
      <fill>
        <patternFill>
          <bgColor rgb="FFFBD803"/>
        </patternFill>
      </fill>
    </dxf>
    <dxf>
      <font>
        <color theme="0"/>
      </font>
      <fill>
        <patternFill>
          <bgColor rgb="FF48B84D"/>
        </patternFill>
      </fill>
    </dxf>
    <dxf>
      <font>
        <color theme="1" tint="0.24994659260841701"/>
      </font>
      <fill>
        <patternFill>
          <bgColor rgb="FFFBD803"/>
        </patternFill>
      </fill>
    </dxf>
    <dxf>
      <font>
        <color theme="0"/>
      </font>
      <fill>
        <patternFill>
          <bgColor rgb="FF48B84D"/>
        </patternFill>
      </fill>
    </dxf>
    <dxf>
      <font>
        <color theme="1" tint="0.24994659260841701"/>
      </font>
      <fill>
        <patternFill>
          <bgColor theme="1" tint="0.34998626667073579"/>
        </patternFill>
      </fill>
    </dxf>
    <dxf>
      <font>
        <color theme="0"/>
      </font>
      <fill>
        <patternFill>
          <bgColor rgb="FF48B84D"/>
        </patternFill>
      </fill>
    </dxf>
    <dxf>
      <font>
        <color theme="1" tint="0.24994659260841701"/>
      </font>
      <fill>
        <patternFill>
          <bgColor rgb="FFFBD803"/>
        </patternFill>
      </fill>
    </dxf>
    <dxf>
      <font>
        <color theme="0"/>
      </font>
      <fill>
        <patternFill>
          <bgColor rgb="FF48B84D"/>
        </patternFill>
      </fill>
    </dxf>
    <dxf>
      <font>
        <color theme="1" tint="0.24994659260841701"/>
      </font>
      <fill>
        <patternFill>
          <bgColor rgb="FFFBD803"/>
        </patternFill>
      </fill>
    </dxf>
    <dxf>
      <font>
        <color theme="1" tint="0.24994659260841701"/>
      </font>
      <fill>
        <patternFill>
          <bgColor theme="1" tint="0.34998626667073579"/>
        </patternFill>
      </fill>
    </dxf>
    <dxf>
      <font>
        <color theme="1" tint="0.24994659260841701"/>
      </font>
      <fill>
        <patternFill>
          <bgColor rgb="FFFBD803"/>
        </patternFill>
      </fill>
    </dxf>
    <dxf>
      <font>
        <color theme="0"/>
      </font>
      <fill>
        <patternFill>
          <bgColor rgb="FF48B84D"/>
        </patternFill>
      </fill>
    </dxf>
    <dxf>
      <font>
        <color theme="0"/>
      </font>
      <fill>
        <patternFill>
          <bgColor rgb="FF48B84D"/>
        </patternFill>
      </fill>
    </dxf>
    <dxf>
      <font>
        <color theme="1" tint="0.24994659260841701"/>
      </font>
      <fill>
        <patternFill>
          <bgColor rgb="FFFBD803"/>
        </patternFill>
      </fill>
    </dxf>
    <dxf>
      <font>
        <color theme="1" tint="0.24994659260841701"/>
      </font>
      <fill>
        <patternFill>
          <bgColor theme="1" tint="0.34998626667073579"/>
        </patternFill>
      </fill>
    </dxf>
    <dxf>
      <font>
        <color theme="1" tint="0.24994659260841701"/>
      </font>
      <fill>
        <patternFill>
          <bgColor rgb="FFFBD803"/>
        </patternFill>
      </fill>
    </dxf>
    <dxf>
      <font>
        <color theme="0"/>
      </font>
      <fill>
        <patternFill>
          <bgColor rgb="FF48B84D"/>
        </patternFill>
      </fill>
    </dxf>
    <dxf>
      <font>
        <color theme="0"/>
      </font>
      <fill>
        <patternFill>
          <bgColor rgb="FF48B84D"/>
        </patternFill>
      </fill>
    </dxf>
    <dxf>
      <font>
        <color theme="1" tint="0.24994659260841701"/>
      </font>
      <fill>
        <patternFill>
          <bgColor rgb="FFFBD803"/>
        </patternFill>
      </fill>
    </dxf>
    <dxf>
      <font>
        <color theme="1" tint="0.24994659260841701"/>
      </font>
      <fill>
        <patternFill>
          <bgColor theme="1" tint="0.34998626667073579"/>
        </patternFill>
      </fill>
    </dxf>
    <dxf>
      <font>
        <color theme="1" tint="0.24994659260841701"/>
      </font>
      <fill>
        <patternFill>
          <bgColor rgb="FFFBD803"/>
        </patternFill>
      </fill>
    </dxf>
    <dxf>
      <font>
        <color theme="0"/>
      </font>
      <fill>
        <patternFill>
          <bgColor rgb="FF48B84D"/>
        </patternFill>
      </fill>
    </dxf>
    <dxf>
      <font>
        <color theme="0"/>
      </font>
      <fill>
        <patternFill>
          <bgColor rgb="FF48B84D"/>
        </patternFill>
      </fill>
    </dxf>
    <dxf>
      <font>
        <color theme="1" tint="0.24994659260841701"/>
      </font>
      <fill>
        <patternFill>
          <bgColor rgb="FFFBD803"/>
        </patternFill>
      </fill>
    </dxf>
    <dxf>
      <font>
        <color theme="1" tint="0.24994659260841701"/>
      </font>
      <fill>
        <patternFill>
          <bgColor theme="1" tint="0.34998626667073579"/>
        </patternFill>
      </fill>
    </dxf>
    <dxf>
      <font>
        <color theme="1" tint="0.24994659260841701"/>
      </font>
      <fill>
        <patternFill>
          <bgColor rgb="FFFBD803"/>
        </patternFill>
      </fill>
    </dxf>
    <dxf>
      <font>
        <color theme="0"/>
      </font>
      <fill>
        <patternFill>
          <bgColor rgb="FF48B84D"/>
        </patternFill>
      </fill>
    </dxf>
    <dxf>
      <font>
        <color theme="0"/>
      </font>
      <fill>
        <patternFill>
          <bgColor rgb="FF48B84D"/>
        </patternFill>
      </fill>
    </dxf>
    <dxf>
      <font>
        <color theme="1" tint="0.24994659260841701"/>
      </font>
      <fill>
        <patternFill>
          <bgColor rgb="FFFBD803"/>
        </patternFill>
      </fill>
    </dxf>
    <dxf>
      <font>
        <color theme="1" tint="0.24994659260841701"/>
      </font>
      <fill>
        <patternFill>
          <bgColor theme="1" tint="0.34998626667073579"/>
        </patternFill>
      </fill>
    </dxf>
    <dxf>
      <font>
        <color theme="0"/>
      </font>
      <fill>
        <patternFill>
          <bgColor rgb="FF48B84D"/>
        </patternFill>
      </fill>
    </dxf>
    <dxf>
      <font>
        <color theme="1" tint="0.24994659260841701"/>
      </font>
      <fill>
        <patternFill>
          <bgColor rgb="FFFBD803"/>
        </patternFill>
      </fill>
    </dxf>
    <dxf>
      <font>
        <color theme="1" tint="0.24994659260841701"/>
      </font>
      <fill>
        <patternFill>
          <bgColor rgb="FFFBD803"/>
        </patternFill>
      </fill>
    </dxf>
    <dxf>
      <font>
        <color theme="0"/>
      </font>
      <fill>
        <patternFill>
          <bgColor rgb="FF48B84D"/>
        </patternFill>
      </fill>
    </dxf>
    <dxf>
      <font>
        <color theme="1" tint="0.24994659260841701"/>
      </font>
      <fill>
        <patternFill>
          <bgColor theme="1" tint="0.34998626667073579"/>
        </patternFill>
      </fill>
    </dxf>
    <dxf>
      <font>
        <color theme="0"/>
      </font>
      <fill>
        <patternFill>
          <bgColor rgb="FF48B84D"/>
        </patternFill>
      </fill>
    </dxf>
    <dxf>
      <font>
        <color theme="1" tint="0.24994659260841701"/>
      </font>
      <fill>
        <patternFill>
          <bgColor rgb="FFFBD803"/>
        </patternFill>
      </fill>
    </dxf>
    <dxf>
      <font>
        <color theme="0"/>
      </font>
      <fill>
        <patternFill>
          <bgColor rgb="FF48B84D"/>
        </patternFill>
      </fill>
    </dxf>
    <dxf>
      <font>
        <color theme="1" tint="0.24994659260841701"/>
      </font>
      <fill>
        <patternFill>
          <bgColor rgb="FFFBD803"/>
        </patternFill>
      </fill>
    </dxf>
    <dxf>
      <font>
        <color theme="1" tint="0.24994659260841701"/>
      </font>
      <fill>
        <patternFill>
          <bgColor theme="1" tint="0.34998626667073579"/>
        </patternFill>
      </fill>
    </dxf>
    <dxf>
      <font>
        <color theme="0"/>
      </font>
      <fill>
        <patternFill>
          <bgColor rgb="FFDA2A2A"/>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2A"/>
        </patternFill>
      </fill>
    </dxf>
    <dxf>
      <font>
        <color theme="1" tint="0.24994659260841701"/>
      </font>
      <fill>
        <patternFill>
          <bgColor theme="1" tint="0.34998626667073579"/>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2A"/>
        </patternFill>
      </fill>
    </dxf>
    <dxf>
      <font>
        <color theme="1" tint="0.24994659260841701"/>
      </font>
      <fill>
        <patternFill>
          <bgColor theme="1" tint="0.34998626667073579"/>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2A"/>
        </patternFill>
      </fill>
    </dxf>
    <dxf>
      <font>
        <color theme="1" tint="0.24994659260841701"/>
      </font>
      <fill>
        <patternFill>
          <bgColor theme="1" tint="0.34998626667073579"/>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0"/>
      </font>
      <fill>
        <patternFill>
          <bgColor rgb="FFDA2A2A"/>
        </patternFill>
      </fill>
    </dxf>
    <dxf>
      <font>
        <color theme="0"/>
      </font>
      <fill>
        <patternFill>
          <bgColor rgb="FFDA2A2A"/>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0"/>
      </font>
      <fill>
        <patternFill>
          <bgColor rgb="FFDA2A2A"/>
        </patternFill>
      </fill>
    </dxf>
    <dxf>
      <font>
        <color theme="1" tint="0.24994659260841701"/>
      </font>
      <fill>
        <patternFill>
          <bgColor theme="1" tint="0.34998626667073579"/>
        </patternFill>
      </fill>
    </dxf>
    <dxf>
      <font>
        <color theme="0"/>
      </font>
      <fill>
        <patternFill>
          <bgColor rgb="FFDA2A2A"/>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0"/>
      </font>
      <fill>
        <patternFill>
          <bgColor rgb="FFDA2A2A"/>
        </patternFill>
      </fill>
    </dxf>
    <dxf>
      <font>
        <color theme="0"/>
      </font>
      <fill>
        <patternFill>
          <bgColor rgb="FFDA2A2A"/>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0"/>
      </font>
      <fill>
        <patternFill>
          <bgColor rgb="FFDA2A2A"/>
        </patternFill>
      </fill>
    </dxf>
    <dxf>
      <font>
        <color theme="0"/>
      </font>
      <fill>
        <patternFill>
          <bgColor rgb="FFDA2A2A"/>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0"/>
      </font>
      <fill>
        <patternFill>
          <bgColor rgb="FFDA2A2A"/>
        </patternFill>
      </fill>
    </dxf>
    <dxf>
      <font>
        <color theme="0"/>
      </font>
      <fill>
        <patternFill>
          <bgColor rgb="FFDA2A2A"/>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0"/>
      </font>
      <fill>
        <patternFill>
          <bgColor rgb="FFDA2A2A"/>
        </patternFill>
      </fill>
    </dxf>
    <dxf>
      <font>
        <color theme="0"/>
      </font>
      <fill>
        <patternFill>
          <bgColor rgb="FFDA2A2A"/>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0"/>
      </font>
      <fill>
        <patternFill>
          <bgColor rgb="FFDA2A2A"/>
        </patternFill>
      </fill>
    </dxf>
    <dxf>
      <font>
        <color theme="0"/>
      </font>
      <fill>
        <patternFill>
          <bgColor rgb="FFDA2A2A"/>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0"/>
      </font>
      <fill>
        <patternFill>
          <bgColor rgb="FFDA2A2A"/>
        </patternFill>
      </fill>
    </dxf>
    <dxf>
      <font>
        <color theme="0"/>
      </font>
      <fill>
        <patternFill>
          <bgColor rgb="FFDA2A2A"/>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0"/>
      </font>
      <fill>
        <patternFill>
          <bgColor rgb="FFDA2A2A"/>
        </patternFill>
      </fill>
    </dxf>
    <dxf>
      <font>
        <color theme="0"/>
      </font>
      <fill>
        <patternFill>
          <bgColor rgb="FFDA2A2A"/>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0"/>
      </font>
      <fill>
        <patternFill>
          <bgColor rgb="FFDA2A2A"/>
        </patternFill>
      </fill>
    </dxf>
    <dxf>
      <font>
        <color theme="0"/>
      </font>
      <fill>
        <patternFill>
          <bgColor rgb="FFDA2A2A"/>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0"/>
      </font>
      <fill>
        <patternFill>
          <bgColor rgb="FFDA2A2A"/>
        </patternFill>
      </fill>
    </dxf>
    <dxf>
      <font>
        <color theme="0"/>
      </font>
      <fill>
        <patternFill>
          <bgColor rgb="FFDA2A2A"/>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0"/>
      </font>
      <fill>
        <patternFill>
          <bgColor rgb="FFDA2A2A"/>
        </patternFill>
      </fill>
    </dxf>
    <dxf>
      <font>
        <color theme="0"/>
      </font>
      <fill>
        <patternFill>
          <bgColor rgb="FFDA2A2A"/>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0"/>
      </font>
      <fill>
        <patternFill>
          <bgColor rgb="FFDA2A2A"/>
        </patternFill>
      </fill>
    </dxf>
    <dxf>
      <font>
        <color theme="0"/>
      </font>
      <fill>
        <patternFill>
          <bgColor rgb="FFDA2A2A"/>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0"/>
      </font>
      <fill>
        <patternFill>
          <bgColor rgb="FFDA2A2A"/>
        </patternFill>
      </fill>
    </dxf>
    <dxf>
      <font>
        <color theme="0"/>
      </font>
      <fill>
        <patternFill>
          <bgColor rgb="FFDA2A2A"/>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0"/>
      </font>
      <fill>
        <patternFill>
          <bgColor rgb="FFDA2A2A"/>
        </patternFill>
      </fill>
    </dxf>
    <dxf>
      <font>
        <color theme="0"/>
      </font>
      <fill>
        <patternFill>
          <bgColor rgb="FFDA2A2A"/>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0"/>
      </font>
      <fill>
        <patternFill>
          <bgColor rgb="FFDA2A2A"/>
        </patternFill>
      </fill>
    </dxf>
    <dxf>
      <font>
        <color theme="0"/>
      </font>
      <fill>
        <patternFill>
          <bgColor rgb="FFDA2A2A"/>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0"/>
      </font>
      <fill>
        <patternFill>
          <bgColor rgb="FFDA2A2A"/>
        </patternFill>
      </fill>
    </dxf>
    <dxf>
      <font>
        <color theme="0"/>
      </font>
      <fill>
        <patternFill>
          <bgColor rgb="FFDA2A2A"/>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0"/>
      </font>
      <fill>
        <patternFill>
          <bgColor rgb="FFDA2A2A"/>
        </patternFill>
      </fill>
    </dxf>
    <dxf>
      <font>
        <color theme="0"/>
      </font>
      <fill>
        <patternFill>
          <bgColor rgb="FFDA2A2A"/>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0"/>
      </font>
      <fill>
        <patternFill>
          <bgColor rgb="FFDA2A2A"/>
        </patternFill>
      </fill>
    </dxf>
    <dxf>
      <font>
        <color theme="1" tint="0.24994659260841701"/>
      </font>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ont>
        <color theme="1" tint="0.24994659260841701"/>
      </font>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ont>
        <color theme="1" tint="0.24994659260841701"/>
      </font>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ont>
        <color theme="1" tint="0.24994659260841701"/>
      </font>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rgb="FFFBD803"/>
        </patternFill>
      </fill>
    </dxf>
    <dxf>
      <fill>
        <patternFill>
          <bgColor rgb="FF48B84D"/>
        </patternFill>
      </fill>
    </dxf>
    <dxf>
      <font>
        <color theme="1" tint="0.24994659260841701"/>
      </font>
      <fill>
        <patternFill>
          <bgColor theme="1" tint="0.34998626667073579"/>
        </patternFill>
      </fill>
    </dxf>
    <dxf>
      <fill>
        <patternFill>
          <bgColor theme="1" tint="0.34998626667073579"/>
        </patternFill>
      </fill>
    </dxf>
    <dxf>
      <fill>
        <patternFill>
          <bgColor theme="1" tint="0.34998626667073579"/>
        </patternFill>
      </fill>
    </dxf>
    <dxf>
      <fill>
        <patternFill>
          <bgColor rgb="FF48B84D"/>
        </patternFill>
      </fill>
    </dxf>
    <dxf>
      <fill>
        <patternFill>
          <bgColor rgb="FFFBD803"/>
        </patternFill>
      </fill>
    </dxf>
    <dxf>
      <fill>
        <patternFill>
          <bgColor theme="1" tint="0.34998626667073579"/>
        </patternFill>
      </fill>
    </dxf>
    <dxf>
      <fill>
        <patternFill>
          <bgColor theme="1" tint="0.34998626667073579"/>
        </patternFill>
      </fill>
    </dxf>
    <dxf>
      <fill>
        <patternFill>
          <bgColor rgb="FF48B84D"/>
        </patternFill>
      </fill>
    </dxf>
    <dxf>
      <fill>
        <patternFill>
          <bgColor rgb="FFFBD803"/>
        </patternFill>
      </fill>
    </dxf>
    <dxf>
      <font>
        <color theme="1" tint="0.24994659260841701"/>
      </font>
      <fill>
        <patternFill>
          <bgColor theme="1" tint="0.34998626667073579"/>
        </patternFill>
      </fill>
    </dxf>
    <dxf>
      <fill>
        <patternFill>
          <bgColor theme="1" tint="0.34998626667073579"/>
        </patternFill>
      </fill>
    </dxf>
    <dxf>
      <fill>
        <patternFill>
          <bgColor theme="1" tint="0.34998626667073579"/>
        </patternFill>
      </fill>
    </dxf>
    <dxf>
      <fill>
        <patternFill>
          <bgColor rgb="FF48B84D"/>
        </patternFill>
      </fill>
    </dxf>
    <dxf>
      <fill>
        <patternFill>
          <bgColor rgb="FFFBD803"/>
        </patternFill>
      </fill>
    </dxf>
    <dxf>
      <font>
        <color theme="1" tint="0.24994659260841701"/>
      </font>
      <fill>
        <patternFill>
          <bgColor theme="1" tint="0.34998626667073579"/>
        </patternFill>
      </fill>
    </dxf>
    <dxf>
      <fill>
        <patternFill>
          <bgColor theme="1" tint="0.34998626667073579"/>
        </patternFill>
      </fill>
    </dxf>
    <dxf>
      <fill>
        <patternFill>
          <bgColor theme="1" tint="0.34998626667073579"/>
        </patternFill>
      </fill>
    </dxf>
    <dxf>
      <fill>
        <patternFill>
          <bgColor rgb="FF48B84D"/>
        </patternFill>
      </fill>
    </dxf>
    <dxf>
      <fill>
        <patternFill>
          <bgColor rgb="FFFBD803"/>
        </patternFill>
      </fill>
    </dxf>
    <dxf>
      <font>
        <color theme="1" tint="0.24994659260841701"/>
      </font>
      <fill>
        <patternFill>
          <bgColor theme="1" tint="0.34998626667073579"/>
        </patternFill>
      </fill>
    </dxf>
    <dxf>
      <fill>
        <patternFill>
          <bgColor theme="1" tint="0.34998626667073579"/>
        </patternFill>
      </fill>
    </dxf>
    <dxf>
      <fill>
        <patternFill>
          <bgColor theme="1" tint="0.34998626667073579"/>
        </patternFill>
      </fill>
    </dxf>
    <dxf>
      <fill>
        <patternFill>
          <bgColor rgb="FF48B84D"/>
        </patternFill>
      </fill>
    </dxf>
    <dxf>
      <fill>
        <patternFill>
          <bgColor rgb="FFFBD803"/>
        </patternFill>
      </fill>
    </dxf>
    <dxf>
      <font>
        <color theme="1" tint="0.24994659260841701"/>
      </font>
      <fill>
        <patternFill>
          <bgColor theme="1" tint="0.34998626667073579"/>
        </patternFill>
      </fill>
    </dxf>
    <dxf>
      <fill>
        <patternFill>
          <bgColor theme="1" tint="0.34998626667073579"/>
        </patternFill>
      </fill>
    </dxf>
    <dxf>
      <fill>
        <patternFill>
          <bgColor theme="1" tint="0.34998626667073579"/>
        </patternFill>
      </fill>
    </dxf>
    <dxf>
      <fill>
        <patternFill>
          <bgColor rgb="FF48B84D"/>
        </patternFill>
      </fill>
    </dxf>
    <dxf>
      <fill>
        <patternFill>
          <bgColor rgb="FFFBD803"/>
        </patternFill>
      </fill>
    </dxf>
    <dxf>
      <font>
        <color theme="1" tint="0.24994659260841701"/>
      </font>
      <fill>
        <patternFill>
          <bgColor theme="1" tint="0.34998626667073579"/>
        </patternFill>
      </fill>
    </dxf>
    <dxf>
      <fill>
        <patternFill>
          <bgColor theme="1" tint="0.34998626667073579"/>
        </patternFill>
      </fill>
    </dxf>
    <dxf>
      <fill>
        <patternFill>
          <bgColor theme="1" tint="0.34998626667073579"/>
        </patternFill>
      </fill>
    </dxf>
    <dxf>
      <fill>
        <patternFill>
          <bgColor rgb="FFFBD803"/>
        </patternFill>
      </fill>
    </dxf>
    <dxf>
      <fill>
        <patternFill>
          <bgColor rgb="FF48B84D"/>
        </patternFill>
      </fill>
    </dxf>
    <dxf>
      <font>
        <color theme="1" tint="0.24994659260841701"/>
      </font>
      <fill>
        <patternFill>
          <bgColor theme="1" tint="0.34998626667073579"/>
        </patternFill>
      </fill>
    </dxf>
    <dxf>
      <fill>
        <patternFill>
          <bgColor theme="1" tint="0.34998626667073579"/>
        </patternFill>
      </fill>
    </dxf>
    <dxf>
      <font>
        <color theme="0"/>
      </font>
      <fill>
        <patternFill>
          <bgColor rgb="FFDA2A2A"/>
        </patternFill>
      </fill>
    </dxf>
    <dxf>
      <font>
        <color theme="1" tint="0.24994659260841701"/>
      </font>
      <fill>
        <patternFill>
          <bgColor theme="1" tint="0.34998626667073579"/>
        </patternFill>
      </fill>
    </dxf>
    <dxf>
      <fill>
        <patternFill>
          <bgColor theme="1" tint="0.34998626667073579"/>
        </patternFill>
      </fill>
    </dxf>
    <dxf>
      <fill>
        <patternFill>
          <bgColor rgb="FF48B84D"/>
        </patternFill>
      </fill>
    </dxf>
    <dxf>
      <fill>
        <patternFill>
          <bgColor rgb="FFFBD803"/>
        </patternFill>
      </fill>
    </dxf>
    <dxf>
      <fill>
        <patternFill>
          <bgColor theme="1" tint="0.34998626667073579"/>
        </patternFill>
      </fill>
    </dxf>
    <dxf>
      <fill>
        <patternFill>
          <bgColor theme="1" tint="0.34998626667073579"/>
        </patternFill>
      </fill>
    </dxf>
    <dxf>
      <fill>
        <patternFill>
          <bgColor rgb="FF48B84D"/>
        </patternFill>
      </fill>
    </dxf>
    <dxf>
      <fill>
        <patternFill>
          <bgColor rgb="FFFBD803"/>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0"/>
      </font>
      <fill>
        <patternFill>
          <bgColor rgb="FFDA2A2A"/>
        </patternFill>
      </fill>
    </dxf>
    <dxf>
      <font>
        <color theme="0"/>
      </font>
      <fill>
        <patternFill>
          <bgColor rgb="FFDA2A2A"/>
        </patternFill>
      </fill>
    </dxf>
    <dxf>
      <font>
        <color theme="1" tint="0.24994659260841701"/>
      </font>
      <fill>
        <patternFill>
          <bgColor theme="1" tint="0.34998626667073579"/>
        </patternFill>
      </fill>
    </dxf>
    <dxf>
      <fill>
        <patternFill>
          <bgColor theme="1" tint="0.34998626667073579"/>
        </patternFill>
      </fill>
    </dxf>
    <dxf>
      <font>
        <color theme="1" tint="0.24994659260841701"/>
      </font>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0"/>
      </font>
      <fill>
        <patternFill>
          <bgColor rgb="FFDA2A2A"/>
        </patternFill>
      </fill>
    </dxf>
    <dxf>
      <font>
        <color theme="1" tint="0.24994659260841701"/>
      </font>
      <fill>
        <patternFill>
          <bgColor theme="1" tint="0.34998626667073579"/>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rgb="FFFBD803"/>
        </patternFill>
      </fill>
    </dxf>
    <dxf>
      <font>
        <color theme="0"/>
      </font>
      <fill>
        <patternFill>
          <bgColor rgb="FF48B84D"/>
        </patternFill>
      </fill>
    </dxf>
    <dxf>
      <font>
        <color theme="0"/>
      </font>
      <fill>
        <patternFill>
          <bgColor rgb="FF48B84D"/>
        </patternFill>
      </fill>
    </dxf>
    <dxf>
      <font>
        <color theme="1" tint="0.24994659260841701"/>
      </font>
      <fill>
        <patternFill>
          <bgColor rgb="FFFBD803"/>
        </patternFill>
      </fill>
    </dxf>
    <dxf>
      <font>
        <color theme="1" tint="0.24994659260841701"/>
      </font>
      <fill>
        <patternFill>
          <bgColor theme="1" tint="0.34998626667073579"/>
        </patternFill>
      </fill>
    </dxf>
    <dxf>
      <font>
        <color theme="1" tint="0.24994659260841701"/>
      </font>
      <fill>
        <patternFill>
          <bgColor rgb="FFFBD803"/>
        </patternFill>
      </fill>
    </dxf>
    <dxf>
      <font>
        <color theme="0"/>
      </font>
      <fill>
        <patternFill>
          <bgColor rgb="FF48B84D"/>
        </patternFill>
      </fill>
    </dxf>
    <dxf>
      <font>
        <color theme="1" tint="0.24994659260841701"/>
      </font>
      <fill>
        <patternFill>
          <bgColor rgb="FFFBD803"/>
        </patternFill>
      </fill>
    </dxf>
    <dxf>
      <font>
        <color theme="0"/>
      </font>
      <fill>
        <patternFill>
          <bgColor rgb="FF48B84D"/>
        </patternFill>
      </fill>
    </dxf>
    <dxf>
      <font>
        <color theme="1" tint="0.24994659260841701"/>
      </font>
      <fill>
        <patternFill>
          <bgColor theme="1" tint="0.34998626667073579"/>
        </patternFill>
      </fill>
    </dxf>
    <dxf>
      <font>
        <color theme="1" tint="0.24994659260841701"/>
      </font>
      <fill>
        <patternFill>
          <bgColor rgb="FFFBD803"/>
        </patternFill>
      </fill>
    </dxf>
    <dxf>
      <font>
        <color theme="0"/>
      </font>
      <fill>
        <patternFill>
          <bgColor rgb="FF48B84D"/>
        </patternFill>
      </fill>
    </dxf>
    <dxf>
      <font>
        <color theme="1" tint="0.24994659260841701"/>
      </font>
      <fill>
        <patternFill>
          <bgColor rgb="FFFBD803"/>
        </patternFill>
      </fill>
    </dxf>
    <dxf>
      <font>
        <color theme="0"/>
      </font>
      <fill>
        <patternFill>
          <bgColor rgb="FF48B84D"/>
        </patternFill>
      </fill>
    </dxf>
    <dxf>
      <font>
        <color theme="1" tint="0.24994659260841701"/>
      </font>
      <fill>
        <patternFill>
          <bgColor theme="1" tint="0.34998626667073579"/>
        </patternFill>
      </fill>
    </dxf>
    <dxf>
      <font>
        <color theme="0"/>
      </font>
      <fill>
        <patternFill>
          <bgColor rgb="FF48B84D"/>
        </patternFill>
      </fill>
    </dxf>
    <dxf>
      <font>
        <color theme="1" tint="0.24994659260841701"/>
      </font>
      <fill>
        <patternFill>
          <bgColor rgb="FFFBD803"/>
        </patternFill>
      </fill>
    </dxf>
    <dxf>
      <font>
        <color theme="0"/>
      </font>
      <fill>
        <patternFill>
          <bgColor rgb="FF48B84D"/>
        </patternFill>
      </fill>
    </dxf>
    <dxf>
      <font>
        <color theme="1" tint="0.24994659260841701"/>
      </font>
      <fill>
        <patternFill>
          <bgColor rgb="FFFBD803"/>
        </patternFill>
      </fill>
    </dxf>
    <dxf>
      <font>
        <color theme="1" tint="0.24994659260841701"/>
      </font>
      <fill>
        <patternFill>
          <bgColor theme="1" tint="0.34998626667073579"/>
        </patternFill>
      </fill>
    </dxf>
    <dxf>
      <font>
        <color theme="0"/>
      </font>
      <fill>
        <patternFill>
          <bgColor rgb="FF48B84D"/>
        </patternFill>
      </fill>
    </dxf>
    <dxf>
      <font>
        <color theme="1" tint="0.24994659260841701"/>
      </font>
      <fill>
        <patternFill>
          <bgColor rgb="FFFBD803"/>
        </patternFill>
      </fill>
    </dxf>
    <dxf>
      <font>
        <color theme="1" tint="0.24994659260841701"/>
      </font>
      <fill>
        <patternFill>
          <bgColor rgb="FFFBD803"/>
        </patternFill>
      </fill>
    </dxf>
    <dxf>
      <font>
        <color theme="0"/>
      </font>
      <fill>
        <patternFill>
          <bgColor rgb="FF48B84D"/>
        </patternFill>
      </fill>
    </dxf>
    <dxf>
      <font>
        <color theme="1" tint="0.24994659260841701"/>
      </font>
      <fill>
        <patternFill>
          <bgColor theme="1" tint="0.34998626667073579"/>
        </patternFill>
      </fill>
    </dxf>
    <dxf>
      <font>
        <color theme="0"/>
      </font>
      <fill>
        <patternFill>
          <bgColor rgb="FF48B84D"/>
        </patternFill>
      </fill>
    </dxf>
    <dxf>
      <font>
        <color theme="1" tint="0.24994659260841701"/>
      </font>
      <fill>
        <patternFill>
          <bgColor rgb="FFFBD803"/>
        </patternFill>
      </fill>
    </dxf>
    <dxf>
      <font>
        <color theme="1" tint="0.24994659260841701"/>
      </font>
      <fill>
        <patternFill>
          <bgColor rgb="FFFBD803"/>
        </patternFill>
      </fill>
    </dxf>
    <dxf>
      <font>
        <color theme="0"/>
      </font>
      <fill>
        <patternFill>
          <bgColor rgb="FF48B84D"/>
        </patternFill>
      </fill>
    </dxf>
    <dxf>
      <font>
        <color theme="1" tint="0.24994659260841701"/>
      </font>
      <fill>
        <patternFill>
          <bgColor theme="1" tint="0.34998626667073579"/>
        </patternFill>
      </fill>
    </dxf>
    <dxf>
      <font>
        <color theme="1" tint="0.24994659260841701"/>
      </font>
      <fill>
        <patternFill>
          <bgColor rgb="FFFBD803"/>
        </patternFill>
      </fill>
    </dxf>
    <dxf>
      <font>
        <color theme="0"/>
      </font>
      <fill>
        <patternFill>
          <bgColor rgb="FF48B84D"/>
        </patternFill>
      </fill>
    </dxf>
    <dxf>
      <font>
        <color theme="0"/>
      </font>
      <fill>
        <patternFill>
          <bgColor rgb="FF48B84D"/>
        </patternFill>
      </fill>
    </dxf>
    <dxf>
      <font>
        <color theme="1" tint="0.24994659260841701"/>
      </font>
      <fill>
        <patternFill>
          <bgColor rgb="FFFBD803"/>
        </patternFill>
      </fill>
    </dxf>
    <dxf>
      <font>
        <color theme="1" tint="0.24994659260841701"/>
      </font>
      <fill>
        <patternFill>
          <bgColor theme="1" tint="0.34998626667073579"/>
        </patternFill>
      </fill>
    </dxf>
    <dxf>
      <font>
        <color theme="1" tint="0.24994659260841701"/>
      </font>
      <fill>
        <patternFill>
          <bgColor rgb="FFFBD803"/>
        </patternFill>
      </fill>
    </dxf>
    <dxf>
      <font>
        <color theme="0"/>
      </font>
      <fill>
        <patternFill>
          <bgColor rgb="FF48B84D"/>
        </patternFill>
      </fill>
    </dxf>
    <dxf>
      <font>
        <color theme="0"/>
      </font>
      <fill>
        <patternFill>
          <bgColor rgb="FF48B84D"/>
        </patternFill>
      </fill>
    </dxf>
    <dxf>
      <font>
        <color theme="1" tint="0.24994659260841701"/>
      </font>
      <fill>
        <patternFill>
          <bgColor rgb="FFFBD803"/>
        </patternFill>
      </fill>
    </dxf>
    <dxf>
      <font>
        <color theme="1" tint="0.24994659260841701"/>
      </font>
      <fill>
        <patternFill>
          <bgColor theme="1" tint="0.34998626667073579"/>
        </patternFill>
      </fill>
    </dxf>
    <dxf>
      <font>
        <color theme="0"/>
      </font>
      <fill>
        <patternFill>
          <bgColor rgb="FF48B84D"/>
        </patternFill>
      </fill>
    </dxf>
    <dxf>
      <font>
        <color theme="1" tint="0.24994659260841701"/>
      </font>
      <fill>
        <patternFill>
          <bgColor rgb="FFFBD803"/>
        </patternFill>
      </fill>
    </dxf>
    <dxf>
      <font>
        <color theme="0"/>
      </font>
      <fill>
        <patternFill>
          <bgColor rgb="FF48B84D"/>
        </patternFill>
      </fill>
    </dxf>
    <dxf>
      <font>
        <color theme="1" tint="0.24994659260841701"/>
      </font>
      <fill>
        <patternFill>
          <bgColor rgb="FFFBD803"/>
        </patternFill>
      </fill>
    </dxf>
    <dxf>
      <font>
        <color theme="1" tint="0.24994659260841701"/>
      </font>
      <fill>
        <patternFill>
          <bgColor theme="1" tint="0.34998626667073579"/>
        </patternFill>
      </fill>
    </dxf>
    <dxf>
      <font>
        <color theme="0"/>
      </font>
      <fill>
        <patternFill>
          <bgColor rgb="FF48B84D"/>
        </patternFill>
      </fill>
    </dxf>
    <dxf>
      <font>
        <color theme="1" tint="0.24994659260841701"/>
      </font>
      <fill>
        <patternFill>
          <bgColor rgb="FFFBD803"/>
        </patternFill>
      </fill>
    </dxf>
    <dxf>
      <font>
        <color theme="0"/>
      </font>
      <fill>
        <patternFill>
          <bgColor rgb="FF48B84D"/>
        </patternFill>
      </fill>
    </dxf>
    <dxf>
      <font>
        <color theme="1" tint="0.24994659260841701"/>
      </font>
      <fill>
        <patternFill>
          <bgColor rgb="FFFBD803"/>
        </patternFill>
      </fill>
    </dxf>
    <dxf>
      <font>
        <color theme="1" tint="0.24994659260841701"/>
      </font>
      <fill>
        <patternFill>
          <bgColor theme="1" tint="0.34998626667073579"/>
        </patternFill>
      </fill>
    </dxf>
    <dxf>
      <font>
        <color theme="0"/>
      </font>
      <fill>
        <patternFill>
          <bgColor rgb="FFDA2A2A"/>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1" tint="0.24994659260841701"/>
      </font>
      <fill>
        <patternFill>
          <bgColor theme="1" tint="0.34998626667073579"/>
        </patternFill>
      </fill>
    </dxf>
    <dxf>
      <font>
        <color theme="1" tint="0.24994659260841701"/>
      </font>
      <fill>
        <patternFill>
          <bgColor rgb="FFD0ECD1"/>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rgb="FFD0ECD1"/>
        </patternFill>
      </fill>
    </dxf>
    <dxf>
      <font>
        <color theme="1" tint="0.24994659260841701"/>
      </font>
      <fill>
        <patternFill>
          <bgColor rgb="FFD0ECD1"/>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1" tint="0.24994659260841701"/>
      </font>
      <fill>
        <patternFill>
          <bgColor rgb="FFD0ECD1"/>
        </patternFill>
      </fill>
    </dxf>
    <dxf>
      <font>
        <color theme="1" tint="0.24994659260841701"/>
      </font>
      <fill>
        <patternFill>
          <bgColor rgb="FFD0ECD1"/>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rgb="FFD0ECD1"/>
        </patternFill>
      </fill>
    </dxf>
    <dxf>
      <font>
        <color theme="1" tint="0.24994659260841701"/>
      </font>
      <fill>
        <patternFill>
          <bgColor theme="1" tint="0.34998626667073579"/>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rgb="FFD0ECD1"/>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rgb="FFFEF09C"/>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rgb="FFFEF09C"/>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rgb="FFFEF09C"/>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rgb="FFFEF09C"/>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48B84D"/>
        </patternFill>
      </fill>
    </dxf>
    <dxf>
      <font>
        <color theme="1" tint="0.24994659260841701"/>
      </font>
      <fill>
        <patternFill>
          <bgColor rgb="FFFBD803"/>
        </patternFill>
      </fill>
    </dxf>
    <dxf>
      <font>
        <color theme="0"/>
      </font>
      <fill>
        <patternFill>
          <bgColor rgb="FF48B84D"/>
        </patternFill>
      </fill>
    </dxf>
    <dxf>
      <font>
        <color theme="1" tint="0.24994659260841701"/>
      </font>
      <fill>
        <patternFill>
          <bgColor rgb="FFFBD803"/>
        </patternFill>
      </fill>
    </dxf>
    <dxf>
      <font>
        <color theme="1" tint="0.24994659260841701"/>
      </font>
      <fill>
        <patternFill>
          <bgColor rgb="FFFBD803"/>
        </patternFill>
      </fill>
    </dxf>
    <dxf>
      <font>
        <color theme="0"/>
      </font>
      <fill>
        <patternFill>
          <bgColor rgb="FF48B84D"/>
        </patternFill>
      </fill>
    </dxf>
    <dxf>
      <font>
        <color theme="1" tint="0.24994659260841701"/>
      </font>
      <fill>
        <patternFill>
          <bgColor rgb="FFFBD803"/>
        </patternFill>
      </fill>
    </dxf>
    <dxf>
      <font>
        <color theme="0"/>
      </font>
      <fill>
        <patternFill>
          <bgColor rgb="FF48B84D"/>
        </patternFill>
      </fill>
    </dxf>
    <dxf>
      <font>
        <color theme="1" tint="0.24994659260841701"/>
      </font>
      <fill>
        <patternFill>
          <bgColor rgb="FFFBD803"/>
        </patternFill>
      </fill>
    </dxf>
    <dxf>
      <font>
        <color theme="0"/>
      </font>
      <fill>
        <patternFill>
          <bgColor rgb="FF48B84D"/>
        </patternFill>
      </fill>
    </dxf>
    <dxf>
      <font>
        <color theme="0"/>
      </font>
      <fill>
        <patternFill>
          <bgColor rgb="FF48B84D"/>
        </patternFill>
      </fill>
    </dxf>
    <dxf>
      <font>
        <color theme="1" tint="0.24994659260841701"/>
      </font>
      <fill>
        <patternFill>
          <bgColor rgb="FFFBD803"/>
        </patternFill>
      </fill>
    </dxf>
    <dxf>
      <font>
        <color theme="1" tint="0.24994659260841701"/>
      </font>
      <fill>
        <patternFill>
          <bgColor rgb="FFFBD803"/>
        </patternFill>
      </fill>
    </dxf>
    <dxf>
      <font>
        <color theme="0"/>
      </font>
      <fill>
        <patternFill>
          <bgColor rgb="FF48B84D"/>
        </patternFill>
      </fill>
    </dxf>
    <dxf>
      <font>
        <color theme="1" tint="0.24994659260841701"/>
      </font>
      <fill>
        <patternFill>
          <bgColor rgb="FFFBD803"/>
        </patternFill>
      </fill>
    </dxf>
    <dxf>
      <font>
        <color theme="0"/>
      </font>
      <fill>
        <patternFill>
          <bgColor rgb="FF48B84D"/>
        </patternFill>
      </fill>
    </dxf>
    <dxf>
      <font>
        <color theme="1" tint="0.24994659260841701"/>
      </font>
      <fill>
        <patternFill>
          <bgColor rgb="FFFBD803"/>
        </patternFill>
      </fill>
    </dxf>
    <dxf>
      <font>
        <color theme="0"/>
      </font>
      <fill>
        <patternFill>
          <bgColor rgb="FF48B84D"/>
        </patternFill>
      </fill>
    </dxf>
    <dxf>
      <font>
        <color theme="0"/>
      </font>
      <fill>
        <patternFill>
          <bgColor rgb="FF48B84D"/>
        </patternFill>
      </fill>
    </dxf>
    <dxf>
      <font>
        <color theme="1" tint="0.24994659260841701"/>
      </font>
      <fill>
        <patternFill>
          <bgColor rgb="FFFBD803"/>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02"/>
        </patternFill>
      </fill>
    </dxf>
    <dxf>
      <font>
        <color theme="0"/>
      </font>
      <fill>
        <patternFill>
          <bgColor rgb="FFDA2A02"/>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2A"/>
        </patternFill>
      </fill>
    </dxf>
    <dxf>
      <font>
        <color theme="0"/>
      </font>
      <fill>
        <patternFill>
          <bgColor rgb="FFDA2A02"/>
        </patternFill>
      </fill>
    </dxf>
    <dxf>
      <font>
        <color theme="1" tint="0.24994659260841701"/>
      </font>
      <fill>
        <patternFill>
          <bgColor theme="1" tint="0.34998626667073579"/>
        </patternFill>
      </fill>
    </dxf>
    <dxf>
      <font>
        <color theme="1" tint="0.24994659260841701"/>
      </font>
      <fill>
        <patternFill>
          <bgColor rgb="FFD0ECD1"/>
        </patternFill>
      </fill>
    </dxf>
    <dxf>
      <font>
        <color theme="1" tint="0.24994659260841701"/>
      </font>
      <fill>
        <patternFill>
          <bgColor rgb="FFD0ECD1"/>
        </patternFill>
      </fill>
    </dxf>
    <dxf>
      <font>
        <color theme="1" tint="0.24994659260841701"/>
      </font>
      <fill>
        <patternFill>
          <bgColor theme="1" tint="0.34998626667073579"/>
        </patternFill>
      </fill>
    </dxf>
    <dxf>
      <font>
        <color theme="0"/>
      </font>
      <fill>
        <patternFill>
          <bgColor rgb="FFDA2A2A"/>
        </patternFill>
      </fill>
    </dxf>
    <dxf>
      <font>
        <color theme="0"/>
      </font>
      <fill>
        <patternFill>
          <bgColor rgb="FFDA2A2A"/>
        </patternFill>
      </fill>
    </dxf>
    <dxf>
      <font>
        <color theme="0"/>
      </font>
      <fill>
        <patternFill>
          <bgColor rgb="FFDA2A02"/>
        </patternFill>
      </fill>
    </dxf>
    <dxf>
      <font>
        <color theme="0"/>
      </font>
      <fill>
        <patternFill>
          <bgColor rgb="FFDA2A02"/>
        </patternFill>
      </fill>
    </dxf>
    <dxf>
      <font>
        <color theme="0"/>
      </font>
      <fill>
        <patternFill>
          <bgColor rgb="FFDA2A2A"/>
        </patternFill>
      </fill>
    </dxf>
    <dxf>
      <font>
        <color theme="0"/>
      </font>
      <fill>
        <patternFill>
          <bgColor rgb="FFDA2A2A"/>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FEF09C"/>
        </patternFill>
      </fill>
    </dxf>
    <dxf>
      <font>
        <color theme="0"/>
      </font>
      <fill>
        <patternFill>
          <bgColor rgb="FFDA2A2A"/>
        </patternFill>
      </fill>
    </dxf>
    <dxf>
      <font>
        <color theme="0"/>
      </font>
      <fill>
        <patternFill>
          <bgColor rgb="FFDA2A2A"/>
        </patternFill>
      </fill>
    </dxf>
    <dxf>
      <font>
        <color theme="0"/>
      </font>
      <fill>
        <patternFill>
          <bgColor rgb="FFDA2A02"/>
        </patternFill>
      </fill>
    </dxf>
    <dxf>
      <font>
        <color theme="0"/>
      </font>
      <fill>
        <patternFill>
          <bgColor rgb="FFDA2A02"/>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02"/>
        </patternFill>
      </fill>
    </dxf>
    <dxf>
      <font>
        <color theme="0"/>
      </font>
      <fill>
        <patternFill>
          <bgColor rgb="FFDA2A2A"/>
        </patternFill>
      </fill>
    </dxf>
    <dxf>
      <font>
        <color theme="1" tint="0.24994659260841701"/>
      </font>
      <fill>
        <patternFill>
          <bgColor rgb="FFFBD803"/>
        </patternFill>
      </fill>
    </dxf>
    <dxf>
      <font>
        <color theme="0"/>
      </font>
      <fill>
        <patternFill>
          <bgColor rgb="FF48B84D"/>
        </patternFill>
      </fill>
    </dxf>
    <dxf>
      <font>
        <color theme="1" tint="0.24994659260841701"/>
      </font>
      <fill>
        <patternFill>
          <bgColor rgb="FFFBD803"/>
        </patternFill>
      </fill>
    </dxf>
    <dxf>
      <font>
        <color theme="0"/>
      </font>
      <fill>
        <patternFill>
          <bgColor rgb="FF48B84D"/>
        </patternFill>
      </fill>
    </dxf>
    <dxf>
      <font>
        <color theme="0"/>
      </font>
      <fill>
        <patternFill>
          <bgColor rgb="FFDA2A2A"/>
        </patternFill>
      </fill>
    </dxf>
    <dxf>
      <font>
        <color theme="0"/>
      </font>
      <fill>
        <patternFill>
          <bgColor rgb="FFDA2A2A"/>
        </patternFill>
      </fill>
    </dxf>
    <dxf>
      <font>
        <color theme="0"/>
      </font>
      <fill>
        <patternFill>
          <bgColor rgb="FFDA2A02"/>
        </patternFill>
      </fill>
    </dxf>
    <dxf>
      <font>
        <color theme="0"/>
      </font>
      <fill>
        <patternFill>
          <bgColor rgb="FFDA2A02"/>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2A"/>
        </patternFill>
      </fill>
    </dxf>
    <dxf>
      <font>
        <color theme="0"/>
      </font>
      <fill>
        <patternFill>
          <bgColor rgb="FFDA2A02"/>
        </patternFill>
      </fill>
    </dxf>
    <dxf>
      <font>
        <color theme="0"/>
      </font>
      <fill>
        <patternFill>
          <bgColor rgb="FFDA2A02"/>
        </patternFill>
      </fill>
    </dxf>
    <dxf>
      <font>
        <color theme="0"/>
      </font>
      <fill>
        <patternFill>
          <bgColor rgb="FFDA2A2A"/>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2A"/>
        </patternFill>
      </fill>
    </dxf>
    <dxf>
      <font>
        <b/>
        <i val="0"/>
        <strike val="0"/>
        <color theme="0"/>
      </font>
      <fill>
        <patternFill>
          <bgColor rgb="FFDA2A2A"/>
        </patternFill>
      </fill>
    </dxf>
    <dxf>
      <font>
        <b val="0"/>
        <i val="0"/>
        <strike val="0"/>
        <condense val="0"/>
        <extend val="0"/>
        <outline val="0"/>
        <shadow val="0"/>
        <u val="none"/>
        <vertAlign val="baseline"/>
        <sz val="11"/>
        <color theme="1" tint="0.249977111117893"/>
        <name val="Lao UI"/>
        <scheme val="none"/>
      </font>
      <fill>
        <patternFill patternType="none">
          <fgColor indexed="64"/>
          <bgColor auto="1"/>
        </patternFill>
      </fill>
      <border diagonalUp="0" diagonalDown="0">
        <left style="thin">
          <color theme="0" tint="-0.249977111117893"/>
        </left>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tint="0.249977111117893"/>
        <name val="Lao UI"/>
        <scheme val="none"/>
      </font>
      <fill>
        <patternFill patternType="none">
          <fgColor indexed="64"/>
          <bgColor auto="1"/>
        </patternFill>
      </fill>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tint="0.249977111117893"/>
        <name val="Lao UI"/>
        <scheme val="none"/>
      </font>
      <fill>
        <patternFill patternType="none">
          <fgColor indexed="64"/>
          <bgColor auto="1"/>
        </patternFill>
      </fill>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tint="0.249977111117893"/>
        <name val="Lao UI"/>
        <scheme val="none"/>
      </font>
      <fill>
        <patternFill patternType="none">
          <fgColor indexed="64"/>
          <bgColor auto="1"/>
        </patternFill>
      </fill>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tint="0.249977111117893"/>
        <name val="Lao UI"/>
        <scheme val="none"/>
      </font>
      <fill>
        <patternFill patternType="none">
          <fgColor indexed="64"/>
          <bgColor auto="1"/>
        </patternFill>
      </fill>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tint="0.249977111117893"/>
        <name val="Lao UI"/>
        <scheme val="none"/>
      </font>
      <fill>
        <patternFill patternType="none">
          <fgColor indexed="64"/>
          <bgColor indexed="65"/>
        </patternFill>
      </fill>
      <border diagonalUp="0" diagonalDown="0">
        <left/>
        <right style="thin">
          <color theme="0" tint="-0.249977111117893"/>
        </right>
        <top style="thin">
          <color theme="0" tint="-0.249977111117893"/>
        </top>
        <bottom style="thin">
          <color theme="0" tint="-0.249977111117893"/>
        </bottom>
        <vertical/>
        <horizontal/>
      </border>
      <protection locked="0" hidden="0"/>
    </dxf>
    <dxf>
      <font>
        <b val="0"/>
        <i val="0"/>
        <strike val="0"/>
        <condense val="0"/>
        <extend val="0"/>
        <outline val="0"/>
        <shadow val="0"/>
        <u val="none"/>
        <vertAlign val="baseline"/>
        <sz val="11"/>
        <color theme="1" tint="0.249977111117893"/>
        <name val="Lao UI"/>
        <scheme val="none"/>
      </font>
      <fill>
        <patternFill patternType="none">
          <fgColor indexed="64"/>
          <bgColor auto="1"/>
        </patternFill>
      </fill>
      <border diagonalUp="0" diagonalDown="0">
        <left/>
        <right style="thin">
          <color theme="0" tint="-0.249977111117893"/>
        </right>
        <top style="thin">
          <color theme="0" tint="-0.249977111117893"/>
        </top>
        <bottom style="thin">
          <color theme="0" tint="-0.249977111117893"/>
        </bottom>
      </border>
      <protection locked="0" hidden="0"/>
    </dxf>
    <dxf>
      <border outline="0">
        <top style="thin">
          <color theme="0" tint="-0.249977111117893"/>
        </top>
      </border>
    </dxf>
    <dxf>
      <border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1"/>
        <color theme="1" tint="0.249977111117893"/>
        <name val="Lao UI"/>
        <scheme val="none"/>
      </font>
      <fill>
        <patternFill patternType="none">
          <fgColor indexed="64"/>
          <bgColor auto="1"/>
        </patternFill>
      </fill>
      <protection locked="0" hidden="0"/>
    </dxf>
    <dxf>
      <border outline="0">
        <bottom style="thin">
          <color theme="0" tint="-0.249977111117893"/>
        </bottom>
      </border>
    </dxf>
    <dxf>
      <font>
        <b/>
        <i val="0"/>
        <strike val="0"/>
        <condense val="0"/>
        <extend val="0"/>
        <outline val="0"/>
        <shadow val="0"/>
        <u val="none"/>
        <vertAlign val="baseline"/>
        <sz val="11"/>
        <color theme="0"/>
        <name val="Lao UI"/>
        <scheme val="none"/>
      </font>
      <fill>
        <patternFill patternType="none">
          <fgColor indexed="64"/>
          <bgColor auto="1"/>
        </patternFill>
      </fill>
      <border diagonalUp="0" diagonalDown="0" outline="0">
        <left style="thin">
          <color theme="0" tint="-0.249977111117893"/>
        </left>
        <right style="thin">
          <color theme="0" tint="-0.249977111117893"/>
        </right>
        <top/>
        <bottom/>
      </border>
    </dxf>
    <dxf>
      <font>
        <color theme="1" tint="0.24994659260841701"/>
      </font>
      <fill>
        <patternFill>
          <bgColor theme="1" tint="0.34998626667073579"/>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b val="0"/>
        <i val="0"/>
        <strike val="0"/>
        <condense val="0"/>
        <extend val="0"/>
        <outline val="0"/>
        <shadow val="0"/>
        <u val="none"/>
        <vertAlign val="baseline"/>
        <sz val="10"/>
        <color theme="1" tint="0.249977111117893"/>
        <name val="Lao UI"/>
        <family val="2"/>
        <scheme val="none"/>
      </font>
      <fill>
        <patternFill patternType="solid">
          <fgColor indexed="64"/>
          <bgColor rgb="FFD0ECD1"/>
        </patternFill>
      </fill>
      <protection locked="0" hidden="0"/>
    </dxf>
    <dxf>
      <font>
        <b val="0"/>
        <i val="0"/>
        <strike val="0"/>
        <condense val="0"/>
        <extend val="0"/>
        <outline val="0"/>
        <shadow val="0"/>
        <u val="none"/>
        <vertAlign val="baseline"/>
        <sz val="10"/>
        <color theme="1" tint="0.249977111117893"/>
        <name val="Lao UI"/>
        <family val="2"/>
        <scheme val="none"/>
      </font>
      <fill>
        <patternFill patternType="solid">
          <fgColor indexed="64"/>
          <bgColor rgb="FFD0ECD1"/>
        </patternFill>
      </fill>
      <protection locked="0" hidden="0"/>
    </dxf>
    <dxf>
      <font>
        <b val="0"/>
        <i val="0"/>
        <strike val="0"/>
        <condense val="0"/>
        <extend val="0"/>
        <outline val="0"/>
        <shadow val="0"/>
        <u val="none"/>
        <vertAlign val="baseline"/>
        <sz val="10"/>
        <color theme="1" tint="0.249977111117893"/>
        <name val="Lao UI"/>
        <family val="2"/>
        <scheme val="none"/>
      </font>
      <fill>
        <patternFill patternType="solid">
          <fgColor indexed="64"/>
          <bgColor rgb="FFD0ECD1"/>
        </patternFill>
      </fill>
      <protection locked="0" hidden="0"/>
    </dxf>
    <dxf>
      <font>
        <b val="0"/>
        <i val="0"/>
        <strike val="0"/>
        <condense val="0"/>
        <extend val="0"/>
        <outline val="0"/>
        <shadow val="0"/>
        <u val="none"/>
        <vertAlign val="baseline"/>
        <sz val="10"/>
        <color theme="1" tint="0.249977111117893"/>
        <name val="Lao UI"/>
        <family val="2"/>
        <scheme val="none"/>
      </font>
      <fill>
        <patternFill patternType="solid">
          <fgColor indexed="64"/>
          <bgColor rgb="FFD0ECD1"/>
        </patternFill>
      </fill>
      <protection locked="0" hidden="0"/>
    </dxf>
    <dxf>
      <font>
        <b val="0"/>
        <i val="0"/>
        <strike val="0"/>
        <condense val="0"/>
        <extend val="0"/>
        <outline val="0"/>
        <shadow val="0"/>
        <u val="none"/>
        <vertAlign val="baseline"/>
        <sz val="10"/>
        <color theme="1" tint="0.249977111117893"/>
        <name val="Lao UI"/>
        <family val="2"/>
        <scheme val="none"/>
      </font>
      <fill>
        <patternFill patternType="solid">
          <fgColor indexed="64"/>
          <bgColor rgb="FFD0ECD1"/>
        </patternFill>
      </fill>
      <protection locked="0" hidden="0"/>
    </dxf>
    <dxf>
      <font>
        <b val="0"/>
        <i val="0"/>
        <strike val="0"/>
        <condense val="0"/>
        <extend val="0"/>
        <outline val="0"/>
        <shadow val="0"/>
        <u val="none"/>
        <vertAlign val="baseline"/>
        <sz val="10"/>
        <color theme="1" tint="0.249977111117893"/>
        <name val="Lao UI"/>
        <family val="2"/>
        <scheme val="none"/>
      </font>
      <fill>
        <patternFill patternType="solid">
          <fgColor indexed="64"/>
          <bgColor rgb="FFD0ECD1"/>
        </patternFill>
      </fill>
      <protection locked="0" hidden="0"/>
    </dxf>
    <dxf>
      <font>
        <b val="0"/>
        <i val="0"/>
        <strike val="0"/>
        <condense val="0"/>
        <extend val="0"/>
        <outline val="0"/>
        <shadow val="0"/>
        <u val="none"/>
        <vertAlign val="baseline"/>
        <sz val="10"/>
        <color theme="1" tint="0.249977111117893"/>
        <name val="Lao UI"/>
        <family val="2"/>
        <scheme val="none"/>
      </font>
      <fill>
        <patternFill patternType="solid">
          <fgColor indexed="64"/>
          <bgColor rgb="FFD0ECD1"/>
        </patternFill>
      </fill>
      <protection locked="0" hidden="0"/>
    </dxf>
    <dxf>
      <border outline="0">
        <top style="thin">
          <color theme="0" tint="-0.249977111117893"/>
        </top>
      </border>
    </dxf>
    <dxf>
      <font>
        <b val="0"/>
        <i val="0"/>
        <strike val="0"/>
        <condense val="0"/>
        <extend val="0"/>
        <outline val="0"/>
        <shadow val="0"/>
        <u val="none"/>
        <vertAlign val="baseline"/>
        <sz val="10"/>
        <color theme="1" tint="0.249977111117893"/>
        <name val="Lao UI"/>
        <family val="2"/>
        <scheme val="none"/>
      </font>
      <fill>
        <patternFill patternType="solid">
          <fgColor indexed="64"/>
          <bgColor rgb="FFD0ECD1"/>
        </patternFill>
      </fill>
      <protection locked="0" hidden="0"/>
    </dxf>
    <dxf>
      <font>
        <b val="0"/>
        <i val="0"/>
        <strike val="0"/>
        <condense val="0"/>
        <extend val="0"/>
        <outline val="0"/>
        <shadow val="0"/>
        <u val="none"/>
        <vertAlign val="baseline"/>
        <sz val="10"/>
        <color theme="0"/>
        <name val="Lao UI"/>
        <family val="2"/>
        <scheme val="none"/>
      </font>
      <fill>
        <patternFill patternType="solid">
          <fgColor indexed="64"/>
          <bgColor rgb="FF01539C"/>
        </patternFill>
      </fill>
    </dxf>
    <dxf>
      <font>
        <b val="0"/>
        <i val="0"/>
        <strike val="0"/>
        <condense val="0"/>
        <extend val="0"/>
        <outline val="0"/>
        <shadow val="0"/>
        <u val="none"/>
        <vertAlign val="baseline"/>
        <sz val="10"/>
        <color theme="1" tint="0.249977111117893"/>
        <name val="Lao UI"/>
        <family val="2"/>
        <scheme val="none"/>
      </font>
      <fill>
        <patternFill patternType="solid">
          <fgColor indexed="64"/>
          <bgColor rgb="FFD0ECD1"/>
        </patternFill>
      </fill>
      <protection locked="0" hidden="0"/>
    </dxf>
    <dxf>
      <font>
        <b val="0"/>
        <i val="0"/>
        <strike val="0"/>
        <condense val="0"/>
        <extend val="0"/>
        <outline val="0"/>
        <shadow val="0"/>
        <u val="none"/>
        <vertAlign val="baseline"/>
        <sz val="10"/>
        <color theme="1"/>
        <name val="Lao UI"/>
        <family val="2"/>
        <scheme val="none"/>
      </font>
      <numFmt numFmtId="168" formatCode="#,##0.0"/>
      <fill>
        <patternFill patternType="solid">
          <fgColor indexed="64"/>
          <bgColor rgb="FFD0ECD1"/>
        </patternFill>
      </fill>
      <protection locked="0" hidden="0"/>
    </dxf>
    <dxf>
      <font>
        <b val="0"/>
        <i val="0"/>
        <strike val="0"/>
        <condense val="0"/>
        <extend val="0"/>
        <outline val="0"/>
        <shadow val="0"/>
        <u val="none"/>
        <vertAlign val="baseline"/>
        <sz val="10"/>
        <color theme="1"/>
        <name val="Lao UI"/>
        <family val="2"/>
        <scheme val="none"/>
      </font>
      <fill>
        <patternFill patternType="solid">
          <fgColor indexed="64"/>
          <bgColor rgb="FFD0ECD1"/>
        </patternFill>
      </fill>
      <protection locked="0" hidden="0"/>
    </dxf>
    <dxf>
      <border outline="0">
        <top style="thin">
          <color theme="0" tint="-0.249977111117893"/>
        </top>
      </border>
    </dxf>
    <dxf>
      <protection locked="0" hidden="0"/>
    </dxf>
    <dxf>
      <font>
        <b val="0"/>
        <i val="0"/>
        <strike val="0"/>
        <condense val="0"/>
        <extend val="0"/>
        <outline val="0"/>
        <shadow val="0"/>
        <u val="none"/>
        <vertAlign val="baseline"/>
        <sz val="10"/>
        <color theme="1" tint="0.249977111117893"/>
        <name val="Lao UI"/>
        <family val="2"/>
        <scheme val="none"/>
      </font>
      <fill>
        <patternFill patternType="solid">
          <fgColor indexed="64"/>
          <bgColor rgb="FFFBD803"/>
        </patternFill>
      </fill>
    </dxf>
    <dxf>
      <font>
        <b val="0"/>
        <i val="0"/>
        <strike val="0"/>
        <condense val="0"/>
        <extend val="0"/>
        <outline val="0"/>
        <shadow val="0"/>
        <u val="none"/>
        <vertAlign val="baseline"/>
        <sz val="10"/>
        <color theme="1" tint="0.249977111117893"/>
        <name val="Lao UI"/>
        <family val="2"/>
        <scheme val="none"/>
      </font>
      <fill>
        <patternFill patternType="none">
          <fgColor indexed="64"/>
          <bgColor indexed="65"/>
        </patternFill>
      </fill>
    </dxf>
    <dxf>
      <font>
        <b val="0"/>
        <i val="0"/>
        <strike val="0"/>
        <condense val="0"/>
        <extend val="0"/>
        <outline val="0"/>
        <shadow val="0"/>
        <u val="none"/>
        <vertAlign val="baseline"/>
        <sz val="10"/>
        <color theme="1" tint="0.249977111117893"/>
        <name val="Lao UI"/>
        <family val="2"/>
        <scheme val="none"/>
      </font>
      <fill>
        <patternFill patternType="none">
          <fgColor indexed="64"/>
          <bgColor indexed="65"/>
        </patternFill>
      </fill>
    </dxf>
    <dxf>
      <font>
        <b val="0"/>
        <i val="0"/>
        <strike val="0"/>
        <condense val="0"/>
        <extend val="0"/>
        <outline val="0"/>
        <shadow val="0"/>
        <u val="none"/>
        <vertAlign val="baseline"/>
        <sz val="10"/>
        <color theme="1" tint="0.249977111117893"/>
        <name val="Lao UI"/>
        <family val="2"/>
        <scheme val="none"/>
      </font>
      <fill>
        <patternFill patternType="none">
          <fgColor indexed="64"/>
          <bgColor indexed="65"/>
        </patternFill>
      </fill>
    </dxf>
    <dxf>
      <font>
        <b val="0"/>
        <i val="0"/>
        <strike val="0"/>
        <condense val="0"/>
        <extend val="0"/>
        <outline val="0"/>
        <shadow val="0"/>
        <u val="none"/>
        <vertAlign val="baseline"/>
        <sz val="10"/>
        <color theme="1" tint="0.249977111117893"/>
        <name val="Lao UI"/>
        <family val="2"/>
        <scheme val="none"/>
      </font>
      <fill>
        <patternFill patternType="none">
          <fgColor indexed="64"/>
          <bgColor indexed="65"/>
        </patternFill>
      </fill>
    </dxf>
    <dxf>
      <font>
        <b val="0"/>
        <i val="0"/>
        <strike val="0"/>
        <condense val="0"/>
        <extend val="0"/>
        <outline val="0"/>
        <shadow val="0"/>
        <u val="none"/>
        <vertAlign val="baseline"/>
        <sz val="10"/>
        <color theme="1" tint="0.249977111117893"/>
        <name val="Lao UI"/>
        <family val="2"/>
        <scheme val="none"/>
      </font>
      <numFmt numFmtId="169" formatCode="0.0"/>
      <fill>
        <patternFill patternType="none">
          <fgColor indexed="64"/>
          <bgColor indexed="65"/>
        </patternFill>
      </fill>
    </dxf>
    <dxf>
      <font>
        <b val="0"/>
        <i val="0"/>
        <strike val="0"/>
        <condense val="0"/>
        <extend val="0"/>
        <outline val="0"/>
        <shadow val="0"/>
        <u val="none"/>
        <vertAlign val="baseline"/>
        <sz val="10"/>
        <color theme="1" tint="0.249977111117893"/>
        <name val="Lao UI"/>
        <family val="2"/>
        <scheme val="none"/>
      </font>
      <numFmt numFmtId="169" formatCode="0.0"/>
      <fill>
        <patternFill patternType="none">
          <fgColor indexed="64"/>
          <bgColor indexed="65"/>
        </patternFill>
      </fill>
    </dxf>
    <dxf>
      <font>
        <b val="0"/>
        <i val="0"/>
        <strike val="0"/>
        <condense val="0"/>
        <extend val="0"/>
        <outline val="0"/>
        <shadow val="0"/>
        <u val="none"/>
        <vertAlign val="baseline"/>
        <sz val="10"/>
        <color theme="1" tint="0.249977111117893"/>
        <name val="Lao UI"/>
        <family val="2"/>
        <scheme val="none"/>
      </font>
      <numFmt numFmtId="169" formatCode="0.0"/>
      <fill>
        <patternFill patternType="none">
          <fgColor indexed="64"/>
          <bgColor indexed="65"/>
        </patternFill>
      </fill>
    </dxf>
    <dxf>
      <font>
        <b val="0"/>
        <i val="0"/>
        <strike val="0"/>
        <condense val="0"/>
        <extend val="0"/>
        <outline val="0"/>
        <shadow val="0"/>
        <u val="none"/>
        <vertAlign val="baseline"/>
        <sz val="10"/>
        <color theme="1" tint="0.249977111117893"/>
        <name val="Lao UI"/>
        <family val="2"/>
        <scheme val="none"/>
      </font>
      <numFmt numFmtId="169" formatCode="0.0"/>
      <fill>
        <patternFill patternType="none">
          <fgColor indexed="64"/>
          <bgColor indexed="65"/>
        </patternFill>
      </fill>
    </dxf>
    <dxf>
      <font>
        <b val="0"/>
        <i val="0"/>
        <strike val="0"/>
        <condense val="0"/>
        <extend val="0"/>
        <outline val="0"/>
        <shadow val="0"/>
        <u val="none"/>
        <vertAlign val="baseline"/>
        <sz val="10"/>
        <color theme="1" tint="0.249977111117893"/>
        <name val="Lao UI"/>
        <family val="2"/>
        <scheme val="none"/>
      </font>
      <numFmt numFmtId="169" formatCode="0.0"/>
      <fill>
        <patternFill patternType="none">
          <fgColor indexed="64"/>
          <bgColor auto="1"/>
        </patternFill>
      </fill>
    </dxf>
    <dxf>
      <font>
        <b val="0"/>
        <i val="0"/>
        <strike val="0"/>
        <condense val="0"/>
        <extend val="0"/>
        <outline val="0"/>
        <shadow val="0"/>
        <u val="none"/>
        <vertAlign val="baseline"/>
        <sz val="10"/>
        <color theme="1" tint="0.249977111117893"/>
        <name val="Lao UI"/>
        <scheme val="none"/>
      </font>
      <fill>
        <patternFill patternType="none">
          <fgColor indexed="64"/>
          <bgColor auto="1"/>
        </patternFill>
      </fill>
    </dxf>
    <dxf>
      <font>
        <b val="0"/>
        <i val="0"/>
        <strike val="0"/>
        <condense val="0"/>
        <extend val="0"/>
        <outline val="0"/>
        <shadow val="0"/>
        <u val="none"/>
        <vertAlign val="baseline"/>
        <sz val="10"/>
        <color theme="1" tint="0.249977111117893"/>
        <name val="Lao UI"/>
        <scheme val="none"/>
      </font>
      <fill>
        <patternFill patternType="none">
          <fgColor indexed="64"/>
          <bgColor auto="1"/>
        </patternFill>
      </fill>
    </dxf>
    <dxf>
      <font>
        <b val="0"/>
        <i val="0"/>
        <strike val="0"/>
        <condense val="0"/>
        <extend val="0"/>
        <outline val="0"/>
        <shadow val="0"/>
        <u val="none"/>
        <vertAlign val="baseline"/>
        <sz val="10"/>
        <color theme="1" tint="0.249977111117893"/>
        <name val="Lao UI"/>
        <scheme val="none"/>
      </font>
      <fill>
        <patternFill patternType="none">
          <fgColor indexed="64"/>
          <bgColor auto="1"/>
        </patternFill>
      </fill>
    </dxf>
    <dxf>
      <font>
        <b val="0"/>
        <i val="0"/>
        <strike val="0"/>
        <condense val="0"/>
        <extend val="0"/>
        <outline val="0"/>
        <shadow val="0"/>
        <u val="none"/>
        <vertAlign val="baseline"/>
        <sz val="10"/>
        <color theme="0"/>
        <name val="Lao UI"/>
        <scheme val="none"/>
      </font>
      <fill>
        <patternFill patternType="solid">
          <fgColor indexed="64"/>
          <bgColor rgb="FF01539C"/>
        </patternFill>
      </fill>
    </dxf>
    <dxf>
      <font>
        <b val="0"/>
        <i val="0"/>
        <strike val="0"/>
        <condense val="0"/>
        <extend val="0"/>
        <outline val="0"/>
        <shadow val="0"/>
        <u val="none"/>
        <vertAlign val="baseline"/>
        <sz val="10"/>
        <color theme="1" tint="0.249977111117893"/>
        <name val="Lao UI"/>
        <family val="2"/>
        <scheme val="none"/>
      </font>
    </dxf>
    <dxf>
      <font>
        <b val="0"/>
        <i val="0"/>
        <strike val="0"/>
        <condense val="0"/>
        <extend val="0"/>
        <outline val="0"/>
        <shadow val="0"/>
        <u val="none"/>
        <vertAlign val="baseline"/>
        <sz val="10"/>
        <color theme="1" tint="0.249977111117893"/>
        <name val="Lao UI"/>
        <family val="2"/>
        <scheme val="none"/>
      </font>
    </dxf>
    <dxf>
      <font>
        <b val="0"/>
        <i val="0"/>
        <strike val="0"/>
        <condense val="0"/>
        <extend val="0"/>
        <outline val="0"/>
        <shadow val="0"/>
        <u val="none"/>
        <vertAlign val="baseline"/>
        <sz val="10"/>
        <color theme="1" tint="0.249977111117893"/>
        <name val="Lao UI"/>
        <family val="2"/>
        <scheme val="none"/>
      </font>
    </dxf>
    <dxf>
      <border outline="0">
        <top style="thin">
          <color theme="0" tint="-0.249977111117893"/>
        </top>
      </border>
    </dxf>
    <dxf>
      <font>
        <b val="0"/>
        <i val="0"/>
        <strike val="0"/>
        <condense val="0"/>
        <extend val="0"/>
        <outline val="0"/>
        <shadow val="0"/>
        <u val="none"/>
        <vertAlign val="baseline"/>
        <sz val="10"/>
        <color theme="1" tint="0.249977111117893"/>
        <name val="Lao UI"/>
        <family val="2"/>
        <scheme val="none"/>
      </font>
    </dxf>
    <dxf>
      <font>
        <b val="0"/>
        <i val="0"/>
        <strike val="0"/>
        <condense val="0"/>
        <extend val="0"/>
        <outline val="0"/>
        <shadow val="0"/>
        <u val="none"/>
        <vertAlign val="baseline"/>
        <sz val="10"/>
        <color theme="0"/>
        <name val="Lao UI"/>
        <family val="2"/>
        <scheme val="none"/>
      </font>
      <fill>
        <patternFill patternType="solid">
          <fgColor indexed="64"/>
          <bgColor rgb="FF01539C"/>
        </patternFill>
      </fill>
    </dxf>
    <dxf>
      <font>
        <b val="0"/>
        <i val="0"/>
        <strike val="0"/>
        <condense val="0"/>
        <extend val="0"/>
        <outline val="0"/>
        <shadow val="0"/>
        <u/>
        <vertAlign val="baseline"/>
        <sz val="10"/>
        <color theme="10"/>
        <name val="Lao UI"/>
        <family val="2"/>
        <scheme val="none"/>
      </font>
    </dxf>
    <dxf>
      <font>
        <b val="0"/>
        <i val="0"/>
        <strike val="0"/>
        <condense val="0"/>
        <extend val="0"/>
        <outline val="0"/>
        <shadow val="0"/>
        <u val="none"/>
        <vertAlign val="baseline"/>
        <sz val="10"/>
        <color theme="1" tint="0.249977111117893"/>
        <name val="Lao UI"/>
        <family val="2"/>
        <scheme val="none"/>
      </font>
    </dxf>
    <dxf>
      <font>
        <b val="0"/>
        <i val="0"/>
        <strike val="0"/>
        <condense val="0"/>
        <extend val="0"/>
        <outline val="0"/>
        <shadow val="0"/>
        <u val="none"/>
        <vertAlign val="baseline"/>
        <sz val="10"/>
        <color theme="1" tint="0.249977111117893"/>
        <name val="Lao UI"/>
        <family val="2"/>
        <scheme val="none"/>
      </font>
      <alignment horizontal="left" vertical="bottom" textRotation="0" wrapText="0" indent="0" justifyLastLine="0" shrinkToFit="0" readingOrder="0"/>
    </dxf>
    <dxf>
      <border outline="0">
        <top style="thin">
          <color theme="0" tint="-0.249977111117893"/>
        </top>
      </border>
    </dxf>
    <dxf>
      <font>
        <b val="0"/>
        <i val="0"/>
        <strike val="0"/>
        <condense val="0"/>
        <extend val="0"/>
        <outline val="0"/>
        <shadow val="0"/>
        <u val="none"/>
        <vertAlign val="baseline"/>
        <sz val="10"/>
        <color theme="0"/>
        <name val="Lao UI"/>
        <family val="2"/>
        <scheme val="none"/>
      </font>
      <fill>
        <patternFill patternType="solid">
          <fgColor indexed="64"/>
          <bgColor rgb="FF3FA344"/>
        </patternFill>
      </fill>
    </dxf>
    <dxf>
      <font>
        <strike val="0"/>
        <outline val="0"/>
        <shadow val="0"/>
        <u/>
        <vertAlign val="baseline"/>
        <sz val="10"/>
        <color theme="10"/>
        <name val="Lao UI"/>
        <family val="2"/>
        <scheme val="none"/>
      </font>
    </dxf>
    <dxf>
      <font>
        <b val="0"/>
        <i val="0"/>
        <strike val="0"/>
        <condense val="0"/>
        <extend val="0"/>
        <outline val="0"/>
        <shadow val="0"/>
        <u val="none"/>
        <vertAlign val="baseline"/>
        <sz val="10"/>
        <color theme="1"/>
        <name val="Lao UI"/>
        <family val="2"/>
        <scheme val="none"/>
      </font>
    </dxf>
    <dxf>
      <font>
        <b val="0"/>
        <i val="0"/>
        <strike val="0"/>
        <condense val="0"/>
        <extend val="0"/>
        <outline val="0"/>
        <shadow val="0"/>
        <u val="none"/>
        <vertAlign val="baseline"/>
        <sz val="10"/>
        <color theme="1"/>
        <name val="Lao UI"/>
        <family val="2"/>
        <scheme val="none"/>
      </font>
    </dxf>
    <dxf>
      <border outline="0">
        <top style="thin">
          <color theme="0" tint="-0.249977111117893"/>
        </top>
      </border>
    </dxf>
    <dxf>
      <font>
        <b val="0"/>
        <i val="0"/>
        <strike val="0"/>
        <condense val="0"/>
        <extend val="0"/>
        <outline val="0"/>
        <shadow val="0"/>
        <u val="none"/>
        <vertAlign val="baseline"/>
        <sz val="10"/>
        <color theme="1"/>
        <name val="Lao UI"/>
        <family val="2"/>
        <scheme val="none"/>
      </font>
    </dxf>
    <dxf>
      <font>
        <b val="0"/>
        <i val="0"/>
        <strike val="0"/>
        <condense val="0"/>
        <extend val="0"/>
        <outline val="0"/>
        <shadow val="0"/>
        <u val="none"/>
        <vertAlign val="baseline"/>
        <sz val="10"/>
        <color theme="1" tint="0.249977111117893"/>
        <name val="Lao UI"/>
        <family val="2"/>
        <scheme val="none"/>
      </font>
    </dxf>
    <dxf>
      <font>
        <b val="0"/>
        <i val="0"/>
        <strike val="0"/>
        <condense val="0"/>
        <extend val="0"/>
        <outline val="0"/>
        <shadow val="0"/>
        <u/>
        <vertAlign val="baseline"/>
        <sz val="10"/>
        <color theme="10"/>
        <name val="Lao UI"/>
        <family val="2"/>
        <scheme val="none"/>
      </font>
      <fill>
        <patternFill patternType="none">
          <fgColor indexed="64"/>
          <bgColor auto="1"/>
        </patternFill>
      </fill>
      <border diagonalUp="0" diagonalDown="0" outline="0">
        <left/>
        <right/>
        <top/>
        <bottom style="thin">
          <color theme="0" tint="-0.249977111117893"/>
        </bottom>
      </border>
    </dxf>
    <dxf>
      <font>
        <b val="0"/>
        <i val="0"/>
        <strike val="0"/>
        <condense val="0"/>
        <extend val="0"/>
        <outline val="0"/>
        <shadow val="0"/>
        <u val="none"/>
        <vertAlign val="baseline"/>
        <sz val="10"/>
        <color theme="1" tint="0.249977111117893"/>
        <name val="Lao UI"/>
        <family val="2"/>
        <scheme val="none"/>
      </font>
      <fill>
        <patternFill patternType="none">
          <fgColor indexed="64"/>
          <bgColor auto="1"/>
        </patternFill>
      </fill>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tint="0.249977111117893"/>
        <name val="Lao UI"/>
        <family val="2"/>
        <scheme val="none"/>
      </font>
      <fill>
        <patternFill patternType="none">
          <fgColor indexed="64"/>
          <bgColor auto="1"/>
        </patternFill>
      </fill>
      <border diagonalUp="0" diagonalDown="0" outline="0">
        <left/>
        <right style="thin">
          <color theme="0" tint="-0.249977111117893"/>
        </right>
        <top/>
        <bottom style="thin">
          <color theme="0" tint="-0.249977111117893"/>
        </bottom>
      </border>
    </dxf>
    <dxf>
      <border outline="0">
        <left style="thin">
          <color theme="0" tint="-0.249977111117893"/>
        </left>
        <right style="thin">
          <color theme="0" tint="-0.249977111117893"/>
        </right>
        <top style="thin">
          <color theme="0" tint="-0.249977111117893"/>
        </top>
        <bottom style="thin">
          <color theme="0" tint="-0.249977111117893"/>
        </bottom>
      </border>
    </dxf>
    <dxf>
      <fill>
        <patternFill patternType="none">
          <fgColor indexed="64"/>
          <bgColor auto="1"/>
        </patternFill>
      </fill>
    </dxf>
    <dxf>
      <font>
        <strike val="0"/>
        <outline val="0"/>
        <shadow val="0"/>
        <u val="none"/>
        <vertAlign val="baseline"/>
        <sz val="10"/>
        <color theme="0"/>
        <name val="Lao UI"/>
        <family val="2"/>
        <scheme val="none"/>
      </font>
      <fill>
        <patternFill patternType="none">
          <fgColor indexed="64"/>
          <bgColor auto="1"/>
        </patternFill>
      </fill>
    </dxf>
    <dxf>
      <font>
        <b val="0"/>
        <i val="0"/>
        <strike val="0"/>
        <condense val="0"/>
        <extend val="0"/>
        <outline val="0"/>
        <shadow val="0"/>
        <u val="none"/>
        <vertAlign val="baseline"/>
        <sz val="10"/>
        <color theme="1" tint="0.249977111117893"/>
        <name val="Lao UI"/>
        <family val="2"/>
        <scheme val="none"/>
      </font>
      <fill>
        <patternFill patternType="none">
          <fgColor indexed="64"/>
          <bgColor indexed="65"/>
        </patternFill>
      </fill>
    </dxf>
    <dxf>
      <font>
        <b val="0"/>
        <i val="0"/>
        <strike val="0"/>
        <condense val="0"/>
        <extend val="0"/>
        <outline val="0"/>
        <shadow val="0"/>
        <u val="none"/>
        <vertAlign val="baseline"/>
        <sz val="10"/>
        <color theme="1" tint="0.249977111117893"/>
        <name val="Lao UI"/>
        <family val="2"/>
        <scheme val="none"/>
      </font>
      <fill>
        <patternFill patternType="none">
          <fgColor indexed="64"/>
          <bgColor auto="1"/>
        </patternFill>
      </fill>
    </dxf>
    <dxf>
      <font>
        <b val="0"/>
        <i val="0"/>
        <strike val="0"/>
        <condense val="0"/>
        <extend val="0"/>
        <outline val="0"/>
        <shadow val="0"/>
        <u val="none"/>
        <vertAlign val="baseline"/>
        <sz val="10"/>
        <color theme="1" tint="0.249977111117893"/>
        <name val="Lao UI"/>
        <scheme val="none"/>
      </font>
      <fill>
        <patternFill patternType="none">
          <fgColor indexed="64"/>
          <bgColor auto="1"/>
        </patternFill>
      </fill>
    </dxf>
    <dxf>
      <border outline="0">
        <top style="thin">
          <color theme="0" tint="-0.249977111117893"/>
        </top>
      </border>
    </dxf>
    <dxf>
      <font>
        <b val="0"/>
        <i val="0"/>
        <strike val="0"/>
        <condense val="0"/>
        <extend val="0"/>
        <outline val="0"/>
        <shadow val="0"/>
        <u val="none"/>
        <vertAlign val="baseline"/>
        <sz val="10"/>
        <color theme="1" tint="0.249977111117893"/>
        <name val="Lao UI"/>
        <scheme val="none"/>
      </font>
      <fill>
        <patternFill patternType="none">
          <fgColor indexed="64"/>
          <bgColor auto="1"/>
        </patternFill>
      </fill>
    </dxf>
    <dxf>
      <font>
        <b val="0"/>
        <i val="0"/>
        <strike val="0"/>
        <condense val="0"/>
        <extend val="0"/>
        <outline val="0"/>
        <shadow val="0"/>
        <u val="none"/>
        <vertAlign val="baseline"/>
        <sz val="10"/>
        <color theme="0"/>
        <name val="Lao UI"/>
        <scheme val="none"/>
      </font>
      <fill>
        <patternFill patternType="none">
          <fgColor indexed="64"/>
          <bgColor auto="1"/>
        </patternFill>
      </fill>
    </dxf>
    <dxf>
      <font>
        <b val="0"/>
        <i val="0"/>
        <strike val="0"/>
        <condense val="0"/>
        <extend val="0"/>
        <outline val="0"/>
        <shadow val="0"/>
        <u val="none"/>
        <vertAlign val="baseline"/>
        <sz val="10"/>
        <color theme="1" tint="0.249977111117893"/>
        <name val="Lao UI"/>
        <scheme val="none"/>
      </font>
      <fill>
        <patternFill patternType="none">
          <fgColor indexed="64"/>
          <bgColor auto="1"/>
        </patternFill>
      </fill>
    </dxf>
    <dxf>
      <font>
        <b val="0"/>
        <i val="0"/>
        <strike val="0"/>
        <condense val="0"/>
        <extend val="0"/>
        <outline val="0"/>
        <shadow val="0"/>
        <u val="none"/>
        <vertAlign val="baseline"/>
        <sz val="10"/>
        <color theme="1" tint="0.249977111117893"/>
        <name val="Lao UI"/>
        <scheme val="none"/>
      </font>
      <fill>
        <patternFill patternType="none">
          <fgColor indexed="64"/>
          <bgColor auto="1"/>
        </patternFill>
      </fill>
    </dxf>
    <dxf>
      <font>
        <b val="0"/>
        <i val="0"/>
        <strike val="0"/>
        <condense val="0"/>
        <extend val="0"/>
        <outline val="0"/>
        <shadow val="0"/>
        <u val="none"/>
        <vertAlign val="baseline"/>
        <sz val="10"/>
        <color theme="1" tint="0.249977111117893"/>
        <name val="Lao UI"/>
        <scheme val="none"/>
      </font>
      <fill>
        <patternFill patternType="none">
          <fgColor indexed="64"/>
          <bgColor indexed="65"/>
        </patternFill>
      </fill>
    </dxf>
    <dxf>
      <font>
        <b val="0"/>
        <i val="0"/>
        <strike val="0"/>
        <condense val="0"/>
        <extend val="0"/>
        <outline val="0"/>
        <shadow val="0"/>
        <u val="none"/>
        <vertAlign val="baseline"/>
        <sz val="10"/>
        <color theme="1" tint="0.249977111117893"/>
        <name val="Lao UI"/>
        <scheme val="none"/>
      </font>
      <fill>
        <patternFill patternType="none">
          <fgColor indexed="64"/>
          <bgColor auto="1"/>
        </patternFill>
      </fill>
    </dxf>
    <dxf>
      <font>
        <b val="0"/>
        <i val="0"/>
        <strike val="0"/>
        <condense val="0"/>
        <extend val="0"/>
        <outline val="0"/>
        <shadow val="0"/>
        <u val="none"/>
        <vertAlign val="baseline"/>
        <sz val="10"/>
        <color theme="0"/>
        <name val="Lao UI"/>
        <scheme val="none"/>
      </font>
      <fill>
        <patternFill patternType="solid">
          <fgColor indexed="64"/>
          <bgColor rgb="FF3FA344"/>
        </patternFill>
      </fill>
    </dxf>
    <dxf>
      <font>
        <b val="0"/>
        <i val="0"/>
        <strike val="0"/>
        <condense val="0"/>
        <extend val="0"/>
        <outline val="0"/>
        <shadow val="0"/>
        <u val="none"/>
        <vertAlign val="baseline"/>
        <sz val="10"/>
        <color theme="1" tint="0.249977111117893"/>
        <name val="Lao UI"/>
        <scheme val="none"/>
      </font>
      <fill>
        <patternFill patternType="none">
          <fgColor indexed="64"/>
          <bgColor auto="1"/>
        </patternFill>
      </fill>
    </dxf>
    <dxf>
      <font>
        <b val="0"/>
        <i val="0"/>
        <strike val="0"/>
        <condense val="0"/>
        <extend val="0"/>
        <outline val="0"/>
        <shadow val="0"/>
        <u val="none"/>
        <vertAlign val="baseline"/>
        <sz val="10"/>
        <color theme="1" tint="0.249977111117893"/>
        <name val="Lao UI"/>
        <scheme val="none"/>
      </font>
      <fill>
        <patternFill patternType="none">
          <fgColor indexed="64"/>
          <bgColor auto="1"/>
        </patternFill>
      </fill>
    </dxf>
    <dxf>
      <font>
        <b val="0"/>
        <i val="0"/>
        <strike val="0"/>
        <condense val="0"/>
        <extend val="0"/>
        <outline val="0"/>
        <shadow val="0"/>
        <u val="none"/>
        <vertAlign val="baseline"/>
        <sz val="10"/>
        <color theme="1" tint="0.249977111117893"/>
        <name val="Lao UI"/>
        <scheme val="none"/>
      </font>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0"/>
        <color theme="0"/>
        <name val="Lao UI"/>
        <scheme val="none"/>
      </font>
      <fill>
        <patternFill patternType="solid">
          <fgColor indexed="64"/>
          <bgColor rgb="FF3FA344"/>
        </patternFill>
      </fill>
    </dxf>
    <dxf>
      <font>
        <b val="0"/>
        <i val="0"/>
        <strike val="0"/>
        <condense val="0"/>
        <extend val="0"/>
        <outline val="0"/>
        <shadow val="0"/>
        <u val="none"/>
        <vertAlign val="baseline"/>
        <sz val="10"/>
        <color theme="1"/>
        <name val="Lao UI"/>
        <scheme val="none"/>
      </font>
      <fill>
        <patternFill patternType="none">
          <fgColor indexed="64"/>
          <bgColor auto="1"/>
        </patternFill>
      </fill>
    </dxf>
    <dxf>
      <font>
        <b val="0"/>
        <i val="0"/>
        <strike val="0"/>
        <condense val="0"/>
        <extend val="0"/>
        <outline val="0"/>
        <shadow val="0"/>
        <u val="none"/>
        <vertAlign val="baseline"/>
        <sz val="10"/>
        <color theme="1"/>
        <name val="Lao UI"/>
        <scheme val="none"/>
      </font>
      <fill>
        <patternFill patternType="none">
          <fgColor indexed="64"/>
          <bgColor auto="1"/>
        </patternFill>
      </fill>
    </dxf>
    <dxf>
      <font>
        <b val="0"/>
        <i val="0"/>
        <strike val="0"/>
        <condense val="0"/>
        <extend val="0"/>
        <outline val="0"/>
        <shadow val="0"/>
        <u val="none"/>
        <vertAlign val="baseline"/>
        <sz val="10"/>
        <color theme="1"/>
        <name val="Lao UI"/>
        <scheme val="none"/>
      </font>
      <fill>
        <patternFill patternType="none">
          <fgColor indexed="64"/>
          <bgColor auto="1"/>
        </patternFill>
      </fill>
    </dxf>
    <dxf>
      <font>
        <b val="0"/>
        <i val="0"/>
        <strike val="0"/>
        <condense val="0"/>
        <extend val="0"/>
        <outline val="0"/>
        <shadow val="0"/>
        <u val="none"/>
        <vertAlign val="baseline"/>
        <sz val="10"/>
        <color theme="1"/>
        <name val="Lao UI"/>
        <scheme val="none"/>
      </font>
      <fill>
        <patternFill patternType="none">
          <fgColor indexed="64"/>
          <bgColor auto="1"/>
        </patternFill>
      </fill>
    </dxf>
    <dxf>
      <font>
        <b val="0"/>
        <i val="0"/>
        <strike val="0"/>
        <condense val="0"/>
        <extend val="0"/>
        <outline val="0"/>
        <shadow val="0"/>
        <u val="none"/>
        <vertAlign val="baseline"/>
        <sz val="10"/>
        <color theme="1" tint="0.249977111117893"/>
        <name val="Lao UI"/>
        <scheme val="none"/>
      </font>
      <fill>
        <patternFill patternType="none">
          <fgColor indexed="64"/>
          <bgColor indexed="65"/>
        </patternFill>
      </fill>
    </dxf>
    <dxf>
      <font>
        <b val="0"/>
        <i val="0"/>
        <strike val="0"/>
        <condense val="0"/>
        <extend val="0"/>
        <outline val="0"/>
        <shadow val="0"/>
        <u val="none"/>
        <vertAlign val="baseline"/>
        <sz val="10"/>
        <color theme="1" tint="0.249977111117893"/>
        <name val="Lao UI"/>
        <scheme val="none"/>
      </font>
      <fill>
        <patternFill patternType="none">
          <fgColor indexed="64"/>
          <bgColor auto="1"/>
        </patternFill>
      </fill>
    </dxf>
    <dxf>
      <font>
        <b val="0"/>
        <i val="0"/>
        <strike val="0"/>
        <condense val="0"/>
        <extend val="0"/>
        <outline val="0"/>
        <shadow val="0"/>
        <u val="none"/>
        <vertAlign val="baseline"/>
        <sz val="10"/>
        <color theme="1" tint="0.249977111117893"/>
        <name val="Lao UI"/>
        <scheme val="none"/>
      </font>
      <fill>
        <patternFill patternType="none">
          <fgColor indexed="64"/>
          <bgColor auto="1"/>
        </patternFill>
      </fill>
    </dxf>
    <dxf>
      <font>
        <b val="0"/>
        <i val="0"/>
        <strike val="0"/>
        <condense val="0"/>
        <extend val="0"/>
        <outline val="0"/>
        <shadow val="0"/>
        <u val="none"/>
        <vertAlign val="baseline"/>
        <sz val="10"/>
        <color theme="1" tint="0.249977111117893"/>
        <name val="Lao UI"/>
        <scheme val="none"/>
      </font>
      <fill>
        <patternFill patternType="none">
          <fgColor indexed="64"/>
          <bgColor auto="1"/>
        </patternFill>
      </fill>
    </dxf>
    <dxf>
      <font>
        <b val="0"/>
        <i val="0"/>
        <strike val="0"/>
        <condense val="0"/>
        <extend val="0"/>
        <outline val="0"/>
        <shadow val="0"/>
        <u val="none"/>
        <vertAlign val="baseline"/>
        <sz val="10"/>
        <color theme="1" tint="0.249977111117893"/>
        <name val="Lao UI"/>
        <scheme val="none"/>
      </font>
      <fill>
        <patternFill patternType="none">
          <fgColor indexed="64"/>
          <bgColor auto="1"/>
        </patternFill>
      </fill>
    </dxf>
    <dxf>
      <font>
        <b val="0"/>
        <i val="0"/>
        <strike val="0"/>
        <condense val="0"/>
        <extend val="0"/>
        <outline val="0"/>
        <shadow val="0"/>
        <u val="none"/>
        <vertAlign val="baseline"/>
        <sz val="10"/>
        <color theme="1" tint="0.249977111117893"/>
        <name val="Lao UI"/>
        <scheme val="none"/>
      </font>
      <fill>
        <patternFill patternType="none">
          <fgColor indexed="64"/>
          <bgColor auto="1"/>
        </patternFill>
      </fill>
    </dxf>
    <dxf>
      <font>
        <b val="0"/>
        <i val="0"/>
        <strike val="0"/>
        <condense val="0"/>
        <extend val="0"/>
        <outline val="0"/>
        <shadow val="0"/>
        <u val="none"/>
        <vertAlign val="baseline"/>
        <sz val="10"/>
        <color theme="1" tint="0.249977111117893"/>
        <name val="Lao UI"/>
        <scheme val="none"/>
      </font>
      <numFmt numFmtId="14" formatCode="0.00%"/>
      <fill>
        <patternFill patternType="none">
          <fgColor indexed="64"/>
          <bgColor auto="1"/>
        </patternFill>
      </fill>
    </dxf>
    <dxf>
      <font>
        <b val="0"/>
        <i val="0"/>
        <strike val="0"/>
        <condense val="0"/>
        <extend val="0"/>
        <outline val="0"/>
        <shadow val="0"/>
        <u val="none"/>
        <vertAlign val="baseline"/>
        <sz val="10"/>
        <color theme="1" tint="0.249977111117893"/>
        <name val="Lao UI"/>
        <scheme val="none"/>
      </font>
      <fill>
        <patternFill patternType="none">
          <fgColor indexed="64"/>
          <bgColor auto="1"/>
        </patternFill>
      </fill>
    </dxf>
    <dxf>
      <font>
        <b val="0"/>
        <i val="0"/>
        <strike val="0"/>
        <condense val="0"/>
        <extend val="0"/>
        <outline val="0"/>
        <shadow val="0"/>
        <u val="none"/>
        <vertAlign val="baseline"/>
        <sz val="10"/>
        <color theme="1" tint="0.249977111117893"/>
        <name val="Lao UI"/>
        <scheme val="none"/>
      </font>
      <fill>
        <patternFill patternType="none">
          <fgColor indexed="64"/>
          <bgColor auto="1"/>
        </patternFill>
      </fill>
    </dxf>
    <dxf>
      <font>
        <b val="0"/>
        <i val="0"/>
        <strike val="0"/>
        <condense val="0"/>
        <extend val="0"/>
        <outline val="0"/>
        <shadow val="0"/>
        <u val="none"/>
        <vertAlign val="baseline"/>
        <sz val="10"/>
        <color theme="0"/>
        <name val="Lao UI"/>
        <scheme val="none"/>
      </font>
      <fill>
        <patternFill patternType="solid">
          <fgColor indexed="64"/>
          <bgColor rgb="FF01539C"/>
        </patternFill>
      </fill>
    </dxf>
    <dxf>
      <font>
        <b val="0"/>
        <i val="0"/>
        <strike val="0"/>
        <condense val="0"/>
        <extend val="0"/>
        <outline val="0"/>
        <shadow val="0"/>
        <u/>
        <vertAlign val="baseline"/>
        <sz val="10"/>
        <color theme="1" tint="0.249977111117893"/>
        <name val="Lao UI"/>
        <scheme val="none"/>
      </font>
      <fill>
        <patternFill patternType="none">
          <fgColor indexed="64"/>
          <bgColor indexed="65"/>
        </patternFill>
      </fill>
    </dxf>
    <dxf>
      <font>
        <b val="0"/>
        <i val="0"/>
        <strike val="0"/>
        <condense val="0"/>
        <extend val="0"/>
        <outline val="0"/>
        <shadow val="0"/>
        <u val="none"/>
        <vertAlign val="baseline"/>
        <sz val="10"/>
        <color theme="1" tint="0.249977111117893"/>
        <name val="Lao UI"/>
        <scheme val="none"/>
      </font>
      <fill>
        <patternFill patternType="none">
          <fgColor indexed="64"/>
          <bgColor auto="1"/>
        </patternFill>
      </fill>
    </dxf>
    <dxf>
      <font>
        <b val="0"/>
        <i val="0"/>
        <strike val="0"/>
        <condense val="0"/>
        <extend val="0"/>
        <outline val="0"/>
        <shadow val="0"/>
        <u val="none"/>
        <vertAlign val="baseline"/>
        <sz val="10"/>
        <color theme="1" tint="0.249977111117893"/>
        <name val="Lao UI"/>
        <scheme val="none"/>
      </font>
      <fill>
        <patternFill patternType="none">
          <fgColor indexed="64"/>
          <bgColor indexed="65"/>
        </patternFill>
      </fill>
    </dxf>
    <dxf>
      <font>
        <b val="0"/>
        <i val="0"/>
        <strike val="0"/>
        <condense val="0"/>
        <extend val="0"/>
        <outline val="0"/>
        <shadow val="0"/>
        <u val="none"/>
        <vertAlign val="baseline"/>
        <sz val="10"/>
        <color theme="0"/>
        <name val="Lao UI"/>
        <scheme val="none"/>
      </font>
      <fill>
        <patternFill patternType="solid">
          <fgColor indexed="64"/>
          <bgColor rgb="FF3FA344"/>
        </patternFill>
      </fill>
    </dxf>
    <dxf>
      <font>
        <b val="0"/>
        <i val="0"/>
        <strike val="0"/>
        <condense val="0"/>
        <extend val="0"/>
        <outline val="0"/>
        <shadow val="0"/>
        <u val="none"/>
        <vertAlign val="baseline"/>
        <sz val="10"/>
        <color theme="1" tint="0.24994659260841701"/>
        <name val="Lao UI"/>
        <scheme val="none"/>
      </font>
      <fill>
        <patternFill patternType="none">
          <fgColor indexed="64"/>
          <bgColor indexed="65"/>
        </patternFill>
      </fill>
    </dxf>
    <dxf>
      <font>
        <b val="0"/>
        <i val="0"/>
        <strike val="0"/>
        <condense val="0"/>
        <extend val="0"/>
        <outline val="0"/>
        <shadow val="0"/>
        <u val="none"/>
        <vertAlign val="baseline"/>
        <sz val="10"/>
        <color theme="1"/>
        <name val="Lao UI"/>
        <scheme val="none"/>
      </font>
      <fill>
        <patternFill patternType="none">
          <fgColor indexed="64"/>
          <bgColor indexed="65"/>
        </patternFill>
      </fill>
    </dxf>
    <dxf>
      <font>
        <b val="0"/>
        <i val="0"/>
        <strike val="0"/>
        <condense val="0"/>
        <extend val="0"/>
        <outline val="0"/>
        <shadow val="0"/>
        <u val="none"/>
        <vertAlign val="baseline"/>
        <sz val="10"/>
        <color theme="1"/>
        <name val="Lao UI"/>
        <scheme val="none"/>
      </font>
      <fill>
        <patternFill patternType="none">
          <fgColor indexed="64"/>
          <bgColor indexed="65"/>
        </patternFill>
      </fill>
    </dxf>
    <dxf>
      <border outline="0">
        <top style="thin">
          <color rgb="FFDA2A2A"/>
        </top>
      </border>
    </dxf>
    <dxf>
      <font>
        <b val="0"/>
        <i val="0"/>
        <strike val="0"/>
        <condense val="0"/>
        <extend val="0"/>
        <outline val="0"/>
        <shadow val="0"/>
        <u val="none"/>
        <vertAlign val="baseline"/>
        <sz val="10"/>
        <color theme="1" tint="0.249977111117893"/>
        <name val="Lao UI"/>
        <scheme val="none"/>
      </font>
      <fill>
        <patternFill patternType="none">
          <fgColor indexed="64"/>
          <bgColor indexed="65"/>
        </patternFill>
      </fill>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tint="0.249977111117893"/>
        <name val="Lao UI"/>
        <scheme val="none"/>
      </font>
      <fill>
        <patternFill patternType="none">
          <fgColor indexed="64"/>
          <bgColor auto="1"/>
        </patternFill>
      </fill>
    </dxf>
    <dxf>
      <font>
        <b val="0"/>
        <i val="0"/>
        <strike val="0"/>
        <condense val="0"/>
        <extend val="0"/>
        <outline val="0"/>
        <shadow val="0"/>
        <u val="none"/>
        <vertAlign val="baseline"/>
        <sz val="10"/>
        <color theme="1" tint="0.249977111117893"/>
        <name val="Lao UI"/>
        <scheme val="none"/>
      </font>
      <fill>
        <patternFill patternType="none">
          <fgColor indexed="64"/>
          <bgColor auto="1"/>
        </patternFill>
      </fill>
    </dxf>
    <dxf>
      <font>
        <b val="0"/>
        <i val="0"/>
        <strike val="0"/>
        <condense val="0"/>
        <extend val="0"/>
        <outline val="0"/>
        <shadow val="0"/>
        <u val="none"/>
        <vertAlign val="baseline"/>
        <sz val="10"/>
        <color theme="1" tint="0.249977111117893"/>
        <name val="Lao UI"/>
        <scheme val="none"/>
      </font>
      <fill>
        <patternFill patternType="none">
          <fgColor indexed="64"/>
          <bgColor auto="1"/>
        </patternFill>
      </fill>
    </dxf>
    <dxf>
      <font>
        <b val="0"/>
        <i val="0"/>
        <strike val="0"/>
        <condense val="0"/>
        <extend val="0"/>
        <outline val="0"/>
        <shadow val="0"/>
        <u val="none"/>
        <vertAlign val="baseline"/>
        <sz val="10"/>
        <color theme="1" tint="0.249977111117893"/>
        <name val="Lao UI"/>
        <scheme val="none"/>
      </font>
      <fill>
        <patternFill patternType="none">
          <fgColor indexed="64"/>
          <bgColor auto="1"/>
        </patternFill>
      </fill>
    </dxf>
    <dxf>
      <font>
        <b val="0"/>
        <i val="0"/>
        <strike val="0"/>
        <condense val="0"/>
        <extend val="0"/>
        <outline val="0"/>
        <shadow val="0"/>
        <u val="none"/>
        <vertAlign val="baseline"/>
        <sz val="10"/>
        <color theme="0"/>
        <name val="Lao UI"/>
        <scheme val="none"/>
      </font>
      <fill>
        <patternFill patternType="solid">
          <fgColor indexed="64"/>
          <bgColor rgb="FF3FA344"/>
        </patternFill>
      </fill>
    </dxf>
    <dxf>
      <font>
        <b val="0"/>
        <i val="0"/>
        <strike val="0"/>
        <condense val="0"/>
        <extend val="0"/>
        <outline val="0"/>
        <shadow val="0"/>
        <u val="none"/>
        <vertAlign val="baseline"/>
        <sz val="10"/>
        <color theme="1" tint="0.249977111117893"/>
        <name val="Lao UI"/>
        <scheme val="none"/>
      </font>
      <fill>
        <patternFill patternType="none">
          <fgColor indexed="64"/>
          <bgColor indexed="65"/>
        </patternFill>
      </fill>
    </dxf>
    <dxf>
      <font>
        <b val="0"/>
        <i val="0"/>
        <strike val="0"/>
        <condense val="0"/>
        <extend val="0"/>
        <outline val="0"/>
        <shadow val="0"/>
        <u val="none"/>
        <vertAlign val="baseline"/>
        <sz val="10"/>
        <color theme="1" tint="0.249977111117893"/>
        <name val="Lao UI"/>
        <scheme val="none"/>
      </font>
      <numFmt numFmtId="169" formatCode="0.0"/>
      <fill>
        <patternFill patternType="none">
          <fgColor indexed="64"/>
          <bgColor indexed="65"/>
        </patternFill>
      </fill>
    </dxf>
    <dxf>
      <font>
        <b val="0"/>
        <i val="0"/>
        <strike val="0"/>
        <condense val="0"/>
        <extend val="0"/>
        <outline val="0"/>
        <shadow val="0"/>
        <u val="none"/>
        <vertAlign val="baseline"/>
        <sz val="10"/>
        <color theme="1" tint="0.249977111117893"/>
        <name val="Lao UI"/>
        <scheme val="none"/>
      </font>
      <fill>
        <patternFill patternType="none">
          <fgColor indexed="64"/>
          <bgColor indexed="65"/>
        </patternFill>
      </fill>
    </dxf>
    <dxf>
      <font>
        <strike val="0"/>
        <outline val="0"/>
        <shadow val="0"/>
        <sz val="10"/>
      </font>
    </dxf>
    <dxf>
      <font>
        <b val="0"/>
        <i val="0"/>
        <strike val="0"/>
        <condense val="0"/>
        <extend val="0"/>
        <outline val="0"/>
        <shadow val="0"/>
        <u val="none"/>
        <vertAlign val="baseline"/>
        <sz val="10"/>
        <color theme="0"/>
        <name val="Lao UI"/>
        <scheme val="none"/>
      </font>
      <fill>
        <patternFill patternType="solid">
          <fgColor indexed="64"/>
          <bgColor rgb="FF3FA344"/>
        </patternFill>
      </fill>
    </dxf>
    <dxf>
      <font>
        <b val="0"/>
        <i val="0"/>
        <strike val="0"/>
        <condense val="0"/>
        <extend val="0"/>
        <outline val="0"/>
        <shadow val="0"/>
        <u val="none"/>
        <vertAlign val="baseline"/>
        <sz val="10"/>
        <color theme="1" tint="0.249977111117893"/>
        <name val="Lao UI"/>
        <scheme val="none"/>
      </font>
      <fill>
        <patternFill patternType="none">
          <fgColor indexed="64"/>
          <bgColor auto="1"/>
        </patternFill>
      </fill>
    </dxf>
    <dxf>
      <font>
        <b val="0"/>
        <i val="0"/>
        <strike val="0"/>
        <condense val="0"/>
        <extend val="0"/>
        <outline val="0"/>
        <shadow val="0"/>
        <u val="none"/>
        <vertAlign val="baseline"/>
        <sz val="10"/>
        <color theme="1" tint="0.249977111117893"/>
        <name val="Lao UI"/>
        <scheme val="none"/>
      </font>
      <fill>
        <patternFill patternType="none">
          <fgColor indexed="64"/>
          <bgColor auto="1"/>
        </patternFill>
      </fill>
    </dxf>
    <dxf>
      <font>
        <b val="0"/>
        <i val="0"/>
        <strike val="0"/>
        <condense val="0"/>
        <extend val="0"/>
        <outline val="0"/>
        <shadow val="0"/>
        <u val="none"/>
        <vertAlign val="baseline"/>
        <sz val="10"/>
        <color theme="1" tint="0.249977111117893"/>
        <name val="Lao UI"/>
        <scheme val="none"/>
      </font>
      <fill>
        <patternFill patternType="none">
          <fgColor indexed="64"/>
          <bgColor auto="1"/>
        </patternFill>
      </fill>
    </dxf>
    <dxf>
      <font>
        <strike val="0"/>
        <outline val="0"/>
        <shadow val="0"/>
        <sz val="10"/>
      </font>
      <fill>
        <patternFill patternType="none">
          <fgColor indexed="64"/>
          <bgColor auto="1"/>
        </patternFill>
      </fill>
    </dxf>
    <dxf>
      <font>
        <b val="0"/>
        <i val="0"/>
        <strike val="0"/>
        <condense val="0"/>
        <extend val="0"/>
        <outline val="0"/>
        <shadow val="0"/>
        <u val="none"/>
        <vertAlign val="baseline"/>
        <sz val="10"/>
        <color theme="0"/>
        <name val="Lao UI"/>
        <scheme val="none"/>
      </font>
      <fill>
        <patternFill patternType="solid">
          <fgColor indexed="64"/>
          <bgColor rgb="FF3FA344"/>
        </patternFill>
      </fill>
    </dxf>
    <dxf>
      <font>
        <b val="0"/>
        <i val="0"/>
        <strike val="0"/>
        <condense val="0"/>
        <extend val="0"/>
        <outline val="0"/>
        <shadow val="0"/>
        <u/>
        <vertAlign val="baseline"/>
        <sz val="10"/>
        <color theme="10"/>
        <name val="Lao UI"/>
        <family val="2"/>
        <scheme val="none"/>
      </font>
      <fill>
        <patternFill patternType="none">
          <fgColor indexed="64"/>
          <bgColor indexed="65"/>
        </patternFill>
      </fill>
    </dxf>
    <dxf>
      <font>
        <b val="0"/>
        <i val="0"/>
        <strike val="0"/>
        <condense val="0"/>
        <extend val="0"/>
        <outline val="0"/>
        <shadow val="0"/>
        <u val="none"/>
        <vertAlign val="baseline"/>
        <sz val="10"/>
        <color theme="1"/>
        <name val="Lao UI"/>
        <scheme val="none"/>
      </font>
      <numFmt numFmtId="168" formatCode="#,##0.0"/>
      <fill>
        <patternFill patternType="none">
          <fgColor indexed="64"/>
          <bgColor auto="1"/>
        </patternFill>
      </fill>
    </dxf>
    <dxf>
      <font>
        <b val="0"/>
        <i val="0"/>
        <strike val="0"/>
        <condense val="0"/>
        <extend val="0"/>
        <outline val="0"/>
        <shadow val="0"/>
        <u val="none"/>
        <vertAlign val="baseline"/>
        <sz val="10"/>
        <color theme="1"/>
        <name val="Lao UI"/>
        <scheme val="none"/>
      </font>
      <fill>
        <patternFill patternType="none">
          <fgColor indexed="64"/>
          <bgColor auto="1"/>
        </patternFill>
      </fill>
    </dxf>
    <dxf>
      <font>
        <b val="0"/>
        <i val="0"/>
        <strike val="0"/>
        <condense val="0"/>
        <extend val="0"/>
        <outline val="0"/>
        <shadow val="0"/>
        <u val="none"/>
        <vertAlign val="baseline"/>
        <sz val="10"/>
        <color theme="1"/>
        <name val="Lao UI"/>
        <scheme val="none"/>
      </font>
      <fill>
        <patternFill patternType="none">
          <fgColor indexed="64"/>
          <bgColor auto="1"/>
        </patternFill>
      </fill>
    </dxf>
    <dxf>
      <font>
        <strike val="0"/>
        <outline val="0"/>
        <shadow val="0"/>
        <u val="none"/>
        <sz val="10"/>
        <color theme="1" tint="0.249977111117893"/>
        <name val="Lao UI"/>
        <scheme val="none"/>
      </font>
      <fill>
        <patternFill patternType="none">
          <fgColor indexed="64"/>
          <bgColor auto="1"/>
        </patternFill>
      </fill>
    </dxf>
    <dxf>
      <font>
        <b val="0"/>
        <i val="0"/>
        <strike val="0"/>
        <condense val="0"/>
        <extend val="0"/>
        <outline val="0"/>
        <shadow val="0"/>
        <u val="none"/>
        <vertAlign val="baseline"/>
        <sz val="10"/>
        <color theme="1"/>
        <name val="Lao UI"/>
        <scheme val="none"/>
      </font>
      <fill>
        <patternFill patternType="none">
          <fgColor indexed="64"/>
          <bgColor auto="1"/>
        </patternFill>
      </fill>
    </dxf>
    <dxf>
      <font>
        <b val="0"/>
        <i val="0"/>
        <strike val="0"/>
        <condense val="0"/>
        <extend val="0"/>
        <outline val="0"/>
        <shadow val="0"/>
        <u val="none"/>
        <vertAlign val="baseline"/>
        <sz val="10"/>
        <color theme="1"/>
        <name val="Lao UI"/>
        <scheme val="none"/>
      </font>
      <numFmt numFmtId="168" formatCode="#,##0.0"/>
      <fill>
        <patternFill patternType="none">
          <fgColor indexed="64"/>
          <bgColor auto="1"/>
        </patternFill>
      </fill>
    </dxf>
    <dxf>
      <font>
        <b val="0"/>
        <i val="0"/>
        <strike val="0"/>
        <condense val="0"/>
        <extend val="0"/>
        <outline val="0"/>
        <shadow val="0"/>
        <u val="none"/>
        <vertAlign val="baseline"/>
        <sz val="10"/>
        <color theme="1"/>
        <name val="Lao UI"/>
        <scheme val="none"/>
      </font>
      <fill>
        <patternFill patternType="none">
          <fgColor indexed="64"/>
          <bgColor auto="1"/>
        </patternFill>
      </fill>
    </dxf>
    <dxf>
      <font>
        <b val="0"/>
        <i val="0"/>
        <strike val="0"/>
        <condense val="0"/>
        <extend val="0"/>
        <outline val="0"/>
        <shadow val="0"/>
        <u val="none"/>
        <vertAlign val="baseline"/>
        <sz val="10"/>
        <color theme="1"/>
        <name val="Lao UI"/>
        <scheme val="none"/>
      </font>
      <fill>
        <patternFill patternType="none">
          <fgColor indexed="64"/>
          <bgColor auto="1"/>
        </patternFill>
      </fill>
    </dxf>
    <dxf>
      <font>
        <strike val="0"/>
        <outline val="0"/>
        <shadow val="0"/>
        <u val="none"/>
        <sz val="10"/>
        <color theme="1" tint="0.249977111117893"/>
        <name val="Lao UI"/>
        <scheme val="none"/>
      </font>
      <fill>
        <patternFill patternType="none">
          <fgColor indexed="64"/>
          <bgColor auto="1"/>
        </patternFill>
      </fill>
    </dxf>
    <dxf>
      <font>
        <b val="0"/>
        <i val="0"/>
        <strike val="0"/>
        <condense val="0"/>
        <extend val="0"/>
        <outline val="0"/>
        <shadow val="0"/>
        <u val="none"/>
        <vertAlign val="baseline"/>
        <sz val="10"/>
        <color theme="1"/>
        <name val="Lao UI"/>
        <scheme val="none"/>
      </font>
      <fill>
        <patternFill patternType="none">
          <fgColor indexed="64"/>
          <bgColor auto="1"/>
        </patternFill>
      </fill>
    </dxf>
    <dxf>
      <font>
        <b val="0"/>
        <i val="0"/>
        <strike val="0"/>
        <condense val="0"/>
        <extend val="0"/>
        <outline val="0"/>
        <shadow val="0"/>
        <u val="none"/>
        <vertAlign val="baseline"/>
        <sz val="10"/>
        <color theme="1"/>
        <name val="Lao UI"/>
        <scheme val="none"/>
      </font>
      <numFmt numFmtId="168" formatCode="#,##0.0"/>
      <fill>
        <patternFill patternType="none">
          <fgColor indexed="64"/>
          <bgColor auto="1"/>
        </patternFill>
      </fill>
    </dxf>
    <dxf>
      <font>
        <b val="0"/>
        <i val="0"/>
        <strike val="0"/>
        <condense val="0"/>
        <extend val="0"/>
        <outline val="0"/>
        <shadow val="0"/>
        <u val="none"/>
        <vertAlign val="baseline"/>
        <sz val="10"/>
        <color theme="1"/>
        <name val="Lao UI"/>
        <scheme val="none"/>
      </font>
      <fill>
        <patternFill patternType="none">
          <fgColor indexed="64"/>
          <bgColor auto="1"/>
        </patternFill>
      </fill>
    </dxf>
    <dxf>
      <font>
        <b val="0"/>
        <i val="0"/>
        <strike val="0"/>
        <condense val="0"/>
        <extend val="0"/>
        <outline val="0"/>
        <shadow val="0"/>
        <u val="none"/>
        <vertAlign val="baseline"/>
        <sz val="10"/>
        <color theme="1"/>
        <name val="Lao UI"/>
        <scheme val="none"/>
      </font>
      <fill>
        <patternFill patternType="none">
          <fgColor indexed="64"/>
          <bgColor auto="1"/>
        </patternFill>
      </fill>
    </dxf>
    <dxf>
      <font>
        <strike val="0"/>
        <outline val="0"/>
        <shadow val="0"/>
        <u val="none"/>
        <sz val="10"/>
        <color theme="1" tint="0.249977111117893"/>
        <name val="Lao UI"/>
        <scheme val="none"/>
      </font>
      <fill>
        <patternFill patternType="none">
          <fgColor indexed="64"/>
          <bgColor auto="1"/>
        </patternFill>
      </fill>
    </dxf>
    <dxf>
      <font>
        <b val="0"/>
        <i val="0"/>
        <strike val="0"/>
        <condense val="0"/>
        <extend val="0"/>
        <outline val="0"/>
        <shadow val="0"/>
        <u val="none"/>
        <vertAlign val="baseline"/>
        <sz val="10"/>
        <color theme="1" tint="0.249977111117893"/>
        <name val="Lao UI"/>
        <scheme val="none"/>
      </font>
      <fill>
        <patternFill patternType="none">
          <fgColor indexed="64"/>
          <bgColor indexed="65"/>
        </patternFill>
      </fill>
    </dxf>
    <dxf>
      <font>
        <b val="0"/>
        <i val="0"/>
        <strike val="0"/>
        <condense val="0"/>
        <extend val="0"/>
        <outline val="0"/>
        <shadow val="0"/>
        <u val="none"/>
        <vertAlign val="baseline"/>
        <sz val="10"/>
        <color theme="1" tint="0.249977111117893"/>
        <name val="Lao UI"/>
        <scheme val="none"/>
      </font>
      <fill>
        <patternFill patternType="none">
          <fgColor indexed="64"/>
          <bgColor auto="1"/>
        </patternFill>
      </fill>
    </dxf>
    <dxf>
      <font>
        <b val="0"/>
        <i val="0"/>
        <strike val="0"/>
        <condense val="0"/>
        <extend val="0"/>
        <outline val="0"/>
        <shadow val="0"/>
        <u val="none"/>
        <vertAlign val="baseline"/>
        <sz val="10"/>
        <color theme="1" tint="0.249977111117893"/>
        <name val="Lao UI"/>
        <scheme val="none"/>
      </font>
      <fill>
        <patternFill patternType="none">
          <fgColor indexed="64"/>
          <bgColor auto="1"/>
        </patternFill>
      </fill>
    </dxf>
    <dxf>
      <font>
        <b val="0"/>
        <i val="0"/>
        <strike val="0"/>
        <condense val="0"/>
        <extend val="0"/>
        <outline val="0"/>
        <shadow val="0"/>
        <u val="none"/>
        <vertAlign val="baseline"/>
        <sz val="10"/>
        <color theme="1" tint="0.249977111117893"/>
        <name val="Lao UI"/>
        <scheme val="none"/>
      </font>
      <fill>
        <patternFill patternType="none">
          <fgColor indexed="64"/>
          <bgColor auto="1"/>
        </patternFill>
      </fill>
    </dxf>
    <dxf>
      <font>
        <b val="0"/>
        <i val="0"/>
        <strike val="0"/>
        <condense val="0"/>
        <extend val="0"/>
        <outline val="0"/>
        <shadow val="0"/>
        <u val="none"/>
        <vertAlign val="baseline"/>
        <sz val="10"/>
        <color theme="1" tint="0.249977111117893"/>
        <name val="Lao UI"/>
        <scheme val="none"/>
      </font>
      <fill>
        <patternFill patternType="none">
          <fgColor indexed="64"/>
          <bgColor auto="1"/>
        </patternFill>
      </fill>
    </dxf>
    <dxf>
      <font>
        <b val="0"/>
        <i val="0"/>
        <strike val="0"/>
        <condense val="0"/>
        <extend val="0"/>
        <outline val="0"/>
        <shadow val="0"/>
        <u val="none"/>
        <vertAlign val="baseline"/>
        <sz val="10"/>
        <color theme="1" tint="0.249977111117893"/>
        <name val="Lao UI"/>
        <scheme val="none"/>
      </font>
      <fill>
        <patternFill patternType="none">
          <fgColor indexed="64"/>
          <bgColor auto="1"/>
        </patternFill>
      </fill>
    </dxf>
    <dxf>
      <font>
        <b val="0"/>
        <i val="0"/>
        <strike val="0"/>
        <condense val="0"/>
        <extend val="0"/>
        <outline val="0"/>
        <shadow val="0"/>
        <u val="none"/>
        <vertAlign val="baseline"/>
        <sz val="10"/>
        <color theme="1" tint="0.249977111117893"/>
        <name val="Lao UI"/>
        <scheme val="none"/>
      </font>
      <fill>
        <patternFill patternType="none">
          <fgColor indexed="64"/>
          <bgColor auto="1"/>
        </patternFill>
      </fill>
    </dxf>
    <dxf>
      <font>
        <b val="0"/>
        <i val="0"/>
        <strike val="0"/>
        <condense val="0"/>
        <extend val="0"/>
        <outline val="0"/>
        <shadow val="0"/>
        <u val="none"/>
        <vertAlign val="baseline"/>
        <sz val="10"/>
        <color theme="1" tint="0.249977111117893"/>
        <name val="Lao UI"/>
        <scheme val="none"/>
      </font>
      <fill>
        <patternFill patternType="none">
          <fgColor indexed="64"/>
          <bgColor auto="1"/>
        </patternFill>
      </fill>
    </dxf>
    <dxf>
      <font>
        <b val="0"/>
        <i val="0"/>
        <strike val="0"/>
        <condense val="0"/>
        <extend val="0"/>
        <outline val="0"/>
        <shadow val="0"/>
        <u val="none"/>
        <vertAlign val="baseline"/>
        <sz val="10"/>
        <color theme="0"/>
        <name val="Lao UI"/>
        <scheme val="none"/>
      </font>
      <fill>
        <patternFill patternType="solid">
          <fgColor indexed="64"/>
          <bgColor rgb="FF01539C"/>
        </patternFill>
      </fill>
    </dxf>
    <dxf>
      <font>
        <b val="0"/>
        <i val="0"/>
        <strike val="0"/>
        <condense val="0"/>
        <extend val="0"/>
        <outline val="0"/>
        <shadow val="0"/>
        <u val="none"/>
        <vertAlign val="baseline"/>
        <sz val="10"/>
        <color theme="1" tint="0.249977111117893"/>
        <name val="Lao UI"/>
        <scheme val="none"/>
      </font>
      <fill>
        <patternFill patternType="none">
          <fgColor indexed="64"/>
          <bgColor indexed="65"/>
        </patternFill>
      </fill>
    </dxf>
    <dxf>
      <font>
        <b val="0"/>
        <i val="0"/>
        <strike val="0"/>
        <condense val="0"/>
        <extend val="0"/>
        <outline val="0"/>
        <shadow val="0"/>
        <u val="none"/>
        <vertAlign val="baseline"/>
        <sz val="10"/>
        <color theme="1" tint="0.249977111117893"/>
        <name val="Lao UI"/>
        <scheme val="none"/>
      </font>
      <fill>
        <patternFill patternType="none">
          <fgColor indexed="64"/>
          <bgColor auto="1"/>
        </patternFill>
      </fill>
    </dxf>
    <dxf>
      <font>
        <b val="0"/>
        <i val="0"/>
        <strike val="0"/>
        <condense val="0"/>
        <extend val="0"/>
        <outline val="0"/>
        <shadow val="0"/>
        <u val="none"/>
        <vertAlign val="baseline"/>
        <sz val="10"/>
        <color theme="1" tint="0.249977111117893"/>
        <name val="Lao UI"/>
        <scheme val="none"/>
      </font>
      <fill>
        <patternFill patternType="none">
          <fgColor indexed="64"/>
          <bgColor auto="1"/>
        </patternFill>
      </fill>
    </dxf>
    <dxf>
      <font>
        <b val="0"/>
        <i val="0"/>
        <strike val="0"/>
        <condense val="0"/>
        <extend val="0"/>
        <outline val="0"/>
        <shadow val="0"/>
        <u val="none"/>
        <vertAlign val="baseline"/>
        <sz val="10"/>
        <color theme="1" tint="0.249977111117893"/>
        <name val="Lao UI"/>
        <scheme val="none"/>
      </font>
      <fill>
        <patternFill patternType="none">
          <fgColor indexed="64"/>
          <bgColor auto="1"/>
        </patternFill>
      </fill>
    </dxf>
    <dxf>
      <font>
        <b val="0"/>
        <i val="0"/>
        <strike val="0"/>
        <condense val="0"/>
        <extend val="0"/>
        <outline val="0"/>
        <shadow val="0"/>
        <u val="none"/>
        <vertAlign val="baseline"/>
        <sz val="10"/>
        <color theme="1" tint="0.249977111117893"/>
        <name val="Lao UI"/>
        <scheme val="none"/>
      </font>
      <fill>
        <patternFill patternType="none">
          <fgColor indexed="64"/>
          <bgColor auto="1"/>
        </patternFill>
      </fill>
    </dxf>
    <dxf>
      <font>
        <b val="0"/>
        <i val="0"/>
        <strike val="0"/>
        <condense val="0"/>
        <extend val="0"/>
        <outline val="0"/>
        <shadow val="0"/>
        <u val="none"/>
        <vertAlign val="baseline"/>
        <sz val="10"/>
        <color theme="1" tint="0.249977111117893"/>
        <name val="Lao UI"/>
        <scheme val="none"/>
      </font>
      <fill>
        <patternFill patternType="none">
          <fgColor indexed="64"/>
          <bgColor auto="1"/>
        </patternFill>
      </fill>
    </dxf>
    <dxf>
      <font>
        <b val="0"/>
        <i val="0"/>
        <strike val="0"/>
        <condense val="0"/>
        <extend val="0"/>
        <outline val="0"/>
        <shadow val="0"/>
        <u val="none"/>
        <vertAlign val="baseline"/>
        <sz val="10"/>
        <color theme="1" tint="0.249977111117893"/>
        <name val="Lao UI"/>
        <scheme val="none"/>
      </font>
      <fill>
        <patternFill patternType="none">
          <fgColor indexed="64"/>
          <bgColor auto="1"/>
        </patternFill>
      </fill>
    </dxf>
    <dxf>
      <font>
        <b val="0"/>
        <i val="0"/>
        <strike val="0"/>
        <condense val="0"/>
        <extend val="0"/>
        <outline val="0"/>
        <shadow val="0"/>
        <u val="none"/>
        <vertAlign val="baseline"/>
        <sz val="10"/>
        <color theme="1" tint="0.249977111117893"/>
        <name val="Lao UI"/>
        <scheme val="none"/>
      </font>
      <fill>
        <patternFill patternType="none">
          <fgColor indexed="64"/>
          <bgColor auto="1"/>
        </patternFill>
      </fill>
    </dxf>
    <dxf>
      <font>
        <b val="0"/>
        <i val="0"/>
        <strike val="0"/>
        <condense val="0"/>
        <extend val="0"/>
        <outline val="0"/>
        <shadow val="0"/>
        <u val="none"/>
        <vertAlign val="baseline"/>
        <sz val="10"/>
        <color theme="0"/>
        <name val="Lao UI"/>
        <scheme val="none"/>
      </font>
      <fill>
        <patternFill patternType="solid">
          <fgColor indexed="64"/>
          <bgColor rgb="FF01539C"/>
        </patternFill>
      </fill>
    </dxf>
    <dxf>
      <font>
        <b val="0"/>
        <i val="0"/>
        <strike val="0"/>
        <condense val="0"/>
        <extend val="0"/>
        <outline val="0"/>
        <shadow val="0"/>
        <u val="none"/>
        <vertAlign val="baseline"/>
        <sz val="10"/>
        <color theme="1" tint="0.249977111117893"/>
        <name val="Lao UI"/>
        <scheme val="none"/>
      </font>
      <fill>
        <patternFill patternType="none">
          <fgColor indexed="64"/>
          <bgColor indexed="65"/>
        </patternFill>
      </fill>
    </dxf>
    <dxf>
      <font>
        <b val="0"/>
        <i val="0"/>
        <strike val="0"/>
        <condense val="0"/>
        <extend val="0"/>
        <outline val="0"/>
        <shadow val="0"/>
        <u val="none"/>
        <vertAlign val="baseline"/>
        <sz val="10"/>
        <color theme="1" tint="0.249977111117893"/>
        <name val="Lao UI"/>
        <scheme val="none"/>
      </font>
      <fill>
        <patternFill patternType="none">
          <fgColor indexed="64"/>
          <bgColor auto="1"/>
        </patternFill>
      </fill>
    </dxf>
    <dxf>
      <font>
        <b val="0"/>
        <i val="0"/>
        <strike val="0"/>
        <condense val="0"/>
        <extend val="0"/>
        <outline val="0"/>
        <shadow val="0"/>
        <u val="none"/>
        <vertAlign val="baseline"/>
        <sz val="10"/>
        <color theme="1" tint="0.249977111117893"/>
        <name val="Lao UI"/>
        <scheme val="none"/>
      </font>
      <fill>
        <patternFill patternType="none">
          <fgColor indexed="64"/>
          <bgColor auto="1"/>
        </patternFill>
      </fill>
    </dxf>
    <dxf>
      <font>
        <b val="0"/>
        <i val="0"/>
        <strike val="0"/>
        <condense val="0"/>
        <extend val="0"/>
        <outline val="0"/>
        <shadow val="0"/>
        <u val="none"/>
        <vertAlign val="baseline"/>
        <sz val="10"/>
        <color theme="1" tint="0.249977111117893"/>
        <name val="Lao UI"/>
        <scheme val="none"/>
      </font>
      <fill>
        <patternFill patternType="none">
          <fgColor indexed="64"/>
          <bgColor auto="1"/>
        </patternFill>
      </fill>
    </dxf>
    <dxf>
      <font>
        <b val="0"/>
        <i val="0"/>
        <strike val="0"/>
        <condense val="0"/>
        <extend val="0"/>
        <outline val="0"/>
        <shadow val="0"/>
        <u val="none"/>
        <vertAlign val="baseline"/>
        <sz val="10"/>
        <color theme="1" tint="0.249977111117893"/>
        <name val="Lao UI"/>
        <scheme val="none"/>
      </font>
      <fill>
        <patternFill patternType="none">
          <fgColor indexed="64"/>
          <bgColor auto="1"/>
        </patternFill>
      </fill>
    </dxf>
    <dxf>
      <font>
        <b val="0"/>
        <i val="0"/>
        <strike val="0"/>
        <condense val="0"/>
        <extend val="0"/>
        <outline val="0"/>
        <shadow val="0"/>
        <u val="none"/>
        <vertAlign val="baseline"/>
        <sz val="10"/>
        <color theme="1" tint="0.249977111117893"/>
        <name val="Lao UI"/>
        <scheme val="none"/>
      </font>
      <fill>
        <patternFill patternType="none">
          <fgColor indexed="64"/>
          <bgColor auto="1"/>
        </patternFill>
      </fill>
    </dxf>
    <dxf>
      <font>
        <b val="0"/>
        <i val="0"/>
        <strike val="0"/>
        <condense val="0"/>
        <extend val="0"/>
        <outline val="0"/>
        <shadow val="0"/>
        <u val="none"/>
        <vertAlign val="baseline"/>
        <sz val="10"/>
        <color theme="1" tint="0.249977111117893"/>
        <name val="Lao UI"/>
        <scheme val="none"/>
      </font>
      <fill>
        <patternFill patternType="none">
          <fgColor indexed="64"/>
          <bgColor auto="1"/>
        </patternFill>
      </fill>
    </dxf>
    <dxf>
      <font>
        <b val="0"/>
        <i val="0"/>
        <strike val="0"/>
        <condense val="0"/>
        <extend val="0"/>
        <outline val="0"/>
        <shadow val="0"/>
        <u val="none"/>
        <vertAlign val="baseline"/>
        <sz val="10"/>
        <color theme="1" tint="0.249977111117893"/>
        <name val="Lao UI"/>
        <scheme val="none"/>
      </font>
      <fill>
        <patternFill patternType="none">
          <fgColor indexed="64"/>
          <bgColor auto="1"/>
        </patternFill>
      </fill>
    </dxf>
    <dxf>
      <font>
        <b val="0"/>
        <i val="0"/>
        <strike val="0"/>
        <condense val="0"/>
        <extend val="0"/>
        <outline val="0"/>
        <shadow val="0"/>
        <u val="none"/>
        <vertAlign val="baseline"/>
        <sz val="10"/>
        <color theme="0"/>
        <name val="Lao UI"/>
        <scheme val="none"/>
      </font>
      <fill>
        <patternFill patternType="solid">
          <fgColor indexed="64"/>
          <bgColor rgb="FF01539C"/>
        </patternFill>
      </fill>
    </dxf>
    <dxf>
      <font>
        <b val="0"/>
        <i val="0"/>
        <strike val="0"/>
        <condense val="0"/>
        <extend val="0"/>
        <outline val="0"/>
        <shadow val="0"/>
        <u val="none"/>
        <vertAlign val="baseline"/>
        <sz val="10"/>
        <color theme="1" tint="0.249977111117893"/>
        <name val="Lao UI"/>
        <scheme val="none"/>
      </font>
      <fill>
        <patternFill patternType="none">
          <fgColor indexed="64"/>
          <bgColor indexed="65"/>
        </patternFill>
      </fill>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tint="0.249977111117893"/>
        <name val="Lao UI"/>
        <scheme val="none"/>
      </font>
      <fill>
        <patternFill patternType="none">
          <fgColor indexed="64"/>
          <bgColor auto="1"/>
        </patternFill>
      </fill>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tint="0.249977111117893"/>
        <name val="Lao UI"/>
        <scheme val="none"/>
      </font>
      <fill>
        <patternFill patternType="none">
          <fgColor indexed="64"/>
          <bgColor auto="1"/>
        </patternFill>
      </fill>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tint="0.249977111117893"/>
        <name val="Lao UI"/>
        <scheme val="none"/>
      </font>
      <fill>
        <patternFill patternType="none">
          <fgColor indexed="64"/>
          <bgColor auto="1"/>
        </patternFill>
      </fill>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tint="0.249977111117893"/>
        <name val="Lao UI"/>
        <scheme val="none"/>
      </font>
      <fill>
        <patternFill patternType="none">
          <fgColor indexed="64"/>
          <bgColor auto="1"/>
        </patternFill>
      </fill>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tint="0.249977111117893"/>
        <name val="Lao UI"/>
        <scheme val="none"/>
      </font>
      <fill>
        <patternFill patternType="none">
          <fgColor indexed="64"/>
          <bgColor auto="1"/>
        </patternFill>
      </fill>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tint="0.249977111117893"/>
        <name val="Lao UI"/>
        <scheme val="none"/>
      </font>
      <fill>
        <patternFill patternType="none">
          <fgColor indexed="64"/>
          <bgColor auto="1"/>
        </patternFill>
      </fill>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tint="0.249977111117893"/>
        <name val="Lao UI"/>
        <scheme val="none"/>
      </font>
      <fill>
        <patternFill patternType="none">
          <fgColor indexed="64"/>
          <bgColor auto="1"/>
        </patternFill>
      </fill>
    </dxf>
    <dxf>
      <font>
        <b val="0"/>
        <i val="0"/>
        <strike val="0"/>
        <condense val="0"/>
        <extend val="0"/>
        <outline val="0"/>
        <shadow val="0"/>
        <u val="none"/>
        <vertAlign val="baseline"/>
        <sz val="10"/>
        <color theme="0"/>
        <name val="Lao UI"/>
        <scheme val="none"/>
      </font>
      <fill>
        <patternFill patternType="solid">
          <fgColor indexed="64"/>
          <bgColor rgb="FF01539C"/>
        </patternFill>
      </fill>
    </dxf>
    <dxf>
      <font>
        <b val="0"/>
        <i val="0"/>
        <strike val="0"/>
        <condense val="0"/>
        <extend val="0"/>
        <outline val="0"/>
        <shadow val="0"/>
        <u val="none"/>
        <vertAlign val="baseline"/>
        <sz val="10"/>
        <color theme="1"/>
        <name val="Lao UI"/>
        <scheme val="none"/>
      </font>
      <fill>
        <patternFill patternType="none">
          <fgColor indexed="64"/>
          <bgColor auto="1"/>
        </patternFill>
      </fill>
    </dxf>
    <dxf>
      <font>
        <b val="0"/>
        <i val="0"/>
        <strike val="0"/>
        <condense val="0"/>
        <extend val="0"/>
        <outline val="0"/>
        <shadow val="0"/>
        <u val="none"/>
        <vertAlign val="baseline"/>
        <sz val="10"/>
        <color theme="1"/>
        <name val="Lao UI"/>
        <scheme val="none"/>
      </font>
      <numFmt numFmtId="169" formatCode="0.0"/>
      <fill>
        <patternFill patternType="none">
          <fgColor indexed="64"/>
          <bgColor auto="1"/>
        </patternFill>
      </fill>
    </dxf>
    <dxf>
      <font>
        <b val="0"/>
        <i val="0"/>
        <strike val="0"/>
        <condense val="0"/>
        <extend val="0"/>
        <outline val="0"/>
        <shadow val="0"/>
        <u val="none"/>
        <vertAlign val="baseline"/>
        <sz val="10"/>
        <color theme="1"/>
        <name val="Lao UI"/>
        <scheme val="none"/>
      </font>
      <fill>
        <patternFill patternType="none">
          <fgColor indexed="64"/>
          <bgColor auto="1"/>
        </patternFill>
      </fill>
    </dxf>
    <dxf>
      <font>
        <b val="0"/>
        <i val="0"/>
        <strike val="0"/>
        <condense val="0"/>
        <extend val="0"/>
        <outline val="0"/>
        <shadow val="0"/>
        <u val="none"/>
        <vertAlign val="baseline"/>
        <sz val="10"/>
        <color theme="1"/>
        <name val="Lao UI"/>
        <scheme val="none"/>
      </font>
      <fill>
        <patternFill patternType="none">
          <fgColor indexed="64"/>
          <bgColor auto="1"/>
        </patternFill>
      </fill>
    </dxf>
    <dxf>
      <font>
        <strike val="0"/>
        <outline val="0"/>
        <shadow val="0"/>
        <u val="none"/>
        <sz val="10"/>
        <color theme="1" tint="0.249977111117893"/>
        <name val="Lao UI"/>
        <scheme val="none"/>
      </font>
      <fill>
        <patternFill patternType="none">
          <fgColor indexed="64"/>
          <bgColor auto="1"/>
        </patternFill>
      </fill>
    </dxf>
    <dxf>
      <font>
        <b val="0"/>
        <i val="0"/>
        <strike val="0"/>
        <condense val="0"/>
        <extend val="0"/>
        <outline val="0"/>
        <shadow val="0"/>
        <u val="none"/>
        <vertAlign val="baseline"/>
        <sz val="10"/>
        <color theme="1"/>
        <name val="Lao UI"/>
        <scheme val="none"/>
      </font>
      <fill>
        <patternFill patternType="none">
          <fgColor indexed="64"/>
          <bgColor auto="1"/>
        </patternFill>
      </fill>
    </dxf>
    <dxf>
      <font>
        <b val="0"/>
        <i val="0"/>
        <strike val="0"/>
        <condense val="0"/>
        <extend val="0"/>
        <outline val="0"/>
        <shadow val="0"/>
        <u val="none"/>
        <vertAlign val="baseline"/>
        <sz val="10"/>
        <color theme="1"/>
        <name val="Lao UI"/>
        <scheme val="none"/>
      </font>
      <numFmt numFmtId="168" formatCode="#,##0.0"/>
      <fill>
        <patternFill patternType="none">
          <fgColor indexed="64"/>
          <bgColor auto="1"/>
        </patternFill>
      </fill>
    </dxf>
    <dxf>
      <font>
        <b val="0"/>
        <i val="0"/>
        <strike val="0"/>
        <condense val="0"/>
        <extend val="0"/>
        <outline val="0"/>
        <shadow val="0"/>
        <u val="none"/>
        <vertAlign val="baseline"/>
        <sz val="10"/>
        <color theme="1"/>
        <name val="Lao UI"/>
        <scheme val="none"/>
      </font>
      <fill>
        <patternFill patternType="none">
          <fgColor indexed="64"/>
          <bgColor auto="1"/>
        </patternFill>
      </fill>
    </dxf>
    <dxf>
      <font>
        <b val="0"/>
        <i val="0"/>
        <strike val="0"/>
        <condense val="0"/>
        <extend val="0"/>
        <outline val="0"/>
        <shadow val="0"/>
        <u val="none"/>
        <vertAlign val="baseline"/>
        <sz val="10"/>
        <color theme="1"/>
        <name val="Lao UI"/>
        <scheme val="none"/>
      </font>
      <fill>
        <patternFill patternType="none">
          <fgColor indexed="64"/>
          <bgColor auto="1"/>
        </patternFill>
      </fill>
    </dxf>
    <dxf>
      <font>
        <strike val="0"/>
        <outline val="0"/>
        <shadow val="0"/>
        <u val="none"/>
        <sz val="10"/>
        <color theme="1" tint="0.249977111117893"/>
        <name val="Lao UI"/>
        <scheme val="none"/>
      </font>
      <fill>
        <patternFill patternType="none">
          <fgColor indexed="64"/>
          <bgColor auto="1"/>
        </patternFill>
      </fill>
    </dxf>
    <dxf>
      <font>
        <strike val="0"/>
        <outline val="0"/>
        <shadow val="0"/>
        <sz val="10"/>
      </font>
      <fill>
        <patternFill patternType="none">
          <fgColor indexed="64"/>
          <bgColor auto="1"/>
        </patternFill>
      </fill>
    </dxf>
    <dxf>
      <font>
        <b val="0"/>
        <i val="0"/>
        <strike val="0"/>
        <condense val="0"/>
        <extend val="0"/>
        <outline val="0"/>
        <shadow val="0"/>
        <u val="none"/>
        <vertAlign val="baseline"/>
        <sz val="10"/>
        <color theme="1" tint="0.249977111117893"/>
        <name val="Lao UI"/>
        <scheme val="none"/>
      </font>
      <fill>
        <patternFill patternType="none">
          <fgColor indexed="64"/>
          <bgColor auto="1"/>
        </patternFill>
      </fill>
    </dxf>
    <dxf>
      <font>
        <strike val="0"/>
        <outline val="0"/>
        <shadow val="0"/>
        <sz val="10"/>
      </font>
      <fill>
        <patternFill patternType="none">
          <fgColor indexed="64"/>
          <bgColor auto="1"/>
        </patternFill>
      </fill>
      <alignment horizontal="left" vertical="bottom" textRotation="0" wrapText="0" indent="0" justifyLastLine="0" shrinkToFit="0" readingOrder="0"/>
    </dxf>
    <dxf>
      <font>
        <strike val="0"/>
        <outline val="0"/>
        <shadow val="0"/>
        <sz val="10"/>
      </font>
      <fill>
        <patternFill patternType="none">
          <fgColor indexed="64"/>
          <bgColor auto="1"/>
        </patternFill>
      </fill>
    </dxf>
    <dxf>
      <font>
        <b val="0"/>
        <i val="0"/>
        <strike val="0"/>
        <condense val="0"/>
        <extend val="0"/>
        <outline val="0"/>
        <shadow val="0"/>
        <u val="none"/>
        <vertAlign val="baseline"/>
        <sz val="10"/>
        <color theme="0"/>
        <name val="Lao UI"/>
        <scheme val="none"/>
      </font>
      <fill>
        <patternFill patternType="solid">
          <fgColor indexed="64"/>
          <bgColor rgb="FF3FA344"/>
        </patternFill>
      </fill>
    </dxf>
    <dxf>
      <font>
        <b val="0"/>
        <i val="0"/>
        <strike val="0"/>
        <condense val="0"/>
        <extend val="0"/>
        <outline val="0"/>
        <shadow val="0"/>
        <u val="none"/>
        <vertAlign val="baseline"/>
        <sz val="10"/>
        <color theme="1" tint="0.249977111117893"/>
        <name val="Lao UI"/>
        <family val="2"/>
        <scheme val="none"/>
      </font>
      <fill>
        <patternFill patternType="none">
          <fgColor indexed="64"/>
          <bgColor indexed="65"/>
        </patternFill>
      </fill>
    </dxf>
    <dxf>
      <font>
        <b val="0"/>
        <i val="0"/>
        <strike val="0"/>
        <condense val="0"/>
        <extend val="0"/>
        <outline val="0"/>
        <shadow val="0"/>
        <u val="none"/>
        <vertAlign val="baseline"/>
        <sz val="10"/>
        <color theme="1" tint="0.249977111117893"/>
        <name val="Lao UI"/>
        <scheme val="none"/>
      </font>
      <fill>
        <patternFill patternType="none">
          <fgColor indexed="64"/>
          <bgColor indexed="65"/>
        </patternFill>
      </fill>
    </dxf>
    <dxf>
      <font>
        <b val="0"/>
        <i val="0"/>
        <strike val="0"/>
        <condense val="0"/>
        <extend val="0"/>
        <outline val="0"/>
        <shadow val="0"/>
        <u val="none"/>
        <vertAlign val="baseline"/>
        <sz val="10"/>
        <color theme="1" tint="0.249977111117893"/>
        <name val="Lao UI"/>
        <scheme val="none"/>
      </font>
      <fill>
        <patternFill patternType="none">
          <fgColor indexed="64"/>
          <bgColor auto="1"/>
        </patternFill>
      </fill>
    </dxf>
    <dxf>
      <font>
        <b val="0"/>
        <i val="0"/>
        <strike val="0"/>
        <condense val="0"/>
        <extend val="0"/>
        <outline val="0"/>
        <shadow val="0"/>
        <u val="none"/>
        <vertAlign val="baseline"/>
        <sz val="10"/>
        <color theme="1" tint="0.249977111117893"/>
        <name val="Lao UI"/>
        <scheme val="none"/>
      </font>
      <fill>
        <patternFill patternType="none">
          <fgColor indexed="64"/>
          <bgColor auto="1"/>
        </patternFill>
      </fill>
    </dxf>
    <dxf>
      <font>
        <b val="0"/>
        <i val="0"/>
        <strike val="0"/>
        <condense val="0"/>
        <extend val="0"/>
        <outline val="0"/>
        <shadow val="0"/>
        <u val="none"/>
        <vertAlign val="baseline"/>
        <sz val="10"/>
        <color theme="0"/>
        <name val="Lao UI"/>
        <scheme val="none"/>
      </font>
      <fill>
        <patternFill patternType="solid">
          <fgColor indexed="64"/>
          <bgColor rgb="FF3FA344"/>
        </patternFill>
      </fill>
    </dxf>
    <dxf>
      <font>
        <b val="0"/>
        <i val="0"/>
        <strike val="0"/>
        <condense val="0"/>
        <extend val="0"/>
        <outline val="0"/>
        <shadow val="0"/>
        <u val="none"/>
        <vertAlign val="baseline"/>
        <sz val="10"/>
        <color theme="1" tint="0.249977111117893"/>
        <name val="Lao UI"/>
        <scheme val="none"/>
      </font>
      <fill>
        <patternFill patternType="none">
          <fgColor indexed="64"/>
          <bgColor auto="1"/>
        </patternFill>
      </fill>
    </dxf>
    <dxf>
      <font>
        <b val="0"/>
        <i val="0"/>
        <strike val="0"/>
        <condense val="0"/>
        <extend val="0"/>
        <outline val="0"/>
        <shadow val="0"/>
        <u val="none"/>
        <vertAlign val="baseline"/>
        <sz val="10"/>
        <color theme="1" tint="0.249977111117893"/>
        <name val="Lao UI"/>
        <scheme val="none"/>
      </font>
      <fill>
        <patternFill patternType="none">
          <fgColor indexed="64"/>
          <bgColor auto="1"/>
        </patternFill>
      </fill>
    </dxf>
    <dxf>
      <font>
        <b val="0"/>
        <i val="0"/>
        <strike val="0"/>
        <condense val="0"/>
        <extend val="0"/>
        <outline val="0"/>
        <shadow val="0"/>
        <u val="none"/>
        <vertAlign val="baseline"/>
        <sz val="10"/>
        <color theme="1" tint="0.249977111117893"/>
        <name val="Lao UI"/>
        <scheme val="none"/>
      </font>
      <fill>
        <patternFill patternType="none">
          <fgColor indexed="64"/>
          <bgColor auto="1"/>
        </patternFill>
      </fill>
    </dxf>
    <dxf>
      <font>
        <b val="0"/>
        <i val="0"/>
        <strike val="0"/>
        <condense val="0"/>
        <extend val="0"/>
        <outline val="0"/>
        <shadow val="0"/>
        <u val="none"/>
        <vertAlign val="baseline"/>
        <sz val="10"/>
        <color theme="1" tint="0.249977111117893"/>
        <name val="Lao UI"/>
        <scheme val="none"/>
      </font>
      <fill>
        <patternFill patternType="none">
          <fgColor indexed="64"/>
          <bgColor auto="1"/>
        </patternFill>
      </fill>
    </dxf>
    <dxf>
      <font>
        <b val="0"/>
        <i val="0"/>
        <strike val="0"/>
        <condense val="0"/>
        <extend val="0"/>
        <outline val="0"/>
        <shadow val="0"/>
        <u val="none"/>
        <vertAlign val="baseline"/>
        <sz val="10"/>
        <color theme="0"/>
        <name val="Lao UI"/>
        <scheme val="none"/>
      </font>
      <fill>
        <patternFill patternType="solid">
          <fgColor indexed="64"/>
          <bgColor rgb="FF01539C"/>
        </patternFill>
      </fill>
    </dxf>
    <dxf>
      <font>
        <b val="0"/>
        <i val="0"/>
        <strike val="0"/>
        <condense val="0"/>
        <extend val="0"/>
        <outline val="0"/>
        <shadow val="0"/>
        <u val="none"/>
        <vertAlign val="baseline"/>
        <sz val="10"/>
        <color theme="1"/>
        <name val="Lao UI"/>
        <scheme val="none"/>
      </font>
      <fill>
        <patternFill patternType="none">
          <fgColor indexed="64"/>
          <bgColor indexed="65"/>
        </patternFill>
      </fill>
    </dxf>
    <dxf>
      <font>
        <b val="0"/>
        <i val="0"/>
        <strike val="0"/>
        <condense val="0"/>
        <extend val="0"/>
        <outline val="0"/>
        <shadow val="0"/>
        <u val="none"/>
        <vertAlign val="baseline"/>
        <sz val="10"/>
        <color theme="1" tint="0.249977111117893"/>
        <name val="Lao UI"/>
        <scheme val="none"/>
      </font>
      <fill>
        <patternFill patternType="none">
          <fgColor indexed="64"/>
          <bgColor indexed="65"/>
        </patternFill>
      </fill>
    </dxf>
    <dxf>
      <font>
        <b val="0"/>
        <i val="0"/>
        <strike val="0"/>
        <condense val="0"/>
        <extend val="0"/>
        <outline val="0"/>
        <shadow val="0"/>
        <u val="none"/>
        <vertAlign val="baseline"/>
        <sz val="10"/>
        <color theme="1" tint="0.249977111117893"/>
        <name val="Lao UI"/>
        <scheme val="none"/>
      </font>
      <fill>
        <patternFill patternType="none">
          <fgColor indexed="64"/>
          <bgColor indexed="65"/>
        </patternFill>
      </fill>
    </dxf>
    <dxf>
      <font>
        <b val="0"/>
        <i val="0"/>
        <strike val="0"/>
        <condense val="0"/>
        <extend val="0"/>
        <outline val="0"/>
        <shadow val="0"/>
        <u val="none"/>
        <vertAlign val="baseline"/>
        <sz val="10"/>
        <color theme="1"/>
        <name val="Lao UI"/>
        <scheme val="none"/>
      </font>
      <fill>
        <patternFill patternType="none">
          <fgColor indexed="64"/>
          <bgColor indexed="65"/>
        </patternFill>
      </fill>
    </dxf>
    <dxf>
      <font>
        <b val="0"/>
        <i val="0"/>
        <strike val="0"/>
        <condense val="0"/>
        <extend val="0"/>
        <outline val="0"/>
        <shadow val="0"/>
        <u val="none"/>
        <vertAlign val="baseline"/>
        <sz val="10"/>
        <color theme="0"/>
        <name val="Lao UI"/>
        <scheme val="none"/>
      </font>
      <fill>
        <patternFill patternType="solid">
          <fgColor indexed="64"/>
          <bgColor rgb="FF3FA344"/>
        </patternFill>
      </fill>
    </dxf>
    <dxf>
      <font>
        <b val="0"/>
        <i val="0"/>
        <strike val="0"/>
        <condense val="0"/>
        <extend val="0"/>
        <outline val="0"/>
        <shadow val="0"/>
        <u val="none"/>
        <vertAlign val="baseline"/>
        <sz val="10"/>
        <color theme="1" tint="0.249977111117893"/>
        <name val="Lao UI"/>
        <scheme val="none"/>
      </font>
      <fill>
        <patternFill patternType="none">
          <fgColor indexed="64"/>
          <bgColor auto="1"/>
        </patternFill>
      </fill>
    </dxf>
    <dxf>
      <font>
        <b val="0"/>
        <i val="0"/>
        <strike val="0"/>
        <condense val="0"/>
        <extend val="0"/>
        <outline val="0"/>
        <shadow val="0"/>
        <u val="none"/>
        <vertAlign val="baseline"/>
        <sz val="10"/>
        <color theme="1" tint="0.249977111117893"/>
        <name val="Lao UI"/>
        <scheme val="none"/>
      </font>
      <fill>
        <patternFill patternType="none">
          <fgColor indexed="64"/>
          <bgColor auto="1"/>
        </patternFill>
      </fill>
    </dxf>
    <dxf>
      <font>
        <b val="0"/>
        <i val="0"/>
        <strike val="0"/>
        <condense val="0"/>
        <extend val="0"/>
        <outline val="0"/>
        <shadow val="0"/>
        <u val="none"/>
        <vertAlign val="baseline"/>
        <sz val="10"/>
        <color theme="1" tint="0.249977111117893"/>
        <name val="Lao UI"/>
        <scheme val="none"/>
      </font>
      <fill>
        <patternFill patternType="none">
          <fgColor indexed="64"/>
          <bgColor auto="1"/>
        </patternFill>
      </fill>
    </dxf>
    <dxf>
      <font>
        <b val="0"/>
        <i val="0"/>
        <strike val="0"/>
        <condense val="0"/>
        <extend val="0"/>
        <outline val="0"/>
        <shadow val="0"/>
        <u val="none"/>
        <vertAlign val="baseline"/>
        <sz val="10"/>
        <color theme="1" tint="0.249977111117893"/>
        <name val="Lao UI"/>
        <scheme val="none"/>
      </font>
      <fill>
        <patternFill patternType="none">
          <fgColor indexed="64"/>
          <bgColor auto="1"/>
        </patternFill>
      </fill>
    </dxf>
    <dxf>
      <font>
        <b val="0"/>
        <i val="0"/>
        <strike val="0"/>
        <condense val="0"/>
        <extend val="0"/>
        <outline val="0"/>
        <shadow val="0"/>
        <u val="none"/>
        <vertAlign val="baseline"/>
        <sz val="10"/>
        <color theme="0"/>
        <name val="Lao UI"/>
        <scheme val="none"/>
      </font>
      <fill>
        <patternFill patternType="solid">
          <fgColor indexed="64"/>
          <bgColor rgb="FF01539C"/>
        </patternFill>
      </fill>
    </dxf>
    <dxf>
      <font>
        <b val="0"/>
        <i val="0"/>
        <strike val="0"/>
        <condense val="0"/>
        <extend val="0"/>
        <outline val="0"/>
        <shadow val="0"/>
        <u val="none"/>
        <vertAlign val="baseline"/>
        <sz val="10"/>
        <color theme="1" tint="0.249977111117893"/>
        <name val="Lao UI"/>
        <scheme val="none"/>
      </font>
      <fill>
        <patternFill patternType="none">
          <fgColor indexed="64"/>
          <bgColor indexed="65"/>
        </patternFill>
      </fill>
    </dxf>
    <dxf>
      <font>
        <b val="0"/>
        <i val="0"/>
        <strike val="0"/>
        <condense val="0"/>
        <extend val="0"/>
        <outline val="0"/>
        <shadow val="0"/>
        <u val="none"/>
        <vertAlign val="baseline"/>
        <sz val="10"/>
        <color theme="1" tint="0.249977111117893"/>
        <name val="Lao UI"/>
        <scheme val="none"/>
      </font>
      <fill>
        <patternFill patternType="none">
          <fgColor indexed="64"/>
          <bgColor indexed="65"/>
        </patternFill>
      </fill>
    </dxf>
    <dxf>
      <font>
        <b val="0"/>
        <i val="0"/>
        <strike val="0"/>
        <condense val="0"/>
        <extend val="0"/>
        <outline val="0"/>
        <shadow val="0"/>
        <u val="none"/>
        <vertAlign val="baseline"/>
        <sz val="10"/>
        <color theme="1" tint="0.249977111117893"/>
        <name val="Lao UI"/>
        <scheme val="none"/>
      </font>
      <fill>
        <patternFill patternType="none">
          <fgColor indexed="64"/>
          <bgColor auto="1"/>
        </patternFill>
      </fill>
    </dxf>
    <dxf>
      <font>
        <strike val="0"/>
        <outline val="0"/>
        <shadow val="0"/>
        <sz val="10"/>
        <color theme="1" tint="0.249977111117893"/>
      </font>
      <fill>
        <patternFill patternType="none">
          <fgColor indexed="64"/>
          <bgColor auto="1"/>
        </patternFill>
      </fill>
    </dxf>
    <dxf>
      <font>
        <b val="0"/>
        <i val="0"/>
        <strike val="0"/>
        <condense val="0"/>
        <extend val="0"/>
        <outline val="0"/>
        <shadow val="0"/>
        <u val="none"/>
        <vertAlign val="baseline"/>
        <sz val="10"/>
        <color theme="1" tint="0.249977111117893"/>
        <name val="Lao UI"/>
        <scheme val="none"/>
      </font>
      <fill>
        <patternFill patternType="none">
          <fgColor indexed="64"/>
          <bgColor auto="1"/>
        </patternFill>
      </fill>
      <border diagonalUp="0" diagonalDown="0" outline="0">
        <left style="thin">
          <color theme="1" tint="0.14999847407452621"/>
        </left>
        <right style="thin">
          <color theme="1" tint="0.14999847407452621"/>
        </right>
        <top/>
        <bottom/>
      </border>
    </dxf>
    <dxf>
      <font>
        <b val="0"/>
        <i val="0"/>
        <strike val="0"/>
        <condense val="0"/>
        <extend val="0"/>
        <outline val="0"/>
        <shadow val="0"/>
        <u val="none"/>
        <vertAlign val="baseline"/>
        <sz val="10"/>
        <color theme="1" tint="0.249977111117893"/>
        <name val="Lao UI"/>
        <scheme val="none"/>
      </font>
      <fill>
        <patternFill patternType="none">
          <fgColor indexed="64"/>
          <bgColor auto="1"/>
        </patternFill>
      </fill>
    </dxf>
    <dxf>
      <font>
        <b val="0"/>
        <i val="0"/>
        <strike val="0"/>
        <condense val="0"/>
        <extend val="0"/>
        <outline val="0"/>
        <shadow val="0"/>
        <u val="none"/>
        <vertAlign val="baseline"/>
        <sz val="10"/>
        <color theme="1" tint="0.249977111117893"/>
        <name val="Lao UI"/>
        <scheme val="none"/>
      </font>
      <fill>
        <patternFill patternType="none">
          <fgColor indexed="64"/>
          <bgColor auto="1"/>
        </patternFill>
      </fill>
    </dxf>
    <dxf>
      <font>
        <b val="0"/>
        <i val="0"/>
        <strike val="0"/>
        <condense val="0"/>
        <extend val="0"/>
        <outline val="0"/>
        <shadow val="0"/>
        <u val="none"/>
        <vertAlign val="baseline"/>
        <sz val="10"/>
        <color theme="1" tint="0.249977111117893"/>
        <name val="Lao UI"/>
        <scheme val="none"/>
      </font>
      <fill>
        <patternFill patternType="none">
          <fgColor indexed="64"/>
          <bgColor auto="1"/>
        </patternFill>
      </fill>
    </dxf>
    <dxf>
      <font>
        <b val="0"/>
        <i val="0"/>
        <strike val="0"/>
        <condense val="0"/>
        <extend val="0"/>
        <outline val="0"/>
        <shadow val="0"/>
        <u val="none"/>
        <vertAlign val="baseline"/>
        <sz val="10"/>
        <color theme="1" tint="0.249977111117893"/>
        <name val="Lao UI"/>
        <scheme val="none"/>
      </font>
      <fill>
        <patternFill patternType="none">
          <fgColor indexed="64"/>
          <bgColor auto="1"/>
        </patternFill>
      </fill>
    </dxf>
    <dxf>
      <font>
        <b val="0"/>
        <i val="0"/>
        <strike val="0"/>
        <condense val="0"/>
        <extend val="0"/>
        <outline val="0"/>
        <shadow val="0"/>
        <u val="none"/>
        <vertAlign val="baseline"/>
        <sz val="10"/>
        <color theme="0"/>
        <name val="Lao UI"/>
        <scheme val="none"/>
      </font>
      <fill>
        <patternFill patternType="solid">
          <fgColor indexed="64"/>
          <bgColor rgb="FF01539C"/>
        </patternFill>
      </fill>
    </dxf>
    <dxf>
      <font>
        <b val="0"/>
        <i val="0"/>
        <strike val="0"/>
        <condense val="0"/>
        <extend val="0"/>
        <outline val="0"/>
        <shadow val="0"/>
        <u val="none"/>
        <vertAlign val="baseline"/>
        <sz val="10"/>
        <color theme="1" tint="0.249977111117893"/>
        <name val="Lao UI"/>
        <scheme val="none"/>
      </font>
      <numFmt numFmtId="165" formatCode="_-* #,##0_-;\-* #,##0_-;_-* &quot;-&quot;??_-;_-@_-"/>
      <fill>
        <patternFill patternType="none">
          <fgColor indexed="64"/>
          <bgColor indexed="65"/>
        </patternFill>
      </fill>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tint="0.249977111117893"/>
        <name val="Lao UI"/>
        <scheme val="none"/>
      </font>
      <fill>
        <patternFill patternType="none">
          <fgColor indexed="64"/>
          <bgColor indexed="65"/>
        </patternFill>
      </fill>
      <border diagonalUp="0" diagonalDown="0">
        <left/>
        <right/>
        <top style="thin">
          <color auto="1"/>
        </top>
        <bottom style="thin">
          <color auto="1"/>
        </bottom>
        <vertical/>
        <horizontal style="thin">
          <color auto="1"/>
        </horizontal>
      </border>
    </dxf>
    <dxf>
      <font>
        <strike val="0"/>
        <outline val="0"/>
        <shadow val="0"/>
        <sz val="10"/>
      </font>
    </dxf>
    <dxf>
      <font>
        <b val="0"/>
        <i val="0"/>
        <strike val="0"/>
        <condense val="0"/>
        <extend val="0"/>
        <outline val="0"/>
        <shadow val="0"/>
        <u val="none"/>
        <vertAlign val="baseline"/>
        <sz val="10"/>
        <color theme="0"/>
        <name val="Lao UI"/>
        <scheme val="none"/>
      </font>
      <fill>
        <patternFill patternType="solid">
          <fgColor indexed="64"/>
          <bgColor rgb="FF01539C"/>
        </patternFill>
      </fill>
    </dxf>
    <dxf>
      <font>
        <b val="0"/>
        <i val="0"/>
        <strike val="0"/>
        <condense val="0"/>
        <extend val="0"/>
        <outline val="0"/>
        <shadow val="0"/>
        <u val="none"/>
        <vertAlign val="baseline"/>
        <sz val="10"/>
        <color theme="1"/>
        <name val="Lao UI"/>
        <scheme val="none"/>
      </font>
      <fill>
        <patternFill patternType="none">
          <fgColor indexed="64"/>
          <bgColor auto="1"/>
        </patternFill>
      </fill>
    </dxf>
    <dxf>
      <font>
        <b val="0"/>
        <i val="0"/>
        <strike val="0"/>
        <condense val="0"/>
        <extend val="0"/>
        <outline val="0"/>
        <shadow val="0"/>
        <u val="none"/>
        <vertAlign val="baseline"/>
        <sz val="10"/>
        <color theme="1"/>
        <name val="Lao UI"/>
        <scheme val="none"/>
      </font>
      <numFmt numFmtId="168" formatCode="#,##0.0"/>
      <fill>
        <patternFill patternType="none">
          <fgColor indexed="64"/>
          <bgColor auto="1"/>
        </patternFill>
      </fill>
    </dxf>
    <dxf>
      <font>
        <b val="0"/>
        <i val="0"/>
        <strike val="0"/>
        <condense val="0"/>
        <extend val="0"/>
        <outline val="0"/>
        <shadow val="0"/>
        <u val="none"/>
        <vertAlign val="baseline"/>
        <sz val="10"/>
        <color theme="1"/>
        <name val="Lao UI"/>
        <scheme val="none"/>
      </font>
      <fill>
        <patternFill patternType="none">
          <fgColor indexed="64"/>
          <bgColor auto="1"/>
        </patternFill>
      </fill>
    </dxf>
    <dxf>
      <font>
        <b val="0"/>
        <i val="0"/>
        <strike val="0"/>
        <condense val="0"/>
        <extend val="0"/>
        <outline val="0"/>
        <shadow val="0"/>
        <u val="none"/>
        <vertAlign val="baseline"/>
        <sz val="10"/>
        <color theme="1"/>
        <name val="Lao UI"/>
        <scheme val="none"/>
      </font>
      <fill>
        <patternFill patternType="none">
          <fgColor indexed="64"/>
          <bgColor auto="1"/>
        </patternFill>
      </fill>
    </dxf>
    <dxf>
      <font>
        <strike val="0"/>
        <outline val="0"/>
        <shadow val="0"/>
        <u val="none"/>
        <sz val="10"/>
        <color theme="1" tint="0.249977111117893"/>
        <name val="Lao UI"/>
        <scheme val="none"/>
      </font>
      <fill>
        <patternFill patternType="none">
          <fgColor indexed="64"/>
          <bgColor auto="1"/>
        </patternFill>
      </fill>
    </dxf>
    <dxf>
      <font>
        <b val="0"/>
        <i val="0"/>
        <strike val="0"/>
        <condense val="0"/>
        <extend val="0"/>
        <outline val="0"/>
        <shadow val="0"/>
        <u val="none"/>
        <vertAlign val="baseline"/>
        <sz val="10"/>
        <color theme="1"/>
        <name val="Lao UI"/>
        <scheme val="none"/>
      </font>
      <fill>
        <patternFill patternType="none">
          <fgColor indexed="64"/>
          <bgColor auto="1"/>
        </patternFill>
      </fill>
    </dxf>
    <dxf>
      <font>
        <b val="0"/>
        <i val="0"/>
        <strike val="0"/>
        <condense val="0"/>
        <extend val="0"/>
        <outline val="0"/>
        <shadow val="0"/>
        <u val="none"/>
        <vertAlign val="baseline"/>
        <sz val="10"/>
        <color theme="1"/>
        <name val="Lao UI"/>
        <scheme val="none"/>
      </font>
      <fill>
        <patternFill patternType="none">
          <fgColor indexed="64"/>
          <bgColor auto="1"/>
        </patternFill>
      </fill>
    </dxf>
    <dxf>
      <font>
        <b val="0"/>
        <i val="0"/>
        <strike val="0"/>
        <condense val="0"/>
        <extend val="0"/>
        <outline val="0"/>
        <shadow val="0"/>
        <u val="none"/>
        <vertAlign val="baseline"/>
        <sz val="10"/>
        <color theme="1"/>
        <name val="Lao UI"/>
        <scheme val="none"/>
      </font>
      <fill>
        <patternFill patternType="none">
          <fgColor indexed="64"/>
          <bgColor auto="1"/>
        </patternFill>
      </fill>
    </dxf>
    <dxf>
      <font>
        <b val="0"/>
        <i val="0"/>
        <strike val="0"/>
        <condense val="0"/>
        <extend val="0"/>
        <outline val="0"/>
        <shadow val="0"/>
        <u val="none"/>
        <vertAlign val="baseline"/>
        <sz val="10"/>
        <color theme="1"/>
        <name val="Lao UI"/>
        <scheme val="none"/>
      </font>
      <fill>
        <patternFill patternType="none">
          <fgColor indexed="64"/>
          <bgColor auto="1"/>
        </patternFill>
      </fill>
    </dxf>
    <dxf>
      <font>
        <strike val="0"/>
        <outline val="0"/>
        <shadow val="0"/>
        <u val="none"/>
        <sz val="10"/>
        <color theme="1" tint="0.249977111117893"/>
        <name val="Lao UI"/>
        <scheme val="none"/>
      </font>
      <fill>
        <patternFill patternType="none">
          <fgColor indexed="64"/>
          <bgColor auto="1"/>
        </patternFill>
      </fill>
    </dxf>
    <dxf>
      <font>
        <b val="0"/>
        <i val="0"/>
        <strike val="0"/>
        <condense val="0"/>
        <extend val="0"/>
        <outline val="0"/>
        <shadow val="0"/>
        <u val="none"/>
        <vertAlign val="baseline"/>
        <sz val="10"/>
        <color theme="1" tint="0.249977111117893"/>
        <name val="Lao UI"/>
        <scheme val="none"/>
      </font>
      <fill>
        <patternFill patternType="none">
          <fgColor indexed="64"/>
          <bgColor indexed="65"/>
        </patternFill>
      </fill>
    </dxf>
    <dxf>
      <font>
        <b val="0"/>
        <i val="0"/>
        <strike val="0"/>
        <condense val="0"/>
        <extend val="0"/>
        <outline val="0"/>
        <shadow val="0"/>
        <u val="none"/>
        <vertAlign val="baseline"/>
        <sz val="10"/>
        <color theme="1" tint="0.249977111117893"/>
        <name val="Lao UI"/>
        <scheme val="none"/>
      </font>
      <fill>
        <patternFill patternType="none">
          <fgColor indexed="64"/>
          <bgColor indexed="65"/>
        </patternFill>
      </fill>
    </dxf>
    <dxf>
      <font>
        <b val="0"/>
        <i val="0"/>
        <strike val="0"/>
        <condense val="0"/>
        <extend val="0"/>
        <outline val="0"/>
        <shadow val="0"/>
        <u val="none"/>
        <vertAlign val="baseline"/>
        <sz val="10"/>
        <color theme="1" tint="0.249977111117893"/>
        <name val="Lao UI"/>
        <scheme val="none"/>
      </font>
      <fill>
        <patternFill patternType="none">
          <fgColor indexed="64"/>
          <bgColor auto="1"/>
        </patternFill>
      </fill>
    </dxf>
    <dxf>
      <font>
        <strike val="0"/>
        <outline val="0"/>
        <shadow val="0"/>
        <sz val="10"/>
        <color theme="1" tint="0.249977111117893"/>
      </font>
      <fill>
        <patternFill patternType="none">
          <fgColor indexed="64"/>
          <bgColor auto="1"/>
        </patternFill>
      </fill>
    </dxf>
    <dxf>
      <font>
        <b val="0"/>
        <i val="0"/>
        <strike val="0"/>
        <condense val="0"/>
        <extend val="0"/>
        <outline val="0"/>
        <shadow val="0"/>
        <u val="none"/>
        <vertAlign val="baseline"/>
        <sz val="10"/>
        <color theme="1" tint="0.249977111117893"/>
        <name val="Lao UI"/>
        <scheme val="none"/>
      </font>
      <fill>
        <patternFill patternType="none">
          <fgColor indexed="64"/>
          <bgColor auto="1"/>
        </patternFill>
      </fill>
      <border diagonalUp="0" diagonalDown="0" outline="0">
        <left style="thin">
          <color theme="1" tint="0.14999847407452621"/>
        </left>
        <right style="thin">
          <color theme="1" tint="0.14999847407452621"/>
        </right>
        <top/>
        <bottom/>
      </border>
    </dxf>
    <dxf>
      <font>
        <b val="0"/>
        <i val="0"/>
        <strike val="0"/>
        <condense val="0"/>
        <extend val="0"/>
        <outline val="0"/>
        <shadow val="0"/>
        <u/>
        <vertAlign val="baseline"/>
        <sz val="10"/>
        <color theme="1" tint="0.249977111117893"/>
        <name val="Lao UI"/>
        <scheme val="none"/>
      </font>
      <fill>
        <patternFill patternType="none">
          <fgColor indexed="64"/>
          <bgColor auto="1"/>
        </patternFill>
      </fill>
    </dxf>
    <dxf>
      <font>
        <b val="0"/>
        <i val="0"/>
        <strike val="0"/>
        <condense val="0"/>
        <extend val="0"/>
        <outline val="0"/>
        <shadow val="0"/>
        <u val="none"/>
        <vertAlign val="baseline"/>
        <sz val="10"/>
        <color theme="1" tint="0.249977111117893"/>
        <name val="Lao UI"/>
        <scheme val="none"/>
      </font>
      <fill>
        <patternFill patternType="none">
          <fgColor indexed="64"/>
          <bgColor auto="1"/>
        </patternFill>
      </fill>
    </dxf>
    <dxf>
      <font>
        <b val="0"/>
        <i val="0"/>
        <strike val="0"/>
        <condense val="0"/>
        <extend val="0"/>
        <outline val="0"/>
        <shadow val="0"/>
        <u val="none"/>
        <vertAlign val="baseline"/>
        <sz val="10"/>
        <color theme="1" tint="0.249977111117893"/>
        <name val="Lao UI"/>
        <scheme val="none"/>
      </font>
      <fill>
        <patternFill patternType="none">
          <fgColor indexed="64"/>
          <bgColor auto="1"/>
        </patternFill>
      </fill>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tint="0.249977111117893"/>
        <name val="Lao UI"/>
        <scheme val="none"/>
      </font>
      <fill>
        <patternFill patternType="none">
          <fgColor indexed="64"/>
          <bgColor auto="1"/>
        </patternFill>
      </fill>
    </dxf>
    <dxf>
      <font>
        <b val="0"/>
        <i val="0"/>
        <strike val="0"/>
        <condense val="0"/>
        <extend val="0"/>
        <outline val="0"/>
        <shadow val="0"/>
        <u val="none"/>
        <vertAlign val="baseline"/>
        <sz val="10"/>
        <color theme="0"/>
        <name val="Lao UI"/>
        <scheme val="none"/>
      </font>
      <fill>
        <patternFill patternType="solid">
          <fgColor indexed="64"/>
          <bgColor rgb="FF3FA344"/>
        </patternFill>
      </fill>
    </dxf>
    <dxf>
      <font>
        <b val="0"/>
        <i val="0"/>
        <strike val="0"/>
        <condense val="0"/>
        <extend val="0"/>
        <outline val="0"/>
        <shadow val="0"/>
        <u/>
        <vertAlign val="baseline"/>
        <sz val="10"/>
        <color theme="1" tint="0.249977111117893"/>
        <name val="Lao UI"/>
        <scheme val="none"/>
      </font>
      <fill>
        <patternFill patternType="none">
          <fgColor indexed="64"/>
          <bgColor auto="1"/>
        </patternFill>
      </fill>
    </dxf>
    <dxf>
      <font>
        <b val="0"/>
        <i val="0"/>
        <strike val="0"/>
        <condense val="0"/>
        <extend val="0"/>
        <outline val="0"/>
        <shadow val="0"/>
        <u val="none"/>
        <vertAlign val="baseline"/>
        <sz val="10"/>
        <color theme="1" tint="0.249977111117893"/>
        <name val="Lao UI"/>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theme="1" tint="0.249977111117893"/>
        <name val="Lao UI"/>
        <scheme val="none"/>
      </font>
      <fill>
        <patternFill patternType="none">
          <fgColor indexed="64"/>
          <bgColor indexed="65"/>
        </patternFill>
      </fill>
    </dxf>
    <dxf>
      <font>
        <b val="0"/>
        <i val="0"/>
        <strike val="0"/>
        <condense val="0"/>
        <extend val="0"/>
        <outline val="0"/>
        <shadow val="0"/>
        <u val="none"/>
        <vertAlign val="baseline"/>
        <sz val="10"/>
        <color theme="1" tint="0.249977111117893"/>
        <name val="Lao UI"/>
        <scheme val="none"/>
      </font>
      <fill>
        <patternFill patternType="none">
          <fgColor indexed="64"/>
          <bgColor auto="1"/>
        </patternFill>
      </fill>
    </dxf>
    <dxf>
      <font>
        <b val="0"/>
        <i val="0"/>
        <strike val="0"/>
        <condense val="0"/>
        <extend val="0"/>
        <outline val="0"/>
        <shadow val="0"/>
        <u val="none"/>
        <vertAlign val="baseline"/>
        <sz val="10"/>
        <color theme="0"/>
        <name val="Lao UI"/>
        <scheme val="none"/>
      </font>
      <fill>
        <patternFill patternType="solid">
          <fgColor indexed="64"/>
          <bgColor rgb="FF3FA344"/>
        </patternFill>
      </fill>
    </dxf>
    <dxf>
      <font>
        <color theme="0"/>
      </font>
      <fill>
        <patternFill>
          <bgColor rgb="FFDA2A2A"/>
        </patternFill>
      </fill>
    </dxf>
    <dxf>
      <font>
        <color theme="0"/>
      </font>
      <fill>
        <patternFill>
          <bgColor rgb="FFDA2A2A"/>
        </patternFill>
      </fill>
    </dxf>
    <dxf>
      <font>
        <color theme="1" tint="0.24994659260841701"/>
      </font>
      <fill>
        <patternFill>
          <bgColor theme="1" tint="0.34998626667073579"/>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1" tint="0.24994659260841701"/>
      </font>
      <fill>
        <patternFill>
          <bgColor theme="1" tint="0.34998626667073579"/>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1" tint="0.24994659260841701"/>
      </font>
      <fill>
        <patternFill>
          <bgColor theme="1" tint="0.34998626667073579"/>
        </patternFill>
      </fill>
    </dxf>
    <dxf>
      <font>
        <color theme="0"/>
      </font>
      <fill>
        <patternFill>
          <bgColor rgb="FFDA2A2A"/>
        </patternFill>
      </fill>
    </dxf>
    <dxf>
      <font>
        <color theme="0"/>
      </font>
      <fill>
        <patternFill>
          <bgColor rgb="FFDA2A2A"/>
        </patternFill>
      </fill>
    </dxf>
    <dxf>
      <font>
        <color theme="1" tint="0.24994659260841701"/>
      </font>
      <fill>
        <patternFill>
          <bgColor theme="1" tint="0.34998626667073579"/>
        </patternFill>
      </fill>
    </dxf>
    <dxf>
      <font>
        <color theme="0"/>
      </font>
      <fill>
        <patternFill>
          <bgColor rgb="FFDA2A02"/>
        </patternFill>
      </fill>
    </dxf>
    <dxf>
      <font>
        <color theme="0"/>
      </font>
      <fill>
        <patternFill>
          <bgColor rgb="FFDA2A2A"/>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1" tint="0.24994659260841701"/>
      </font>
      <fill>
        <patternFill>
          <bgColor theme="1" tint="0.34998626667073579"/>
        </patternFill>
      </fill>
    </dxf>
    <dxf>
      <font>
        <color theme="0"/>
      </font>
      <fill>
        <patternFill>
          <bgColor rgb="FFDA2A2A"/>
        </patternFill>
      </fill>
    </dxf>
    <dxf>
      <font>
        <color theme="0"/>
      </font>
      <fill>
        <patternFill>
          <bgColor rgb="FFDA2A2A"/>
        </patternFill>
      </fill>
    </dxf>
    <dxf>
      <font>
        <color theme="1" tint="0.24994659260841701"/>
      </font>
      <fill>
        <patternFill>
          <bgColor theme="1" tint="0.34998626667073579"/>
        </patternFill>
      </fill>
    </dxf>
    <dxf>
      <font>
        <color theme="0"/>
      </font>
      <fill>
        <patternFill>
          <bgColor rgb="FFDA2A02"/>
        </patternFill>
      </fill>
    </dxf>
    <dxf>
      <font>
        <color theme="0"/>
      </font>
      <fill>
        <patternFill>
          <bgColor rgb="FFDA2A2A"/>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tint="-4.9989318521683403E-2"/>
      </font>
      <fill>
        <patternFill>
          <bgColor rgb="FFC00000"/>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1" tint="0.24994659260841701"/>
      </font>
      <fill>
        <patternFill>
          <bgColor rgb="FFFBD803"/>
        </patternFill>
      </fill>
    </dxf>
    <dxf>
      <font>
        <color theme="0"/>
      </font>
      <fill>
        <patternFill>
          <bgColor rgb="FF48B84D"/>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D0ECD1"/>
        </patternFill>
      </fill>
    </dxf>
    <dxf>
      <font>
        <color theme="0" tint="-4.9989318521683403E-2"/>
      </font>
      <fill>
        <patternFill>
          <bgColor rgb="FFC00000"/>
        </patternFill>
      </fill>
    </dxf>
    <dxf>
      <font>
        <color theme="1" tint="0.24994659260841701"/>
      </font>
      <fill>
        <patternFill>
          <bgColor rgb="FFFBD803"/>
        </patternFill>
      </fill>
    </dxf>
    <dxf>
      <font>
        <color theme="0"/>
      </font>
      <fill>
        <patternFill>
          <bgColor rgb="FF48B84D"/>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rgb="FFD0ECD1"/>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tint="-4.9989318521683403E-2"/>
      </font>
      <fill>
        <patternFill>
          <bgColor rgb="FFC00000"/>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1" tint="0.24994659260841701"/>
      </font>
      <fill>
        <patternFill>
          <bgColor rgb="FFFBD803"/>
        </patternFill>
      </fill>
    </dxf>
    <dxf>
      <font>
        <color theme="0"/>
      </font>
      <fill>
        <patternFill>
          <bgColor rgb="FF48B84D"/>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rgb="FFD0ECD1"/>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1" tint="0.24994659260841701"/>
      </font>
      <fill>
        <patternFill>
          <bgColor rgb="FFFBD803"/>
        </patternFill>
      </fill>
    </dxf>
    <dxf>
      <font>
        <color theme="0"/>
      </font>
      <fill>
        <patternFill>
          <bgColor rgb="FF48B84D"/>
        </patternFill>
      </fill>
    </dxf>
    <dxf>
      <font>
        <color theme="0"/>
      </font>
      <fill>
        <patternFill>
          <bgColor rgb="FFDA2A02"/>
        </patternFill>
      </fill>
    </dxf>
    <dxf>
      <font>
        <color theme="0"/>
      </font>
      <fill>
        <patternFill>
          <bgColor rgb="FFDA2A2A"/>
        </patternFill>
      </fill>
    </dxf>
    <dxf>
      <font>
        <color theme="1" tint="0.24994659260841701"/>
      </font>
      <fill>
        <patternFill>
          <bgColor rgb="FFFBD803"/>
        </patternFill>
      </fill>
    </dxf>
    <dxf>
      <font>
        <color theme="0"/>
      </font>
      <fill>
        <patternFill>
          <bgColor rgb="FF48B84D"/>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48B84D"/>
        </patternFill>
      </fill>
    </dxf>
    <dxf>
      <font>
        <color theme="1" tint="0.24994659260841701"/>
      </font>
      <fill>
        <patternFill>
          <bgColor rgb="FFD0ECD1"/>
        </patternFill>
      </fill>
    </dxf>
    <dxf>
      <font>
        <color theme="1" tint="0.24994659260841701"/>
      </font>
      <fill>
        <patternFill>
          <bgColor theme="1" tint="0.34998626667073579"/>
        </patternFill>
      </fill>
    </dxf>
    <dxf>
      <font>
        <color theme="1" tint="0.24994659260841701"/>
      </font>
      <fill>
        <patternFill>
          <bgColor rgb="FFD0ECD1"/>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1" tint="0.24994659260841701"/>
      </font>
      <fill>
        <patternFill>
          <bgColor theme="1" tint="0.34998626667073579"/>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theme="1" tint="0.34998626667073579"/>
        </patternFill>
      </fill>
    </dxf>
    <dxf>
      <fill>
        <patternFill>
          <bgColor theme="1" tint="0.34998626667073579"/>
        </patternFill>
      </fill>
    </dxf>
    <dxf>
      <fill>
        <patternFill>
          <bgColor theme="1" tint="0.34998626667073579"/>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font>
      <fill>
        <patternFill>
          <bgColor rgb="FFDA2A2A"/>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1" tint="0.34998626667073579"/>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font>
      <fill>
        <patternFill>
          <bgColor rgb="FFDA2A2A"/>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ill>
        <patternFill>
          <bgColor theme="1" tint="0.34998626667073579"/>
        </patternFill>
      </fill>
    </dxf>
    <dxf>
      <font>
        <color theme="0"/>
      </font>
      <fill>
        <patternFill>
          <bgColor rgb="FFDA2A0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font>
      <fill>
        <patternFill>
          <bgColor rgb="FFDA2A2A"/>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ill>
        <patternFill>
          <bgColor theme="1" tint="0.34998626667073579"/>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font>
      <fill>
        <patternFill>
          <bgColor rgb="FFDA2A2A"/>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font>
      <fill>
        <patternFill>
          <bgColor rgb="FFDA2A0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font>
      <fill>
        <patternFill>
          <bgColor rgb="FFDA2A2A"/>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font>
      <fill>
        <patternFill>
          <bgColor rgb="FFDA2A0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font>
      <fill>
        <patternFill>
          <bgColor rgb="FFDA2A2A"/>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font>
      <fill>
        <patternFill>
          <bgColor rgb="FFDA2A0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font>
      <fill>
        <patternFill>
          <bgColor rgb="FFDA2A2A"/>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font>
      <fill>
        <patternFill>
          <bgColor rgb="FFDA2A2A"/>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ill>
        <patternFill>
          <bgColor theme="1" tint="0.34998626667073579"/>
        </patternFill>
      </fill>
    </dxf>
    <dxf>
      <font>
        <color theme="0"/>
      </font>
      <fill>
        <patternFill>
          <bgColor rgb="FFDA2A02"/>
        </patternFill>
      </fill>
    </dxf>
    <dxf>
      <font>
        <color theme="0"/>
      </font>
      <fill>
        <patternFill>
          <bgColor rgb="FFDA2A2A"/>
        </patternFill>
      </fill>
    </dxf>
    <dxf>
      <fill>
        <patternFill>
          <bgColor theme="1" tint="0.34998626667073579"/>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ill>
        <patternFill>
          <bgColor theme="1" tint="0.34998626667073579"/>
        </patternFill>
      </fill>
    </dxf>
    <dxf>
      <fill>
        <patternFill>
          <bgColor theme="1" tint="0.34998626667073579"/>
        </patternFill>
      </fill>
    </dxf>
    <dxf>
      <fill>
        <patternFill>
          <bgColor theme="1" tint="0.34998626667073579"/>
        </patternFill>
      </fill>
    </dxf>
    <dxf>
      <font>
        <color theme="0"/>
      </font>
      <fill>
        <patternFill>
          <bgColor rgb="FFDA2A0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font>
      <fill>
        <patternFill>
          <bgColor rgb="FFDA2A2A"/>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font>
      <fill>
        <patternFill>
          <bgColor rgb="FFDA2A02"/>
        </patternFill>
      </fill>
    </dxf>
    <dxf>
      <font>
        <color theme="0"/>
      </font>
      <fill>
        <patternFill>
          <bgColor rgb="FFDA2A2A"/>
        </patternFill>
      </fill>
    </dxf>
    <dxf>
      <font>
        <color theme="0" tint="-4.9989318521683403E-2"/>
      </font>
      <fill>
        <patternFill>
          <bgColor rgb="FFC00000"/>
        </patternFill>
      </fill>
    </dxf>
    <dxf>
      <font>
        <color theme="0"/>
      </font>
      <fill>
        <patternFill>
          <bgColor rgb="FF48B84D"/>
        </patternFill>
      </fill>
    </dxf>
    <dxf>
      <font>
        <color theme="1" tint="0.24994659260841701"/>
      </font>
      <fill>
        <patternFill>
          <bgColor rgb="FFFEF09C"/>
        </patternFill>
      </fill>
    </dxf>
    <dxf>
      <font>
        <color theme="1" tint="0.24994659260841701"/>
      </font>
      <fill>
        <patternFill>
          <bgColor rgb="FFD0ECD1"/>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0"/>
      </font>
      <fill>
        <patternFill>
          <bgColor rgb="FFDA2A2A"/>
        </patternFill>
      </fill>
    </dxf>
    <dxf>
      <font>
        <color theme="2"/>
      </font>
      <fill>
        <patternFill>
          <bgColor rgb="FFDA2A2A"/>
        </patternFill>
      </fill>
    </dxf>
    <dxf>
      <fill>
        <patternFill>
          <bgColor theme="1" tint="0.34998626667073579"/>
        </patternFill>
      </fill>
    </dxf>
    <dxf>
      <fill>
        <patternFill>
          <bgColor theme="1" tint="0.34998626667073579"/>
        </patternFill>
      </fill>
    </dxf>
    <dxf>
      <fill>
        <patternFill>
          <bgColor theme="1" tint="0.34998626667073579"/>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ill>
        <patternFill>
          <bgColor theme="1" tint="0.34998626667073579"/>
        </patternFill>
      </fill>
    </dxf>
    <dxf>
      <fill>
        <patternFill>
          <bgColor theme="1" tint="0.34998626667073579"/>
        </patternFill>
      </fill>
    </dxf>
    <dxf>
      <font>
        <color theme="0"/>
      </font>
      <fill>
        <patternFill>
          <bgColor rgb="FFDA2A02"/>
        </patternFill>
      </fill>
    </dxf>
    <dxf>
      <font>
        <color theme="0"/>
      </font>
      <fill>
        <patternFill>
          <bgColor rgb="FFDA2A2A"/>
        </patternFill>
      </fill>
    </dxf>
    <dxf>
      <fill>
        <patternFill>
          <bgColor theme="1" tint="0.34998626667073579"/>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ill>
        <patternFill>
          <bgColor theme="1" tint="0.34998626667073579"/>
        </patternFill>
      </fill>
    </dxf>
    <dxf>
      <font>
        <color theme="0"/>
      </font>
      <fill>
        <patternFill>
          <bgColor rgb="FFDA2A02"/>
        </patternFill>
      </fill>
    </dxf>
    <dxf>
      <font>
        <color theme="0"/>
      </font>
      <fill>
        <patternFill>
          <bgColor rgb="FFDA2A2A"/>
        </patternFill>
      </fill>
    </dxf>
    <dxf>
      <fill>
        <patternFill>
          <bgColor theme="1" tint="0.34998626667073579"/>
        </patternFill>
      </fill>
    </dxf>
    <dxf>
      <fill>
        <patternFill>
          <bgColor theme="1" tint="0.34998626667073579"/>
        </patternFill>
      </fill>
    </dxf>
    <dxf>
      <fill>
        <patternFill>
          <bgColor theme="1" tint="0.34998626667073579"/>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2A"/>
        </patternFill>
      </fill>
    </dxf>
    <dxf>
      <fill>
        <patternFill>
          <bgColor rgb="FFD0ECD1"/>
        </patternFill>
      </fill>
    </dxf>
    <dxf>
      <fill>
        <patternFill>
          <bgColor rgb="FFF2F2F2"/>
        </patternFill>
      </fill>
    </dxf>
    <dxf>
      <fill>
        <patternFill>
          <bgColor rgb="FFF2F2F2"/>
        </patternFill>
      </fill>
    </dxf>
    <dxf>
      <fill>
        <patternFill>
          <bgColor rgb="FFD0ECD1"/>
        </patternFill>
      </fill>
    </dxf>
    <dxf>
      <fill>
        <patternFill>
          <bgColor rgb="FF595959"/>
        </patternFill>
      </fill>
    </dxf>
    <dxf>
      <fill>
        <patternFill>
          <bgColor rgb="FF595959"/>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1" tint="0.24994659260841701"/>
      </font>
      <fill>
        <patternFill>
          <bgColor rgb="FFD0ECD1"/>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font>
      <fill>
        <patternFill>
          <bgColor rgb="FFDA2A2A"/>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font>
      <fill>
        <patternFill>
          <bgColor rgb="FFDA2A02"/>
        </patternFill>
      </fill>
    </dxf>
    <dxf>
      <font>
        <color theme="0"/>
      </font>
      <fill>
        <patternFill>
          <bgColor rgb="FFDA2A2A"/>
        </patternFill>
      </fill>
    </dxf>
    <dxf>
      <font>
        <color theme="0"/>
      </font>
      <fill>
        <patternFill>
          <bgColor rgb="FFDA2A0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font>
      <fill>
        <patternFill>
          <bgColor rgb="FFDA2A2A"/>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font>
      <fill>
        <patternFill>
          <bgColor rgb="FFDA2A0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font>
      <fill>
        <patternFill>
          <bgColor rgb="FFDA2A2A"/>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font>
      <fill>
        <patternFill>
          <bgColor rgb="FFDA2A0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font>
      <fill>
        <patternFill>
          <bgColor rgb="FFDA2A2A"/>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font>
      <fill>
        <patternFill>
          <bgColor rgb="FFDA2A0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font>
      <fill>
        <patternFill>
          <bgColor rgb="FFDA2A2A"/>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font>
      <fill>
        <patternFill>
          <bgColor rgb="FFDA2A2A"/>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02"/>
        </patternFill>
      </fill>
    </dxf>
    <dxf>
      <font>
        <color theme="0"/>
      </font>
      <fill>
        <patternFill>
          <bgColor rgb="FFDA2A2A"/>
        </patternFill>
      </fill>
    </dxf>
    <dxf>
      <font>
        <color theme="0"/>
      </font>
      <fill>
        <patternFill>
          <bgColor rgb="FFDA2A2A"/>
        </patternFill>
      </fill>
    </dxf>
    <dxf>
      <font>
        <color theme="1" tint="0.24994659260841701"/>
      </font>
      <fill>
        <patternFill>
          <bgColor rgb="FFD0ECD1"/>
        </patternFill>
      </fill>
    </dxf>
    <dxf>
      <font>
        <color theme="1" tint="0.24994659260841701"/>
      </font>
      <fill>
        <patternFill>
          <bgColor rgb="FF595959"/>
        </patternFill>
      </fill>
    </dxf>
    <dxf>
      <font>
        <color theme="1" tint="0.24994659260841701"/>
      </font>
      <fill>
        <patternFill>
          <bgColor rgb="FFFEF09C"/>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theme="1" tint="0.34998626667073579"/>
        </patternFill>
      </fill>
    </dxf>
    <dxf>
      <font>
        <color theme="1" tint="0.24994659260841701"/>
      </font>
      <fill>
        <patternFill>
          <bgColor rgb="FFFEF09C"/>
        </patternFill>
      </fill>
    </dxf>
    <dxf>
      <font>
        <b val="0"/>
        <i val="0"/>
        <strike val="0"/>
        <condense val="0"/>
        <extend val="0"/>
        <outline val="0"/>
        <shadow val="0"/>
        <u val="none"/>
        <vertAlign val="baseline"/>
        <sz val="10"/>
        <color theme="1" tint="0.249977111117893"/>
        <name val="Lao UI"/>
        <family val="2"/>
        <scheme val="none"/>
      </font>
      <numFmt numFmtId="3" formatCode="#,##0"/>
      <fill>
        <patternFill patternType="solid">
          <fgColor indexed="64"/>
          <bgColor rgb="FFF2F2F2"/>
        </patternFill>
      </fill>
      <alignment horizontal="general" vertical="bottom"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tint="0.249977111117893"/>
        <name val="Lao UI"/>
        <family val="2"/>
        <scheme val="none"/>
      </font>
      <numFmt numFmtId="1" formatCode="0"/>
      <fill>
        <patternFill patternType="solid">
          <fgColor indexed="64"/>
          <bgColor rgb="FFF2F2F2"/>
        </patternFill>
      </fill>
      <alignment horizontal="general" vertical="bottom"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protection locked="1" hidden="0"/>
    </dxf>
    <dxf>
      <font>
        <b val="0"/>
        <i val="0"/>
        <strike val="0"/>
        <condense val="0"/>
        <extend val="0"/>
        <outline val="0"/>
        <shadow val="0"/>
        <u val="none"/>
        <vertAlign val="baseline"/>
        <sz val="10"/>
        <color theme="1" tint="0.249977111117893"/>
        <name val="Lao UI"/>
        <family val="2"/>
        <scheme val="none"/>
      </font>
      <fill>
        <patternFill patternType="solid">
          <fgColor indexed="64"/>
          <bgColor rgb="FFF2F2F2"/>
        </patternFill>
      </fill>
      <alignment horizontal="general" vertical="bottom"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protection locked="1" hidden="0"/>
    </dxf>
    <dxf>
      <font>
        <b val="0"/>
        <i val="0"/>
        <strike val="0"/>
        <condense val="0"/>
        <extend val="0"/>
        <outline val="0"/>
        <shadow val="0"/>
        <u val="none"/>
        <vertAlign val="baseline"/>
        <sz val="10"/>
        <color theme="1" tint="0.249977111117893"/>
        <name val="Lao UI"/>
        <family val="2"/>
        <scheme val="none"/>
      </font>
      <fill>
        <patternFill patternType="solid">
          <fgColor indexed="64"/>
          <bgColor rgb="FFF2F2F2"/>
        </patternFill>
      </fill>
      <border diagonalUp="0" diagonalDown="0" outline="0">
        <left style="thin">
          <color theme="0" tint="-0.249977111117893"/>
        </left>
        <right/>
        <top style="thin">
          <color theme="0" tint="-0.249977111117893"/>
        </top>
        <bottom style="thin">
          <color theme="0" tint="-0.249977111117893"/>
        </bottom>
      </border>
      <protection locked="1" hidden="0"/>
    </dxf>
    <dxf>
      <font>
        <b val="0"/>
        <i val="0"/>
        <strike val="0"/>
        <condense val="0"/>
        <extend val="0"/>
        <outline val="0"/>
        <shadow val="0"/>
        <u val="none"/>
        <vertAlign val="baseline"/>
        <sz val="10"/>
        <color theme="1" tint="0.249977111117893"/>
        <name val="Lao UI"/>
        <family val="2"/>
        <scheme val="none"/>
      </font>
      <numFmt numFmtId="3" formatCode="#,##0"/>
      <fill>
        <patternFill patternType="solid">
          <fgColor indexed="64"/>
          <bgColor rgb="FFF2F2F2"/>
        </patternFill>
      </fill>
      <alignment horizontal="general" vertical="bottom"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protection locked="1" hidden="0"/>
    </dxf>
    <dxf>
      <font>
        <b val="0"/>
        <i val="0"/>
        <strike val="0"/>
        <condense val="0"/>
        <extend val="0"/>
        <outline val="0"/>
        <shadow val="0"/>
        <u val="none"/>
        <vertAlign val="baseline"/>
        <sz val="10"/>
        <color theme="1" tint="0.249977111117893"/>
        <name val="Lao UI"/>
        <family val="2"/>
        <scheme val="none"/>
      </font>
      <numFmt numFmtId="3" formatCode="#,##0"/>
      <fill>
        <patternFill patternType="solid">
          <fgColor indexed="64"/>
          <bgColor rgb="FFF2F2F2"/>
        </patternFill>
      </fill>
      <alignment horizontal="general" vertical="bottom" textRotation="0" wrapText="1" indent="0" justifyLastLine="0" shrinkToFit="0" readingOrder="0"/>
      <border diagonalUp="0" diagonalDown="0" outline="0">
        <left/>
        <right/>
        <top style="thin">
          <color theme="0" tint="-0.249977111117893"/>
        </top>
        <bottom style="thin">
          <color theme="0" tint="-0.249977111117893"/>
        </bottom>
      </border>
      <protection locked="1" hidden="0"/>
    </dxf>
    <dxf>
      <border outline="0">
        <left style="thin">
          <color theme="0" tint="-0.249977111117893"/>
        </left>
        <bottom style="thin">
          <color theme="0" tint="-0.249977111117893"/>
        </bottom>
      </border>
    </dxf>
    <dxf>
      <font>
        <strike val="0"/>
        <outline val="0"/>
        <shadow val="0"/>
        <u val="none"/>
        <sz val="10"/>
      </font>
      <fill>
        <patternFill patternType="solid">
          <fgColor indexed="64"/>
          <bgColor rgb="FFF2F2F2"/>
        </patternFill>
      </fill>
    </dxf>
    <dxf>
      <font>
        <b/>
        <strike val="0"/>
        <outline val="0"/>
        <shadow val="0"/>
        <u val="none"/>
        <sz val="10"/>
      </font>
    </dxf>
    <dxf>
      <font>
        <b val="0"/>
        <i val="0"/>
        <strike val="0"/>
        <condense val="0"/>
        <extend val="0"/>
        <outline val="0"/>
        <shadow val="0"/>
        <u val="none"/>
        <vertAlign val="baseline"/>
        <sz val="10"/>
        <color theme="1" tint="0.249977111117893"/>
        <name val="Lao UI"/>
        <family val="2"/>
        <scheme val="none"/>
      </font>
      <numFmt numFmtId="4" formatCode="#,##0.00"/>
      <fill>
        <patternFill patternType="solid">
          <fgColor indexed="64"/>
          <bgColor rgb="FFF2F2F2"/>
        </patternFill>
      </fill>
      <alignment horizontal="general" vertical="bottom"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protection locked="1" hidden="0"/>
    </dxf>
    <dxf>
      <font>
        <b val="0"/>
        <i val="0"/>
        <strike val="0"/>
        <condense val="0"/>
        <extend val="0"/>
        <outline val="0"/>
        <shadow val="0"/>
        <u val="none"/>
        <vertAlign val="baseline"/>
        <sz val="10"/>
        <color theme="1" tint="0.249977111117893"/>
        <name val="Lao UI"/>
        <family val="2"/>
        <scheme val="none"/>
      </font>
      <numFmt numFmtId="3" formatCode="#,##0"/>
      <fill>
        <patternFill patternType="solid">
          <fgColor indexed="64"/>
          <bgColor rgb="FFD0ECD1"/>
        </patternFill>
      </fill>
      <alignment horizontal="general" vertical="bottom"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protection locked="0" hidden="0"/>
    </dxf>
    <dxf>
      <font>
        <b val="0"/>
        <i val="0"/>
        <strike val="0"/>
        <condense val="0"/>
        <extend val="0"/>
        <outline val="0"/>
        <shadow val="0"/>
        <u val="none"/>
        <vertAlign val="baseline"/>
        <sz val="10"/>
        <color theme="1" tint="0.249977111117893"/>
        <name val="Lao UI"/>
        <family val="2"/>
        <scheme val="none"/>
      </font>
      <numFmt numFmtId="3" formatCode="#,##0"/>
      <fill>
        <patternFill patternType="solid">
          <fgColor indexed="64"/>
          <bgColor rgb="FFD0ECD1"/>
        </patternFill>
      </fill>
      <alignment horizontal="general" vertical="bottom"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protection locked="0" hidden="0"/>
    </dxf>
    <dxf>
      <font>
        <b val="0"/>
        <i val="0"/>
        <strike val="0"/>
        <condense val="0"/>
        <extend val="0"/>
        <outline val="0"/>
        <shadow val="0"/>
        <u val="none"/>
        <vertAlign val="baseline"/>
        <sz val="10"/>
        <color theme="1" tint="0.249977111117893"/>
        <name val="Lao UI"/>
        <family val="2"/>
        <scheme val="none"/>
      </font>
      <numFmt numFmtId="3" formatCode="#,##0"/>
      <fill>
        <patternFill patternType="solid">
          <fgColor indexed="64"/>
          <bgColor rgb="FFD0ECD1"/>
        </patternFill>
      </fill>
      <alignment horizontal="general" vertical="bottom"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protection locked="0" hidden="0"/>
    </dxf>
    <dxf>
      <font>
        <b val="0"/>
        <i val="0"/>
        <strike val="0"/>
        <condense val="0"/>
        <extend val="0"/>
        <outline val="0"/>
        <shadow val="0"/>
        <u val="none"/>
        <vertAlign val="baseline"/>
        <sz val="10"/>
        <color theme="1" tint="0.249977111117893"/>
        <name val="Lao UI"/>
        <family val="2"/>
        <scheme val="none"/>
      </font>
      <numFmt numFmtId="4" formatCode="#,##0.00"/>
      <fill>
        <patternFill patternType="solid">
          <fgColor indexed="64"/>
          <bgColor rgb="FFF2F2F2"/>
        </patternFill>
      </fill>
      <alignment horizontal="general" vertical="bottom"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protection locked="1" hidden="0"/>
    </dxf>
    <dxf>
      <font>
        <b val="0"/>
        <i val="0"/>
        <strike val="0"/>
        <condense val="0"/>
        <extend val="0"/>
        <outline val="0"/>
        <shadow val="0"/>
        <u val="none"/>
        <vertAlign val="baseline"/>
        <sz val="10"/>
        <color theme="1" tint="0.249977111117893"/>
        <name val="Lao UI"/>
        <family val="2"/>
        <scheme val="none"/>
      </font>
      <numFmt numFmtId="3" formatCode="#,##0"/>
      <fill>
        <patternFill patternType="solid">
          <fgColor indexed="64"/>
          <bgColor rgb="FFF2F2F2"/>
        </patternFill>
      </fill>
      <alignment horizontal="general" vertical="bottom" textRotation="0" wrapText="1" indent="0" justifyLastLine="0" shrinkToFit="0" readingOrder="0"/>
      <border diagonalUp="0" diagonalDown="0">
        <left/>
        <right/>
        <top style="thin">
          <color theme="0" tint="-0.249977111117893"/>
        </top>
        <bottom style="thin">
          <color theme="0" tint="-0.249977111117893"/>
        </bottom>
      </border>
      <protection locked="1" hidden="0"/>
    </dxf>
    <dxf>
      <font>
        <b val="0"/>
        <i val="0"/>
        <strike val="0"/>
        <condense val="0"/>
        <extend val="0"/>
        <outline val="0"/>
        <shadow val="0"/>
        <u val="none"/>
        <vertAlign val="baseline"/>
        <sz val="10"/>
        <color theme="1" tint="0.249977111117893"/>
        <name val="Lao UI"/>
        <family val="2"/>
        <scheme val="none"/>
      </font>
      <numFmt numFmtId="3" formatCode="#,##0"/>
      <fill>
        <patternFill patternType="solid">
          <fgColor indexed="64"/>
          <bgColor rgb="FFF2F2F2"/>
        </patternFill>
      </fill>
      <alignment horizontal="general" vertical="bottom" textRotation="0" wrapText="1" indent="0" justifyLastLine="0" shrinkToFit="0" readingOrder="0"/>
      <border diagonalUp="0" diagonalDown="0">
        <left/>
        <right/>
        <top style="thin">
          <color theme="0" tint="-0.249977111117893"/>
        </top>
        <bottom style="thin">
          <color theme="0" tint="-0.249977111117893"/>
        </bottom>
      </border>
      <protection locked="1" hidden="0"/>
    </dxf>
    <dxf>
      <border outline="0">
        <left style="thin">
          <color theme="0" tint="-0.249977111117893"/>
        </left>
        <bottom style="thin">
          <color theme="0" tint="-0.249977111117893"/>
        </bottom>
      </border>
    </dxf>
    <dxf>
      <font>
        <strike val="0"/>
        <outline val="0"/>
        <shadow val="0"/>
        <u val="none"/>
        <sz val="10"/>
      </font>
      <fill>
        <patternFill patternType="solid">
          <fgColor indexed="64"/>
          <bgColor rgb="FFF2F2F2"/>
        </patternFill>
      </fill>
      <protection locked="1" hidden="0"/>
    </dxf>
    <dxf>
      <font>
        <b val="0"/>
        <strike val="0"/>
        <outline val="0"/>
        <shadow val="0"/>
        <u val="none"/>
        <sz val="10"/>
      </font>
      <protection locked="1" hidden="0"/>
    </dxf>
    <dxf>
      <font>
        <strike val="0"/>
        <outline val="0"/>
        <shadow val="0"/>
        <u val="none"/>
        <sz val="10"/>
      </font>
      <fill>
        <patternFill patternType="solid">
          <fgColor indexed="64"/>
          <bgColor rgb="FFF2F2F2"/>
        </patternFill>
      </fill>
      <protection locked="1" hidden="0"/>
    </dxf>
    <dxf>
      <font>
        <b val="0"/>
        <i val="0"/>
        <strike val="0"/>
        <condense val="0"/>
        <extend val="0"/>
        <outline val="0"/>
        <shadow val="0"/>
        <u val="none"/>
        <vertAlign val="baseline"/>
        <sz val="10"/>
        <color theme="1" tint="0.249977111117893"/>
        <name val="Lao UI"/>
        <family val="2"/>
        <scheme val="none"/>
      </font>
      <fill>
        <patternFill patternType="solid">
          <fgColor indexed="64"/>
          <bgColor rgb="FFD0ECD1"/>
        </patternFill>
      </fill>
      <border diagonalUp="0" diagonalDown="0">
        <left style="thin">
          <color theme="0" tint="-0.249977111117893"/>
        </left>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0"/>
        <color theme="1" tint="0.249977111117893"/>
        <name val="Lao UI"/>
        <family val="2"/>
        <scheme val="none"/>
      </font>
      <numFmt numFmtId="3" formatCode="#,##0"/>
      <fill>
        <patternFill patternType="solid">
          <fgColor indexed="64"/>
          <bgColor rgb="FFD0ECD1"/>
        </patternFill>
      </fill>
      <alignment horizontal="general" vertical="bottom" textRotation="0" wrapText="1" indent="0" justifyLastLine="0" shrinkToFit="0" readingOrder="0"/>
      <border diagonalUp="0" diagonalDown="0">
        <left style="thin">
          <color theme="0" tint="-0.249977111117893"/>
        </left>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0"/>
        <color theme="1" tint="0.249977111117893"/>
        <name val="Lao UI"/>
        <family val="2"/>
        <scheme val="none"/>
      </font>
      <numFmt numFmtId="3" formatCode="#,##0"/>
      <fill>
        <patternFill patternType="solid">
          <fgColor indexed="64"/>
          <bgColor rgb="FFD0ECD1"/>
        </patternFill>
      </fill>
      <alignment horizontal="general" vertical="bottom"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0"/>
        <color theme="1" tint="0.249977111117893"/>
        <name val="Lao UI"/>
        <family val="2"/>
        <scheme val="none"/>
      </font>
      <numFmt numFmtId="3" formatCode="#,##0"/>
      <fill>
        <patternFill patternType="solid">
          <fgColor indexed="64"/>
          <bgColor rgb="FFF2F2F2"/>
        </patternFill>
      </fill>
      <alignment horizontal="general" vertical="bottom"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1" hidden="0"/>
    </dxf>
    <dxf>
      <font>
        <b val="0"/>
        <i val="0"/>
        <strike val="0"/>
        <condense val="0"/>
        <extend val="0"/>
        <outline val="0"/>
        <shadow val="0"/>
        <u val="none"/>
        <vertAlign val="baseline"/>
        <sz val="10"/>
        <color theme="1" tint="0.249977111117893"/>
        <name val="Lao UI"/>
        <family val="2"/>
        <scheme val="none"/>
      </font>
      <numFmt numFmtId="3" formatCode="#,##0"/>
      <fill>
        <patternFill patternType="solid">
          <fgColor indexed="64"/>
          <bgColor rgb="FFF2F2F2"/>
        </patternFill>
      </fill>
      <alignment horizontal="general" vertical="bottom" textRotation="0" wrapText="1" indent="0" justifyLastLine="0" shrinkToFit="0" readingOrder="0"/>
      <border diagonalUp="0" diagonalDown="0" outline="0">
        <left/>
        <right/>
        <top style="thin">
          <color theme="0" tint="-0.249977111117893"/>
        </top>
        <bottom style="thin">
          <color theme="0" tint="-0.249977111117893"/>
        </bottom>
      </border>
      <protection locked="1" hidden="0"/>
    </dxf>
    <dxf>
      <font>
        <b val="0"/>
        <i val="0"/>
        <strike val="0"/>
        <condense val="0"/>
        <extend val="0"/>
        <outline val="0"/>
        <shadow val="0"/>
        <u val="none"/>
        <vertAlign val="baseline"/>
        <sz val="10"/>
        <color theme="1" tint="0.249977111117893"/>
        <name val="Lao UI"/>
        <family val="2"/>
        <scheme val="none"/>
      </font>
      <numFmt numFmtId="3" formatCode="#,##0"/>
      <fill>
        <patternFill patternType="solid">
          <fgColor indexed="64"/>
          <bgColor rgb="FFF2F2F2"/>
        </patternFill>
      </fill>
      <alignment horizontal="general" vertical="bottom" textRotation="0" wrapText="1" indent="0" justifyLastLine="0" shrinkToFit="0" readingOrder="0"/>
      <border diagonalUp="0" diagonalDown="0">
        <left/>
        <right/>
        <top style="thin">
          <color theme="0" tint="-0.249977111117893"/>
        </top>
        <bottom style="thin">
          <color theme="0" tint="-0.249977111117893"/>
        </bottom>
      </border>
      <protection locked="1" hidden="0"/>
    </dxf>
    <dxf>
      <border outline="0">
        <left style="thin">
          <color theme="0" tint="-0.249977111117893"/>
        </left>
        <bottom style="thin">
          <color theme="0" tint="-0.249977111117893"/>
        </bottom>
      </border>
    </dxf>
    <dxf>
      <font>
        <strike val="0"/>
        <outline val="0"/>
        <shadow val="0"/>
        <u val="none"/>
        <sz val="10"/>
      </font>
      <fill>
        <patternFill patternType="solid">
          <fgColor indexed="64"/>
          <bgColor rgb="FFF2F2F2"/>
        </patternFill>
      </fill>
      <protection locked="1" hidden="0"/>
    </dxf>
    <dxf>
      <font>
        <b val="0"/>
        <strike val="0"/>
        <outline val="0"/>
        <shadow val="0"/>
        <u val="none"/>
        <sz val="10"/>
      </font>
      <protection locked="1" hidden="0"/>
    </dxf>
    <dxf>
      <font>
        <b val="0"/>
        <i val="0"/>
        <strike val="0"/>
        <condense val="0"/>
        <extend val="0"/>
        <outline val="0"/>
        <shadow val="0"/>
        <u val="none"/>
        <vertAlign val="baseline"/>
        <sz val="10"/>
        <color theme="1" tint="0.249977111117893"/>
        <name val="Lao UI"/>
        <family val="2"/>
        <scheme val="none"/>
      </font>
      <numFmt numFmtId="168" formatCode="#,##0.0"/>
      <fill>
        <patternFill patternType="solid">
          <fgColor indexed="64"/>
          <bgColor rgb="FFD0ECD1"/>
        </patternFill>
      </fill>
      <border diagonalUp="0" diagonalDown="0">
        <left style="thin">
          <color theme="0" tint="-0.249977111117893"/>
        </left>
        <right/>
        <top style="thin">
          <color theme="0" tint="-0.249977111117893"/>
        </top>
        <bottom style="thin">
          <color theme="0" tint="-0.249977111117893"/>
        </bottom>
        <vertical/>
        <horizontal/>
      </border>
      <protection locked="0" hidden="0"/>
    </dxf>
    <dxf>
      <font>
        <b val="0"/>
        <i val="0"/>
        <strike val="0"/>
        <condense val="0"/>
        <extend val="0"/>
        <outline val="0"/>
        <shadow val="0"/>
        <u val="none"/>
        <vertAlign val="baseline"/>
        <sz val="10"/>
        <color theme="1" tint="0.249977111117893"/>
        <name val="Lao UI"/>
        <family val="2"/>
        <scheme val="none"/>
      </font>
      <fill>
        <patternFill patternType="solid">
          <fgColor indexed="64"/>
          <bgColor theme="0"/>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0"/>
    </dxf>
    <dxf>
      <font>
        <b val="0"/>
        <i val="0"/>
        <strike val="0"/>
        <condense val="0"/>
        <extend val="0"/>
        <outline val="0"/>
        <shadow val="0"/>
        <u val="none"/>
        <vertAlign val="baseline"/>
        <sz val="10"/>
        <color theme="1" tint="0.249977111117893"/>
        <name val="Lao UI"/>
        <family val="2"/>
        <scheme val="none"/>
      </font>
      <fill>
        <patternFill patternType="solid">
          <fgColor indexed="64"/>
          <bgColor rgb="FFD0ECD1"/>
        </patternFill>
      </fill>
      <alignment horizontal="general" vertical="bottom"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protection locked="0" hidden="0"/>
    </dxf>
    <dxf>
      <border outline="0">
        <top style="thin">
          <color theme="0" tint="-0.249977111117893"/>
        </top>
      </border>
    </dxf>
    <dxf>
      <border outline="0">
        <left style="thin">
          <color theme="0" tint="-0.249977111117893"/>
        </left>
        <right style="thin">
          <color theme="0" tint="-0.249977111117893"/>
        </right>
        <top style="thin">
          <color theme="0" tint="-0.249977111117893"/>
        </top>
        <bottom style="thin">
          <color theme="0" tint="-0.249977111117893"/>
        </bottom>
      </border>
    </dxf>
    <dxf>
      <border outline="0">
        <bottom style="thin">
          <color theme="0" tint="-0.249977111117893"/>
        </bottom>
      </border>
    </dxf>
    <dxf>
      <font>
        <b val="0"/>
        <i val="0"/>
        <strike val="0"/>
        <condense val="0"/>
        <extend val="0"/>
        <outline val="0"/>
        <shadow val="0"/>
        <u val="none"/>
        <vertAlign val="baseline"/>
        <sz val="10"/>
        <color theme="0"/>
        <name val="Lao UI"/>
        <family val="2"/>
        <scheme val="none"/>
      </font>
      <fill>
        <patternFill patternType="solid">
          <fgColor indexed="64"/>
          <bgColor rgb="FF01539C"/>
        </patternFill>
      </fill>
      <border diagonalUp="0" diagonalDown="0" outline="0">
        <left style="thin">
          <color theme="0" tint="-0.249977111117893"/>
        </left>
        <right style="thin">
          <color theme="0" tint="-0.249977111117893"/>
        </right>
        <top/>
        <bottom/>
      </border>
    </dxf>
    <dxf>
      <font>
        <b val="0"/>
        <i val="0"/>
        <strike val="0"/>
        <condense val="0"/>
        <extend val="0"/>
        <outline val="0"/>
        <shadow val="0"/>
        <u val="none"/>
        <vertAlign val="baseline"/>
        <sz val="10"/>
        <color theme="1" tint="0.249977111117893"/>
        <name val="Lao UI"/>
        <family val="2"/>
        <scheme val="none"/>
      </font>
      <numFmt numFmtId="168" formatCode="#,##0.0"/>
      <fill>
        <patternFill patternType="solid">
          <fgColor indexed="64"/>
          <bgColor rgb="FFD0ECD1"/>
        </patternFill>
      </fill>
      <border diagonalUp="0" diagonalDown="0">
        <left style="thin">
          <color theme="0" tint="-0.249977111117893"/>
        </left>
        <right/>
        <top style="thin">
          <color theme="0" tint="-0.249977111117893"/>
        </top>
        <bottom style="thin">
          <color theme="0" tint="-0.249977111117893"/>
        </bottom>
        <vertical/>
        <horizontal/>
      </border>
      <protection locked="0" hidden="0"/>
    </dxf>
    <dxf>
      <font>
        <b val="0"/>
        <i val="0"/>
        <strike val="0"/>
        <condense val="0"/>
        <extend val="0"/>
        <outline val="0"/>
        <shadow val="0"/>
        <u val="none"/>
        <vertAlign val="baseline"/>
        <sz val="10"/>
        <color theme="1" tint="0.249977111117893"/>
        <name val="Lao UI"/>
        <family val="2"/>
        <scheme val="none"/>
      </font>
      <fill>
        <patternFill patternType="solid">
          <fgColor indexed="64"/>
          <bgColor theme="0"/>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0"/>
    </dxf>
    <dxf>
      <font>
        <b val="0"/>
        <i val="0"/>
        <strike val="0"/>
        <condense val="0"/>
        <extend val="0"/>
        <outline val="0"/>
        <shadow val="0"/>
        <u val="none"/>
        <vertAlign val="baseline"/>
        <sz val="10"/>
        <color theme="1" tint="0.249977111117893"/>
        <name val="Lao UI"/>
        <family val="2"/>
        <scheme val="none"/>
      </font>
      <fill>
        <patternFill patternType="solid">
          <fgColor indexed="64"/>
          <bgColor rgb="FFD0ECD1"/>
        </patternFill>
      </fill>
      <alignment horizontal="general" vertical="bottom"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protection locked="0" hidden="0"/>
    </dxf>
    <dxf>
      <border outline="0">
        <top style="thin">
          <color theme="0" tint="-0.249977111117893"/>
        </top>
      </border>
    </dxf>
    <dxf>
      <border outline="0">
        <left style="thin">
          <color theme="0" tint="-0.249977111117893"/>
        </left>
        <right style="thin">
          <color theme="0" tint="-0.249977111117893"/>
        </right>
        <top style="thin">
          <color theme="0" tint="-0.249977111117893"/>
        </top>
        <bottom style="thin">
          <color theme="0" tint="-0.249977111117893"/>
        </bottom>
      </border>
    </dxf>
    <dxf>
      <border outline="0">
        <bottom style="thin">
          <color theme="0" tint="-0.249977111117893"/>
        </bottom>
      </border>
    </dxf>
    <dxf>
      <font>
        <b val="0"/>
        <i val="0"/>
        <strike val="0"/>
        <condense val="0"/>
        <extend val="0"/>
        <outline val="0"/>
        <shadow val="0"/>
        <u val="none"/>
        <vertAlign val="baseline"/>
        <sz val="10"/>
        <color theme="0"/>
        <name val="Lao UI"/>
        <family val="2"/>
        <scheme val="none"/>
      </font>
      <fill>
        <patternFill patternType="solid">
          <fgColor indexed="64"/>
          <bgColor rgb="FF01539C"/>
        </patternFill>
      </fill>
      <border diagonalUp="0" diagonalDown="0" outline="0">
        <left style="thin">
          <color theme="0" tint="-0.249977111117893"/>
        </left>
        <right style="thin">
          <color theme="0" tint="-0.249977111117893"/>
        </right>
        <top/>
        <bottom/>
      </border>
    </dxf>
    <dxf>
      <font>
        <b val="0"/>
        <i val="0"/>
        <strike val="0"/>
        <condense val="0"/>
        <extend val="0"/>
        <outline val="0"/>
        <shadow val="0"/>
        <u val="none"/>
        <vertAlign val="baseline"/>
        <sz val="10"/>
        <color theme="1" tint="0.249977111117893"/>
        <name val="Lao UI"/>
        <family val="2"/>
        <scheme val="none"/>
      </font>
      <numFmt numFmtId="168" formatCode="#,##0.0"/>
      <fill>
        <patternFill patternType="solid">
          <fgColor indexed="64"/>
          <bgColor rgb="FFD0ECD1"/>
        </patternFill>
      </fill>
      <border diagonalUp="0" diagonalDown="0">
        <left style="thin">
          <color theme="0" tint="-0.249977111117893"/>
        </left>
        <right/>
        <top style="thin">
          <color theme="0" tint="-0.249977111117893"/>
        </top>
        <bottom style="thin">
          <color theme="0" tint="-0.249977111117893"/>
        </bottom>
        <vertical/>
        <horizontal/>
      </border>
      <protection locked="0" hidden="0"/>
    </dxf>
    <dxf>
      <font>
        <b val="0"/>
        <i val="0"/>
        <strike val="0"/>
        <condense val="0"/>
        <extend val="0"/>
        <outline val="0"/>
        <shadow val="0"/>
        <u val="none"/>
        <vertAlign val="baseline"/>
        <sz val="10"/>
        <color theme="1" tint="0.249977111117893"/>
        <name val="Lao UI"/>
        <family val="2"/>
        <scheme val="none"/>
      </font>
      <fill>
        <patternFill patternType="solid">
          <fgColor indexed="64"/>
          <bgColor theme="0"/>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0"/>
    </dxf>
    <dxf>
      <font>
        <b val="0"/>
        <i val="0"/>
        <strike val="0"/>
        <condense val="0"/>
        <extend val="0"/>
        <outline val="0"/>
        <shadow val="0"/>
        <u val="none"/>
        <vertAlign val="baseline"/>
        <sz val="10"/>
        <color theme="1" tint="0.249977111117893"/>
        <name val="Lao UI"/>
        <family val="2"/>
        <scheme val="none"/>
      </font>
      <fill>
        <patternFill patternType="solid">
          <fgColor indexed="64"/>
          <bgColor rgb="FFD0ECD1"/>
        </patternFill>
      </fill>
      <alignment horizontal="general" vertical="bottom"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protection locked="0" hidden="0"/>
    </dxf>
    <dxf>
      <border outline="0">
        <top style="thin">
          <color theme="0" tint="-0.249977111117893"/>
        </top>
      </border>
    </dxf>
    <dxf>
      <border outline="0">
        <left style="thin">
          <color theme="0" tint="-0.249977111117893"/>
        </left>
        <right style="thin">
          <color theme="0" tint="-0.249977111117893"/>
        </right>
        <top style="thin">
          <color theme="0" tint="-0.249977111117893"/>
        </top>
        <bottom style="thin">
          <color theme="0" tint="-0.249977111117893"/>
        </bottom>
      </border>
    </dxf>
    <dxf>
      <border outline="0">
        <bottom style="thin">
          <color theme="0" tint="-0.249977111117893"/>
        </bottom>
      </border>
    </dxf>
    <dxf>
      <font>
        <b val="0"/>
        <i val="0"/>
        <strike val="0"/>
        <condense val="0"/>
        <extend val="0"/>
        <outline val="0"/>
        <shadow val="0"/>
        <u val="none"/>
        <vertAlign val="baseline"/>
        <sz val="10"/>
        <color theme="0"/>
        <name val="Lao UI"/>
        <family val="2"/>
        <scheme val="none"/>
      </font>
      <fill>
        <patternFill patternType="solid">
          <fgColor indexed="64"/>
          <bgColor rgb="FF01539C"/>
        </patternFill>
      </fill>
      <border diagonalUp="0" diagonalDown="0" outline="0">
        <left style="thin">
          <color theme="0" tint="-0.249977111117893"/>
        </left>
        <right style="thin">
          <color theme="0" tint="-0.249977111117893"/>
        </right>
        <top/>
        <bottom/>
      </border>
    </dxf>
    <dxf>
      <font>
        <b val="0"/>
        <i val="0"/>
        <strike val="0"/>
        <condense val="0"/>
        <extend val="0"/>
        <outline val="0"/>
        <shadow val="0"/>
        <u val="none"/>
        <vertAlign val="baseline"/>
        <sz val="10"/>
        <color theme="1" tint="0.249977111117893"/>
        <name val="Lao UI"/>
        <family val="2"/>
        <scheme val="none"/>
      </font>
      <numFmt numFmtId="168" formatCode="#,##0.0"/>
      <fill>
        <patternFill patternType="solid">
          <fgColor indexed="64"/>
          <bgColor rgb="FFD0ECD1"/>
        </patternFill>
      </fill>
      <border diagonalUp="0" diagonalDown="0">
        <left style="thin">
          <color theme="0" tint="-0.249977111117893"/>
        </left>
        <right/>
        <top style="thin">
          <color theme="0" tint="-0.249977111117893"/>
        </top>
        <bottom style="thin">
          <color theme="0" tint="-0.249977111117893"/>
        </bottom>
        <vertical/>
        <horizontal/>
      </border>
      <protection locked="0" hidden="0"/>
    </dxf>
    <dxf>
      <font>
        <b val="0"/>
        <i val="0"/>
        <strike val="0"/>
        <condense val="0"/>
        <extend val="0"/>
        <outline val="0"/>
        <shadow val="0"/>
        <u val="none"/>
        <vertAlign val="baseline"/>
        <sz val="10"/>
        <color theme="1" tint="0.249977111117893"/>
        <name val="Lao UI"/>
        <family val="2"/>
        <scheme val="none"/>
      </font>
      <fill>
        <patternFill patternType="solid">
          <fgColor indexed="64"/>
          <bgColor theme="0"/>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0"/>
    </dxf>
    <dxf>
      <font>
        <b val="0"/>
        <i val="0"/>
        <strike val="0"/>
        <condense val="0"/>
        <extend val="0"/>
        <outline val="0"/>
        <shadow val="0"/>
        <u val="none"/>
        <vertAlign val="baseline"/>
        <sz val="10"/>
        <color theme="1" tint="0.249977111117893"/>
        <name val="Lao UI"/>
        <family val="2"/>
        <scheme val="none"/>
      </font>
      <fill>
        <patternFill patternType="solid">
          <fgColor indexed="64"/>
          <bgColor rgb="FFD0ECD1"/>
        </patternFill>
      </fill>
      <alignment horizontal="general" vertical="bottom"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protection locked="0" hidden="0"/>
    </dxf>
    <dxf>
      <border outline="0">
        <top style="thin">
          <color theme="0" tint="-0.249977111117893"/>
        </top>
      </border>
    </dxf>
    <dxf>
      <border outline="0">
        <left style="thin">
          <color theme="0" tint="-0.249977111117893"/>
        </left>
        <right style="thin">
          <color theme="0" tint="-0.249977111117893"/>
        </right>
        <top style="thin">
          <color theme="0" tint="-0.249977111117893"/>
        </top>
        <bottom style="thin">
          <color theme="0" tint="-0.249977111117893"/>
        </bottom>
      </border>
    </dxf>
    <dxf>
      <border outline="0">
        <bottom style="thin">
          <color theme="0" tint="-0.249977111117893"/>
        </bottom>
      </border>
    </dxf>
    <dxf>
      <font>
        <b val="0"/>
        <i val="0"/>
        <strike val="0"/>
        <condense val="0"/>
        <extend val="0"/>
        <outline val="0"/>
        <shadow val="0"/>
        <u val="none"/>
        <vertAlign val="baseline"/>
        <sz val="10"/>
        <color theme="0"/>
        <name val="Lao UI"/>
        <family val="2"/>
        <scheme val="none"/>
      </font>
      <fill>
        <patternFill patternType="solid">
          <fgColor indexed="64"/>
          <bgColor rgb="FF01539C"/>
        </patternFill>
      </fill>
      <border diagonalUp="0" diagonalDown="0" outline="0">
        <left style="thin">
          <color theme="0" tint="-0.249977111117893"/>
        </left>
        <right style="thin">
          <color theme="0" tint="-0.249977111117893"/>
        </right>
        <top/>
        <bottom/>
      </border>
    </dxf>
    <dxf>
      <font>
        <b val="0"/>
        <i val="0"/>
        <strike val="0"/>
        <condense val="0"/>
        <extend val="0"/>
        <outline val="0"/>
        <shadow val="0"/>
        <u val="none"/>
        <vertAlign val="baseline"/>
        <sz val="10"/>
        <color theme="1" tint="0.249977111117893"/>
        <name val="Lao UI"/>
        <family val="2"/>
        <scheme val="none"/>
      </font>
      <numFmt numFmtId="168" formatCode="#,##0.0"/>
      <fill>
        <patternFill patternType="solid">
          <fgColor indexed="64"/>
          <bgColor rgb="FFD0ECD1"/>
        </patternFill>
      </fill>
      <border diagonalUp="0" diagonalDown="0">
        <left style="thin">
          <color theme="0" tint="-0.249977111117893"/>
        </left>
        <right/>
        <top style="thin">
          <color theme="0" tint="-0.249977111117893"/>
        </top>
        <bottom style="thin">
          <color theme="0" tint="-0.249977111117893"/>
        </bottom>
        <vertical/>
        <horizontal/>
      </border>
      <protection locked="0" hidden="0"/>
    </dxf>
    <dxf>
      <font>
        <b val="0"/>
        <i val="0"/>
        <strike val="0"/>
        <condense val="0"/>
        <extend val="0"/>
        <outline val="0"/>
        <shadow val="0"/>
        <u val="none"/>
        <vertAlign val="baseline"/>
        <sz val="10"/>
        <color theme="0"/>
        <name val="Lao UI"/>
        <family val="2"/>
        <scheme val="none"/>
      </font>
      <fill>
        <patternFill patternType="solid">
          <fgColor indexed="64"/>
          <bgColor rgb="FF01539C"/>
        </patternFill>
      </fill>
      <border diagonalUp="0" diagonalDown="0" outline="0">
        <left style="thin">
          <color theme="0" tint="-0.249977111117893"/>
        </left>
        <right/>
        <top/>
        <bottom style="thin">
          <color theme="0" tint="-0.249977111117893"/>
        </bottom>
      </border>
    </dxf>
    <dxf>
      <font>
        <b val="0"/>
        <i val="0"/>
        <strike val="0"/>
        <condense val="0"/>
        <extend val="0"/>
        <outline val="0"/>
        <shadow val="0"/>
        <u val="none"/>
        <vertAlign val="baseline"/>
        <sz val="10"/>
        <color theme="1" tint="0.249977111117893"/>
        <name val="Lao UI"/>
        <family val="2"/>
        <scheme val="none"/>
      </font>
      <fill>
        <patternFill patternType="solid">
          <fgColor indexed="64"/>
          <bgColor theme="0"/>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0"/>
    </dxf>
    <dxf>
      <font>
        <b val="0"/>
        <i val="0"/>
        <strike val="0"/>
        <condense val="0"/>
        <extend val="0"/>
        <outline val="0"/>
        <shadow val="0"/>
        <u val="none"/>
        <vertAlign val="baseline"/>
        <sz val="10"/>
        <color theme="0"/>
        <name val="Lao UI"/>
        <family val="2"/>
        <scheme val="none"/>
      </font>
      <fill>
        <patternFill patternType="solid">
          <fgColor indexed="64"/>
          <bgColor rgb="FF01539C"/>
        </patternFill>
      </fill>
      <border diagonalUp="0" diagonalDown="0" outline="0">
        <left style="thin">
          <color theme="0" tint="-0.249977111117893"/>
        </left>
        <right style="thin">
          <color theme="0" tint="-0.249977111117893"/>
        </right>
        <top/>
        <bottom style="thin">
          <color theme="0" tint="-0.249977111117893"/>
        </bottom>
      </border>
    </dxf>
    <dxf>
      <font>
        <b val="0"/>
        <i val="0"/>
        <strike val="0"/>
        <condense val="0"/>
        <extend val="0"/>
        <outline val="0"/>
        <shadow val="0"/>
        <u val="none"/>
        <vertAlign val="baseline"/>
        <sz val="10"/>
        <color theme="0"/>
        <name val="Lao UI"/>
        <family val="2"/>
        <scheme val="none"/>
      </font>
      <fill>
        <patternFill patternType="solid">
          <fgColor indexed="64"/>
          <bgColor rgb="FF01539C"/>
        </patternFill>
      </fill>
      <border diagonalUp="0" diagonalDown="0" outline="0">
        <left style="thin">
          <color theme="0" tint="-0.249977111117893"/>
        </left>
        <right style="thin">
          <color theme="0" tint="-0.249977111117893"/>
        </right>
        <top/>
        <bottom style="thin">
          <color theme="0" tint="-0.249977111117893"/>
        </bottom>
      </border>
    </dxf>
    <dxf>
      <font>
        <b val="0"/>
        <i val="0"/>
        <strike val="0"/>
        <condense val="0"/>
        <extend val="0"/>
        <outline val="0"/>
        <shadow val="0"/>
        <u val="none"/>
        <vertAlign val="baseline"/>
        <sz val="10"/>
        <color theme="1" tint="0.249977111117893"/>
        <name val="Lao UI"/>
        <family val="2"/>
        <scheme val="none"/>
      </font>
      <fill>
        <patternFill patternType="solid">
          <fgColor indexed="64"/>
          <bgColor rgb="FFD0ECD1"/>
        </patternFill>
      </fill>
      <alignment horizontal="general" vertical="bottom"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protection locked="0" hidden="0"/>
    </dxf>
    <dxf>
      <font>
        <b val="0"/>
        <i val="0"/>
        <strike val="0"/>
        <condense val="0"/>
        <extend val="0"/>
        <outline val="0"/>
        <shadow val="0"/>
        <u val="none"/>
        <vertAlign val="baseline"/>
        <sz val="10"/>
        <color theme="0"/>
        <name val="Lao UI"/>
        <family val="2"/>
        <scheme val="none"/>
      </font>
      <fill>
        <patternFill patternType="solid">
          <fgColor indexed="64"/>
          <bgColor rgb="FF01539C"/>
        </patternFill>
      </fill>
      <alignment horizontal="general" vertical="bottom" textRotation="0" wrapText="1" indent="0" justifyLastLine="0" shrinkToFit="0" readingOrder="0"/>
      <border diagonalUp="0" diagonalDown="0" outline="0">
        <left/>
        <right style="thin">
          <color theme="0" tint="-0.249977111117893"/>
        </right>
        <top/>
        <bottom style="thin">
          <color theme="0" tint="-0.249977111117893"/>
        </bottom>
      </border>
    </dxf>
    <dxf>
      <border outline="0">
        <top style="thin">
          <color theme="0" tint="-0.249977111117893"/>
        </top>
      </border>
    </dxf>
    <dxf>
      <border outline="0">
        <left style="thin">
          <color theme="0" tint="-0.249977111117893"/>
        </left>
        <right style="thin">
          <color theme="0" tint="-0.249977111117893"/>
        </right>
        <top style="thin">
          <color theme="0" tint="-0.249977111117893"/>
        </top>
        <bottom style="thin">
          <color theme="0" tint="-0.249977111117893"/>
        </bottom>
      </border>
    </dxf>
    <dxf>
      <border outline="0">
        <bottom style="thin">
          <color theme="0" tint="-0.249977111117893"/>
        </bottom>
      </border>
    </dxf>
    <dxf>
      <font>
        <b val="0"/>
        <i val="0"/>
        <strike val="0"/>
        <condense val="0"/>
        <extend val="0"/>
        <outline val="0"/>
        <shadow val="0"/>
        <u val="none"/>
        <vertAlign val="baseline"/>
        <sz val="10"/>
        <color theme="0"/>
        <name val="Lao UI"/>
        <family val="2"/>
        <scheme val="none"/>
      </font>
      <fill>
        <patternFill patternType="solid">
          <fgColor indexed="64"/>
          <bgColor rgb="FF01539C"/>
        </patternFill>
      </fill>
      <border diagonalUp="0" diagonalDown="0" outline="0">
        <left style="thin">
          <color theme="0" tint="-0.249977111117893"/>
        </left>
        <right style="thin">
          <color theme="0" tint="-0.249977111117893"/>
        </right>
        <top/>
        <bottom/>
      </border>
    </dxf>
    <dxf>
      <font>
        <b val="0"/>
        <i val="0"/>
        <strike val="0"/>
        <condense val="0"/>
        <extend val="0"/>
        <outline val="0"/>
        <shadow val="0"/>
        <u val="none"/>
        <vertAlign val="baseline"/>
        <sz val="10"/>
        <color theme="1" tint="0.249977111117893"/>
        <name val="Lao UI"/>
        <family val="2"/>
        <scheme val="none"/>
      </font>
      <numFmt numFmtId="168" formatCode="#,##0.0"/>
      <fill>
        <patternFill patternType="solid">
          <fgColor indexed="64"/>
          <bgColor rgb="FFD0ECD1"/>
        </patternFill>
      </fill>
      <border diagonalUp="0" diagonalDown="0">
        <left style="thin">
          <color theme="0" tint="-0.249977111117893"/>
        </left>
        <right/>
        <top style="thin">
          <color theme="0" tint="-0.249977111117893"/>
        </top>
        <bottom style="thin">
          <color theme="0" tint="-0.249977111117893"/>
        </bottom>
        <vertical/>
        <horizontal/>
      </border>
      <protection locked="0" hidden="0"/>
    </dxf>
    <dxf>
      <font>
        <b val="0"/>
        <i val="0"/>
        <strike val="0"/>
        <condense val="0"/>
        <extend val="0"/>
        <outline val="0"/>
        <shadow val="0"/>
        <u val="none"/>
        <vertAlign val="baseline"/>
        <sz val="10"/>
        <color theme="1" tint="0.249977111117893"/>
        <name val="Lao UI"/>
        <family val="2"/>
        <scheme val="none"/>
      </font>
      <fill>
        <patternFill patternType="solid">
          <fgColor indexed="64"/>
          <bgColor theme="0"/>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0"/>
    </dxf>
    <dxf>
      <font>
        <b val="0"/>
        <i val="0"/>
        <strike val="0"/>
        <condense val="0"/>
        <extend val="0"/>
        <outline val="0"/>
        <shadow val="0"/>
        <u val="none"/>
        <vertAlign val="baseline"/>
        <sz val="10"/>
        <color theme="1" tint="0.249977111117893"/>
        <name val="Lao UI"/>
        <family val="2"/>
        <scheme val="none"/>
      </font>
      <fill>
        <patternFill patternType="solid">
          <fgColor indexed="64"/>
          <bgColor rgb="FFD0ECD1"/>
        </patternFill>
      </fill>
      <alignment horizontal="general" vertical="bottom"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protection locked="0" hidden="0"/>
    </dxf>
    <dxf>
      <border outline="0">
        <top style="thin">
          <color theme="0" tint="-0.249977111117893"/>
        </top>
      </border>
    </dxf>
    <dxf>
      <border outline="0">
        <left style="thin">
          <color theme="0" tint="-0.249977111117893"/>
        </left>
        <right style="thin">
          <color theme="0" tint="-0.249977111117893"/>
        </right>
        <top style="thin">
          <color theme="0" tint="-0.249977111117893"/>
        </top>
        <bottom style="thin">
          <color theme="0" tint="-0.249977111117893"/>
        </bottom>
      </border>
    </dxf>
    <dxf>
      <border outline="0">
        <bottom style="thin">
          <color theme="0" tint="-0.249977111117893"/>
        </bottom>
      </border>
    </dxf>
    <dxf>
      <font>
        <b val="0"/>
        <i val="0"/>
        <strike val="0"/>
        <condense val="0"/>
        <extend val="0"/>
        <outline val="0"/>
        <shadow val="0"/>
        <u val="none"/>
        <vertAlign val="baseline"/>
        <sz val="10"/>
        <color theme="0"/>
        <name val="Lao UI"/>
        <family val="2"/>
        <scheme val="none"/>
      </font>
      <fill>
        <patternFill patternType="solid">
          <fgColor indexed="64"/>
          <bgColor rgb="FF01539C"/>
        </patternFill>
      </fill>
      <border diagonalUp="0" diagonalDown="0" outline="0">
        <left style="thin">
          <color theme="0" tint="-0.249977111117893"/>
        </left>
        <right style="thin">
          <color theme="0" tint="-0.249977111117893"/>
        </right>
        <top/>
        <bottom/>
      </border>
    </dxf>
    <dxf>
      <font>
        <b val="0"/>
        <i val="0"/>
        <strike val="0"/>
        <condense val="0"/>
        <extend val="0"/>
        <outline val="0"/>
        <shadow val="0"/>
        <u val="none"/>
        <vertAlign val="baseline"/>
        <sz val="10"/>
        <color theme="1" tint="0.249977111117893"/>
        <name val="Lao UI"/>
        <family val="2"/>
        <scheme val="none"/>
      </font>
      <numFmt numFmtId="168" formatCode="#,##0.0"/>
      <fill>
        <patternFill patternType="solid">
          <fgColor indexed="64"/>
          <bgColor rgb="FFD0ECD1"/>
        </patternFill>
      </fill>
      <border diagonalUp="0" diagonalDown="0">
        <left style="thin">
          <color theme="0" tint="-0.249977111117893"/>
        </left>
        <right/>
        <top style="thin">
          <color theme="0" tint="-0.249977111117893"/>
        </top>
        <bottom style="thin">
          <color theme="0" tint="-0.249977111117893"/>
        </bottom>
        <vertical/>
        <horizontal/>
      </border>
      <protection locked="0" hidden="0"/>
    </dxf>
    <dxf>
      <font>
        <b val="0"/>
        <i val="0"/>
        <strike val="0"/>
        <condense val="0"/>
        <extend val="0"/>
        <outline val="0"/>
        <shadow val="0"/>
        <u val="none"/>
        <vertAlign val="baseline"/>
        <sz val="10"/>
        <color theme="1" tint="0.249977111117893"/>
        <name val="Lao UI"/>
        <family val="2"/>
        <scheme val="none"/>
      </font>
      <fill>
        <patternFill patternType="solid">
          <fgColor indexed="64"/>
          <bgColor theme="0"/>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0"/>
    </dxf>
    <dxf>
      <font>
        <b val="0"/>
        <i val="0"/>
        <strike val="0"/>
        <condense val="0"/>
        <extend val="0"/>
        <outline val="0"/>
        <shadow val="0"/>
        <u val="none"/>
        <vertAlign val="baseline"/>
        <sz val="10"/>
        <color theme="1" tint="0.249977111117893"/>
        <name val="Lao UI"/>
        <family val="2"/>
        <scheme val="none"/>
      </font>
      <fill>
        <patternFill patternType="solid">
          <fgColor indexed="64"/>
          <bgColor rgb="FFD0ECD1"/>
        </patternFill>
      </fill>
      <alignment horizontal="general" vertical="bottom"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protection locked="0" hidden="0"/>
    </dxf>
    <dxf>
      <border outline="0">
        <top style="thin">
          <color theme="0" tint="-0.249977111117893"/>
        </top>
      </border>
    </dxf>
    <dxf>
      <border outline="0">
        <left style="thin">
          <color theme="0" tint="-0.249977111117893"/>
        </left>
        <right style="thin">
          <color theme="0" tint="-0.249977111117893"/>
        </right>
        <top style="thin">
          <color theme="0" tint="-0.249977111117893"/>
        </top>
        <bottom style="thin">
          <color theme="0" tint="-0.249977111117893"/>
        </bottom>
      </border>
    </dxf>
    <dxf>
      <border outline="0">
        <bottom style="thin">
          <color theme="0" tint="-0.249977111117893"/>
        </bottom>
      </border>
    </dxf>
    <dxf>
      <font>
        <b val="0"/>
        <i val="0"/>
        <strike val="0"/>
        <condense val="0"/>
        <extend val="0"/>
        <outline val="0"/>
        <shadow val="0"/>
        <u val="none"/>
        <vertAlign val="baseline"/>
        <sz val="10"/>
        <color theme="0"/>
        <name val="Lao UI"/>
        <family val="2"/>
        <scheme val="none"/>
      </font>
      <fill>
        <patternFill patternType="solid">
          <fgColor indexed="64"/>
          <bgColor rgb="FF01539C"/>
        </patternFill>
      </fill>
      <border diagonalUp="0" diagonalDown="0" outline="0">
        <left style="thin">
          <color theme="0" tint="-0.249977111117893"/>
        </left>
        <right style="thin">
          <color theme="0" tint="-0.249977111117893"/>
        </right>
        <top/>
        <bottom/>
      </border>
    </dxf>
    <dxf>
      <font>
        <b val="0"/>
        <i val="0"/>
        <strike val="0"/>
        <condense val="0"/>
        <extend val="0"/>
        <outline val="0"/>
        <shadow val="0"/>
        <u val="none"/>
        <vertAlign val="baseline"/>
        <sz val="10"/>
        <color theme="1" tint="0.249977111117893"/>
        <name val="Lao UI"/>
        <family val="2"/>
        <scheme val="none"/>
      </font>
      <numFmt numFmtId="168" formatCode="#,##0.0"/>
      <fill>
        <patternFill patternType="solid">
          <fgColor indexed="64"/>
          <bgColor rgb="FFD0ECD1"/>
        </patternFill>
      </fill>
      <border diagonalUp="0" diagonalDown="0">
        <left style="thin">
          <color theme="0" tint="-0.249977111117893"/>
        </left>
        <right/>
        <top style="thin">
          <color theme="0" tint="-0.249977111117893"/>
        </top>
        <bottom style="thin">
          <color theme="0" tint="-0.249977111117893"/>
        </bottom>
        <vertical/>
        <horizontal/>
      </border>
      <protection locked="0" hidden="0"/>
    </dxf>
    <dxf>
      <font>
        <b val="0"/>
        <i val="0"/>
        <strike val="0"/>
        <condense val="0"/>
        <extend val="0"/>
        <outline val="0"/>
        <shadow val="0"/>
        <u val="none"/>
        <vertAlign val="baseline"/>
        <sz val="10"/>
        <color theme="1" tint="0.249977111117893"/>
        <name val="Lao UI"/>
        <family val="2"/>
        <scheme val="none"/>
      </font>
      <fill>
        <patternFill patternType="solid">
          <fgColor indexed="64"/>
          <bgColor theme="0"/>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0"/>
    </dxf>
    <dxf>
      <font>
        <b val="0"/>
        <i val="0"/>
        <strike val="0"/>
        <condense val="0"/>
        <extend val="0"/>
        <outline val="0"/>
        <shadow val="0"/>
        <u val="none"/>
        <vertAlign val="baseline"/>
        <sz val="10"/>
        <color theme="1" tint="0.249977111117893"/>
        <name val="Lao UI"/>
        <family val="2"/>
        <scheme val="none"/>
      </font>
      <fill>
        <patternFill patternType="solid">
          <fgColor indexed="64"/>
          <bgColor rgb="FFD0ECD1"/>
        </patternFill>
      </fill>
      <alignment horizontal="general" vertical="bottom"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protection locked="0" hidden="0"/>
    </dxf>
    <dxf>
      <border outline="0">
        <top style="thin">
          <color theme="0" tint="-0.249977111117893"/>
        </top>
      </border>
    </dxf>
    <dxf>
      <border outline="0">
        <left style="thin">
          <color theme="0" tint="-0.249977111117893"/>
        </left>
        <right style="thin">
          <color theme="0" tint="-0.249977111117893"/>
        </right>
        <top style="thin">
          <color theme="0" tint="-0.249977111117893"/>
        </top>
        <bottom style="thin">
          <color theme="0" tint="-0.249977111117893"/>
        </bottom>
      </border>
    </dxf>
    <dxf>
      <border outline="0">
        <bottom style="thin">
          <color theme="0" tint="-0.249977111117893"/>
        </bottom>
      </border>
    </dxf>
    <dxf>
      <font>
        <b val="0"/>
        <i val="0"/>
        <strike val="0"/>
        <condense val="0"/>
        <extend val="0"/>
        <outline val="0"/>
        <shadow val="0"/>
        <u val="none"/>
        <vertAlign val="baseline"/>
        <sz val="10"/>
        <color theme="0"/>
        <name val="Lao UI"/>
        <family val="2"/>
        <scheme val="none"/>
      </font>
      <fill>
        <patternFill patternType="solid">
          <fgColor indexed="64"/>
          <bgColor rgb="FF01539C"/>
        </patternFill>
      </fill>
      <border diagonalUp="0" diagonalDown="0" outline="0">
        <left style="thin">
          <color theme="0" tint="-0.249977111117893"/>
        </left>
        <right style="thin">
          <color theme="0" tint="-0.249977111117893"/>
        </right>
        <top/>
        <bottom/>
      </border>
    </dxf>
    <dxf>
      <font>
        <b val="0"/>
        <i val="0"/>
        <strike val="0"/>
        <condense val="0"/>
        <extend val="0"/>
        <outline val="0"/>
        <shadow val="0"/>
        <u val="none"/>
        <vertAlign val="baseline"/>
        <sz val="10"/>
        <color theme="1" tint="0.249977111117893"/>
        <name val="Lao UI"/>
        <family val="2"/>
        <scheme val="none"/>
      </font>
      <numFmt numFmtId="168" formatCode="#,##0.0"/>
      <fill>
        <patternFill patternType="solid">
          <fgColor indexed="64"/>
          <bgColor rgb="FFD0ECD1"/>
        </patternFill>
      </fill>
      <border diagonalUp="0" diagonalDown="0">
        <left style="thin">
          <color theme="0" tint="-0.249977111117893"/>
        </left>
        <right/>
        <top style="thin">
          <color theme="0" tint="-0.249977111117893"/>
        </top>
        <bottom style="thin">
          <color theme="0" tint="-0.249977111117893"/>
        </bottom>
        <vertical/>
        <horizontal/>
      </border>
      <protection locked="0" hidden="0"/>
    </dxf>
    <dxf>
      <font>
        <b val="0"/>
        <i val="0"/>
        <strike val="0"/>
        <condense val="0"/>
        <extend val="0"/>
        <outline val="0"/>
        <shadow val="0"/>
        <u val="none"/>
        <vertAlign val="baseline"/>
        <sz val="10"/>
        <color theme="1" tint="0.249977111117893"/>
        <name val="Lao UI"/>
        <family val="2"/>
        <scheme val="none"/>
      </font>
      <fill>
        <patternFill patternType="solid">
          <fgColor indexed="64"/>
          <bgColor theme="0"/>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0"/>
    </dxf>
    <dxf>
      <font>
        <b val="0"/>
        <i val="0"/>
        <strike val="0"/>
        <condense val="0"/>
        <extend val="0"/>
        <outline val="0"/>
        <shadow val="0"/>
        <u val="none"/>
        <vertAlign val="baseline"/>
        <sz val="10"/>
        <color theme="1" tint="0.249977111117893"/>
        <name val="Lao UI"/>
        <family val="2"/>
        <scheme val="none"/>
      </font>
      <fill>
        <patternFill patternType="solid">
          <fgColor indexed="64"/>
          <bgColor rgb="FFD0ECD1"/>
        </patternFill>
      </fill>
      <alignment horizontal="general" vertical="bottom"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protection locked="0" hidden="0"/>
    </dxf>
    <dxf>
      <border outline="0">
        <top style="thin">
          <color theme="0" tint="-0.249977111117893"/>
        </top>
      </border>
    </dxf>
    <dxf>
      <border outline="0">
        <left style="thin">
          <color theme="0" tint="-0.249977111117893"/>
        </left>
        <right style="thin">
          <color theme="0" tint="-0.249977111117893"/>
        </right>
        <top style="thin">
          <color theme="0" tint="-0.249977111117893"/>
        </top>
        <bottom style="thin">
          <color theme="0" tint="-0.249977111117893"/>
        </bottom>
      </border>
    </dxf>
    <dxf>
      <border outline="0">
        <bottom style="thin">
          <color theme="0" tint="-0.249977111117893"/>
        </bottom>
      </border>
    </dxf>
    <dxf>
      <font>
        <b val="0"/>
        <i val="0"/>
        <strike val="0"/>
        <condense val="0"/>
        <extend val="0"/>
        <outline val="0"/>
        <shadow val="0"/>
        <u val="none"/>
        <vertAlign val="baseline"/>
        <sz val="10"/>
        <color theme="0"/>
        <name val="Lao UI"/>
        <family val="2"/>
        <scheme val="none"/>
      </font>
      <fill>
        <patternFill patternType="solid">
          <fgColor indexed="64"/>
          <bgColor rgb="FF01539C"/>
        </patternFill>
      </fill>
      <border diagonalUp="0" diagonalDown="0" outline="0">
        <left style="thin">
          <color theme="0" tint="-0.249977111117893"/>
        </left>
        <right style="thin">
          <color theme="0" tint="-0.249977111117893"/>
        </right>
        <top/>
        <bottom/>
      </border>
    </dxf>
    <dxf>
      <font>
        <b val="0"/>
        <i val="0"/>
        <strike val="0"/>
        <condense val="0"/>
        <extend val="0"/>
        <outline val="0"/>
        <shadow val="0"/>
        <u val="none"/>
        <vertAlign val="baseline"/>
        <sz val="10"/>
        <color theme="1" tint="0.249977111117893"/>
        <name val="Lao UI"/>
        <family val="2"/>
        <scheme val="none"/>
      </font>
      <numFmt numFmtId="168" formatCode="#,##0.0"/>
      <fill>
        <patternFill patternType="solid">
          <fgColor indexed="64"/>
          <bgColor rgb="FFD0ECD1"/>
        </patternFill>
      </fill>
      <border diagonalUp="0" diagonalDown="0">
        <left style="thin">
          <color theme="0" tint="-0.249977111117893"/>
        </left>
        <right/>
        <top style="thin">
          <color theme="0" tint="-0.249977111117893"/>
        </top>
        <bottom style="thin">
          <color theme="0" tint="-0.249977111117893"/>
        </bottom>
        <vertical/>
        <horizontal/>
      </border>
      <protection locked="0" hidden="0"/>
    </dxf>
    <dxf>
      <font>
        <b val="0"/>
        <i val="0"/>
        <strike val="0"/>
        <condense val="0"/>
        <extend val="0"/>
        <outline val="0"/>
        <shadow val="0"/>
        <u val="none"/>
        <vertAlign val="baseline"/>
        <sz val="10"/>
        <color theme="1" tint="0.249977111117893"/>
        <name val="Lao UI"/>
        <family val="2"/>
        <scheme val="none"/>
      </font>
      <fill>
        <patternFill patternType="solid">
          <fgColor indexed="64"/>
          <bgColor theme="0"/>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0"/>
    </dxf>
    <dxf>
      <font>
        <b val="0"/>
        <i val="0"/>
        <strike val="0"/>
        <condense val="0"/>
        <extend val="0"/>
        <outline val="0"/>
        <shadow val="0"/>
        <u val="none"/>
        <vertAlign val="baseline"/>
        <sz val="10"/>
        <color theme="1" tint="0.249977111117893"/>
        <name val="Lao UI"/>
        <family val="2"/>
        <scheme val="none"/>
      </font>
      <fill>
        <patternFill patternType="solid">
          <fgColor indexed="64"/>
          <bgColor rgb="FFD0ECD1"/>
        </patternFill>
      </fill>
      <alignment horizontal="general" vertical="bottom"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protection locked="0" hidden="0"/>
    </dxf>
    <dxf>
      <border outline="0">
        <top style="thin">
          <color theme="0" tint="-0.249977111117893"/>
        </top>
      </border>
    </dxf>
    <dxf>
      <border outline="0">
        <left style="thin">
          <color theme="0" tint="-0.249977111117893"/>
        </left>
        <right style="thin">
          <color theme="0" tint="-0.249977111117893"/>
        </right>
        <top style="thin">
          <color theme="0" tint="-0.249977111117893"/>
        </top>
        <bottom style="thin">
          <color theme="0" tint="-0.249977111117893"/>
        </bottom>
      </border>
    </dxf>
    <dxf>
      <border outline="0">
        <bottom style="thin">
          <color theme="0" tint="-0.249977111117893"/>
        </bottom>
      </border>
    </dxf>
    <dxf>
      <font>
        <b val="0"/>
        <i val="0"/>
        <strike val="0"/>
        <condense val="0"/>
        <extend val="0"/>
        <outline val="0"/>
        <shadow val="0"/>
        <u val="none"/>
        <vertAlign val="baseline"/>
        <sz val="10"/>
        <color theme="0"/>
        <name val="Lao UI"/>
        <family val="2"/>
        <scheme val="none"/>
      </font>
      <fill>
        <patternFill patternType="solid">
          <fgColor indexed="64"/>
          <bgColor rgb="FF01539C"/>
        </patternFill>
      </fill>
      <border diagonalUp="0" diagonalDown="0" outline="0">
        <left style="thin">
          <color theme="0" tint="-0.249977111117893"/>
        </left>
        <right style="thin">
          <color theme="0" tint="-0.249977111117893"/>
        </right>
        <top/>
        <bottom/>
      </border>
    </dxf>
    <dxf>
      <font>
        <b val="0"/>
        <i val="0"/>
        <strike val="0"/>
        <condense val="0"/>
        <extend val="0"/>
        <outline val="0"/>
        <shadow val="0"/>
        <u val="none"/>
        <vertAlign val="baseline"/>
        <sz val="10"/>
        <color theme="1" tint="0.249977111117893"/>
        <name val="Lao U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10"/>
        <color theme="1" tint="0.249977111117893"/>
        <name val="Lao U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10"/>
        <color theme="1" tint="0.249977111117893"/>
        <name val="Lao UI"/>
        <scheme val="none"/>
      </font>
      <fill>
        <patternFill patternType="solid">
          <fgColor indexed="64"/>
          <bgColor rgb="FFD0ECD1"/>
        </patternFill>
      </fill>
      <alignment horizontal="general"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tint="0.249977111117893"/>
        <name val="Lao UI"/>
        <scheme val="none"/>
      </font>
      <numFmt numFmtId="3" formatCode="#,##0"/>
      <fill>
        <patternFill patternType="solid">
          <fgColor indexed="64"/>
          <bgColor rgb="FFD0ECD1"/>
        </patternFill>
      </fill>
      <alignment horizontal="general" vertical="bottom" textRotation="0" wrapText="1" indent="0" justifyLastLine="0" shrinkToFit="0" readingOrder="0"/>
      <border diagonalUp="0" diagonalDown="0">
        <left style="medium">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tint="0.249977111117893"/>
        <name val="Lao UI"/>
        <scheme val="none"/>
      </font>
      <fill>
        <patternFill patternType="solid">
          <fgColor indexed="64"/>
          <bgColor rgb="FFD0ECD1"/>
        </patternFill>
      </fill>
      <alignment horizontal="general"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0" hidden="0"/>
    </dxf>
    <dxf>
      <font>
        <b val="0"/>
        <i val="0"/>
        <strike val="0"/>
        <condense val="0"/>
        <extend val="0"/>
        <outline val="0"/>
        <shadow val="0"/>
        <u val="none"/>
        <vertAlign val="baseline"/>
        <sz val="11"/>
        <color theme="1" tint="0.249977111117893"/>
        <name val="Lao UI"/>
        <scheme val="none"/>
      </font>
      <fill>
        <patternFill patternType="solid">
          <fgColor indexed="64"/>
          <bgColor rgb="FFD0ECD1"/>
        </patternFill>
      </fill>
      <alignment horizontal="general" vertical="bottom" textRotation="0" wrapText="1" indent="0" justifyLastLine="0" shrinkToFit="0" readingOrder="0"/>
      <border diagonalUp="0" diagonalDown="0">
        <left style="thin">
          <color theme="0" tint="-0.249977111117893"/>
        </left>
        <right style="medium">
          <color theme="0" tint="-0.249977111117893"/>
        </right>
        <top/>
        <bottom/>
      </border>
      <protection locked="0" hidden="0"/>
    </dxf>
    <dxf>
      <font>
        <b val="0"/>
        <i val="0"/>
        <strike val="0"/>
        <condense val="0"/>
        <extend val="0"/>
        <outline val="0"/>
        <shadow val="0"/>
        <u val="none"/>
        <vertAlign val="baseline"/>
        <sz val="10"/>
        <color theme="1" tint="0.249977111117893"/>
        <name val="Lao UI"/>
        <scheme val="none"/>
      </font>
      <fill>
        <patternFill patternType="solid">
          <fgColor indexed="64"/>
          <bgColor rgb="FFD0ECD1"/>
        </patternFill>
      </fill>
      <alignment horizontal="general"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tint="0.249977111117893"/>
        <name val="Lao UI"/>
        <scheme val="none"/>
      </font>
      <numFmt numFmtId="3" formatCode="#,##0"/>
      <fill>
        <patternFill patternType="solid">
          <fgColor indexed="64"/>
          <bgColor rgb="FFD0ECD1"/>
        </patternFill>
      </fill>
      <alignment horizontal="general" vertical="bottom" textRotation="0" wrapText="1" indent="0" justifyLastLine="0" shrinkToFit="0" readingOrder="0"/>
      <border diagonalUp="0" diagonalDown="0">
        <left/>
        <right style="thin">
          <color theme="0" tint="-0.249977111117893"/>
        </right>
        <top style="thin">
          <color auto="1"/>
        </top>
        <bottom style="thin">
          <color auto="1"/>
        </bottom>
      </border>
      <protection locked="0" hidden="0"/>
    </dxf>
    <dxf>
      <font>
        <b val="0"/>
        <i val="0"/>
        <strike val="0"/>
        <condense val="0"/>
        <extend val="0"/>
        <outline val="0"/>
        <shadow val="0"/>
        <u val="none"/>
        <vertAlign val="baseline"/>
        <sz val="11"/>
        <color theme="1" tint="0.249977111117893"/>
        <name val="Lao UI"/>
        <scheme val="none"/>
      </font>
      <numFmt numFmtId="3" formatCode="#,##0"/>
      <fill>
        <patternFill patternType="solid">
          <fgColor indexed="64"/>
          <bgColor rgb="FFD0ECD1"/>
        </patternFill>
      </fill>
      <alignment horizontal="general"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0"/>
    </dxf>
    <dxf>
      <font>
        <b val="0"/>
        <i val="0"/>
        <strike val="0"/>
        <condense val="0"/>
        <extend val="0"/>
        <outline val="0"/>
        <shadow val="0"/>
        <u val="none"/>
        <vertAlign val="baseline"/>
        <sz val="11"/>
        <color theme="1" tint="0.249977111117893"/>
        <name val="Lao UI"/>
        <scheme val="none"/>
      </font>
      <fill>
        <patternFill patternType="none">
          <fgColor indexed="64"/>
          <bgColor auto="1"/>
        </patternFill>
      </fill>
    </dxf>
    <dxf>
      <font>
        <b val="0"/>
        <i val="0"/>
        <strike val="0"/>
        <condense val="0"/>
        <extend val="0"/>
        <outline val="0"/>
        <shadow val="0"/>
        <u val="none"/>
        <vertAlign val="baseline"/>
        <sz val="11"/>
        <color theme="1"/>
        <name val="Lao UI"/>
        <scheme val="none"/>
      </font>
      <fill>
        <patternFill patternType="solid">
          <fgColor indexed="64"/>
          <bgColor rgb="FF01539C"/>
        </patternFill>
      </fill>
      <alignment horizontal="left" vertical="bottom" textRotation="0" indent="0" justifyLastLine="0" shrinkToFit="0" readingOrder="0"/>
      <border diagonalUp="0" diagonalDown="0" outline="0">
        <left style="thin">
          <color theme="0" tint="-0.249977111117893"/>
        </left>
        <right style="thin">
          <color theme="0" tint="-0.249977111117893"/>
        </right>
        <top/>
        <bottom/>
      </border>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border outline="0">
        <right style="thin">
          <color theme="0" tint="-0.249977111117893"/>
        </right>
        <top style="thin">
          <color theme="0" tint="-0.249977111117893"/>
        </top>
        <bottom style="thin">
          <color theme="0" tint="-0.249977111117893"/>
        </bottom>
      </border>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border outline="0">
        <top style="thin">
          <color theme="0" tint="-0.24994659260841701"/>
        </top>
        <bottom style="thin">
          <color theme="0" tint="-0.249977111117893"/>
        </bottom>
      </border>
    </dxf>
    <dxf>
      <fill>
        <patternFill patternType="none">
          <fgColor indexed="64"/>
          <bgColor auto="1"/>
        </patternFill>
      </fill>
    </dxf>
    <dxf>
      <font>
        <b/>
        <i val="0"/>
        <strike val="0"/>
        <condense val="0"/>
        <extend val="0"/>
        <outline val="0"/>
        <shadow val="0"/>
        <u val="none"/>
        <vertAlign val="baseline"/>
        <sz val="11"/>
        <color theme="1"/>
        <name val="Lao UI"/>
        <family val="2"/>
        <scheme val="none"/>
      </font>
      <numFmt numFmtId="2" formatCode="0.00"/>
      <fill>
        <patternFill patternType="none">
          <fgColor indexed="64"/>
          <bgColor auto="1"/>
        </patternFill>
      </fill>
      <alignment horizontal="center" vertical="bottom" textRotation="0" wrapText="0" indent="0" justifyLastLine="0" shrinkToFit="0" readingOrder="0"/>
      <border diagonalUp="0" diagonalDown="0" outline="0">
        <left style="thin">
          <color theme="0" tint="-0.24994659260841701"/>
        </left>
        <right/>
        <top style="thin">
          <color theme="0" tint="-0.24994659260841701"/>
        </top>
        <bottom/>
      </border>
    </dxf>
    <dxf>
      <font>
        <b val="0"/>
        <i val="0"/>
        <strike val="0"/>
        <condense val="0"/>
        <extend val="0"/>
        <outline val="0"/>
        <shadow val="0"/>
        <u val="none"/>
        <vertAlign val="baseline"/>
        <sz val="11"/>
        <color theme="1"/>
        <name val="Lao UI"/>
        <family val="2"/>
        <scheme val="none"/>
      </font>
      <numFmt numFmtId="2" formatCode="0.00"/>
      <fill>
        <patternFill patternType="none">
          <fgColor indexed="64"/>
          <bgColor auto="1"/>
        </patternFill>
      </fill>
      <alignment horizontal="center" vertical="bottom" textRotation="0" wrapText="0" indent="0" justifyLastLine="0" shrinkToFit="0" readingOrder="0"/>
      <border diagonalUp="0" diagonalDown="0" outline="0">
        <left style="thin">
          <color theme="0" tint="-0.24994659260841701"/>
        </left>
        <right/>
        <top style="thin">
          <color theme="0" tint="-0.24994659260841701"/>
        </top>
        <bottom/>
      </border>
    </dxf>
    <dxf>
      <font>
        <b val="0"/>
        <i val="0"/>
        <strike val="0"/>
        <condense val="0"/>
        <extend val="0"/>
        <outline val="0"/>
        <shadow val="0"/>
        <u val="none"/>
        <vertAlign val="baseline"/>
        <sz val="11"/>
        <color theme="1"/>
        <name val="Lao UI"/>
        <family val="2"/>
        <scheme val="none"/>
      </font>
      <numFmt numFmtId="2" formatCode="0.00"/>
      <fill>
        <patternFill patternType="none">
          <fgColor indexed="64"/>
          <bgColor auto="1"/>
        </patternFill>
      </fill>
      <alignment horizontal="center" vertical="bottom" textRotation="0" wrapText="0" indent="0" justifyLastLine="0" shrinkToFit="0" readingOrder="0"/>
      <border diagonalUp="0" diagonalDown="0" outline="0">
        <left style="thin">
          <color theme="0" tint="-0.249977111117893"/>
        </left>
        <right/>
        <top style="thin">
          <color theme="0" tint="-0.24994659260841701"/>
        </top>
        <bottom/>
      </border>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1"/>
        <color theme="1"/>
        <name val="Lao UI"/>
        <family val="2"/>
        <scheme val="none"/>
      </font>
      <numFmt numFmtId="2" formatCode="0.00"/>
      <fill>
        <patternFill patternType="none">
          <fgColor indexed="64"/>
          <bgColor auto="1"/>
        </patternFill>
      </fill>
      <alignment horizontal="center" vertical="bottom" textRotation="0" wrapText="0" indent="0" justifyLastLine="0" shrinkToFit="0" readingOrder="0"/>
      <border diagonalUp="0" diagonalDown="0" outline="0">
        <left style="thin">
          <color theme="0" tint="-0.249977111117893"/>
        </left>
        <right/>
        <top style="thin">
          <color theme="0" tint="-0.249977111117893"/>
        </top>
        <bottom/>
      </border>
    </dxf>
    <dxf>
      <font>
        <b val="0"/>
        <i val="0"/>
        <strike val="0"/>
        <condense val="0"/>
        <extend val="0"/>
        <outline val="0"/>
        <shadow val="0"/>
        <u val="none"/>
        <vertAlign val="baseline"/>
        <sz val="11"/>
        <color theme="1"/>
        <name val="Lao UI"/>
        <family val="2"/>
        <scheme val="none"/>
      </font>
      <numFmt numFmtId="2" formatCode="0.00"/>
      <fill>
        <patternFill patternType="none">
          <fgColor indexed="64"/>
          <bgColor auto="1"/>
        </patternFill>
      </fill>
      <alignment horizontal="center" vertical="bottom" textRotation="0" wrapText="0" indent="0" justifyLastLine="0" shrinkToFit="0" readingOrder="0"/>
      <border diagonalUp="0" diagonalDown="0" outline="0">
        <left style="thin">
          <color theme="0" tint="-0.249977111117893"/>
        </left>
        <right/>
        <top style="thin">
          <color theme="0" tint="-0.249977111117893"/>
        </top>
        <bottom/>
      </border>
    </dxf>
    <dxf>
      <fill>
        <patternFill patternType="none">
          <fgColor indexed="64"/>
          <bgColor auto="1"/>
        </patternFill>
      </fill>
    </dxf>
    <dxf>
      <font>
        <b val="0"/>
        <i val="0"/>
        <strike val="0"/>
        <condense val="0"/>
        <extend val="0"/>
        <outline val="0"/>
        <shadow val="0"/>
        <u val="none"/>
        <vertAlign val="baseline"/>
        <sz val="11"/>
        <color theme="1"/>
        <name val="Lao UI"/>
        <family val="2"/>
        <scheme val="none"/>
      </font>
      <numFmt numFmtId="2" formatCode="0.00"/>
      <fill>
        <patternFill patternType="none">
          <fgColor indexed="64"/>
          <bgColor auto="1"/>
        </patternFill>
      </fill>
      <alignment horizontal="center" vertical="bottom" textRotation="0" wrapText="0" indent="0" justifyLastLine="0" shrinkToFit="0" readingOrder="0"/>
      <border diagonalUp="0" diagonalDown="0" outline="0">
        <left style="thin">
          <color theme="0" tint="-0.249977111117893"/>
        </left>
        <right/>
        <top style="thin">
          <color theme="0" tint="-0.249977111117893"/>
        </top>
        <bottom/>
      </border>
    </dxf>
    <dxf>
      <font>
        <b val="0"/>
        <i val="0"/>
        <strike val="0"/>
        <condense val="0"/>
        <extend val="0"/>
        <outline val="0"/>
        <shadow val="0"/>
        <u val="none"/>
        <vertAlign val="baseline"/>
        <sz val="11"/>
        <color theme="1"/>
        <name val="Lao UI"/>
        <family val="2"/>
        <scheme val="none"/>
      </font>
      <numFmt numFmtId="2" formatCode="0.00"/>
      <fill>
        <patternFill patternType="none">
          <fgColor indexed="64"/>
          <bgColor auto="1"/>
        </patternFill>
      </fill>
      <alignment horizontal="center" vertical="bottom" textRotation="0" wrapText="0" indent="0" justifyLastLine="0" shrinkToFit="0" readingOrder="0"/>
      <border diagonalUp="0" diagonalDown="0" outline="0">
        <left style="thin">
          <color theme="0" tint="-0.249977111117893"/>
        </left>
        <right/>
        <top style="thin">
          <color theme="0" tint="-0.249977111117893"/>
        </top>
        <bottom/>
      </border>
    </dxf>
    <dxf>
      <font>
        <b/>
        <i val="0"/>
        <strike val="0"/>
        <condense val="0"/>
        <extend val="0"/>
        <outline val="0"/>
        <shadow val="0"/>
        <u val="none"/>
        <vertAlign val="baseline"/>
        <sz val="11"/>
        <color theme="1"/>
        <name val="Lao UI"/>
        <family val="2"/>
        <scheme val="none"/>
      </font>
      <fill>
        <patternFill patternType="none">
          <fgColor indexed="64"/>
          <bgColor auto="1"/>
        </patternFill>
      </fill>
      <border diagonalUp="0" diagonalDown="0" outline="0">
        <left style="thin">
          <color theme="0" tint="-0.249977111117893"/>
        </left>
        <right/>
        <top style="thin">
          <color theme="0" tint="-0.249977111117893"/>
        </top>
        <bottom/>
      </border>
    </dxf>
    <dxf>
      <border outline="0">
        <right style="thin">
          <color theme="0" tint="-0.24994659260841701"/>
        </right>
        <top style="thin">
          <color theme="0" tint="-0.24994659260841701"/>
        </top>
      </border>
    </dxf>
    <dxf>
      <fill>
        <patternFill patternType="none">
          <fgColor indexed="64"/>
          <bgColor auto="1"/>
        </patternFill>
      </fill>
    </dxf>
    <dxf>
      <font>
        <b/>
        <i val="0"/>
        <strike val="0"/>
        <condense val="0"/>
        <extend val="0"/>
        <outline val="0"/>
        <shadow val="0"/>
        <u val="none"/>
        <vertAlign val="baseline"/>
        <sz val="11"/>
        <color theme="1"/>
        <name val="Lao UI"/>
        <family val="2"/>
        <scheme val="none"/>
      </font>
      <numFmt numFmtId="2" formatCode="0.00"/>
      <fill>
        <patternFill patternType="none">
          <fgColor indexed="64"/>
          <bgColor auto="1"/>
        </patternFill>
      </fill>
      <alignment horizontal="center" vertical="bottom" textRotation="0" wrapText="0" indent="0" justifyLastLine="0" shrinkToFit="0" readingOrder="0"/>
      <border diagonalUp="0" diagonalDown="0" outline="0">
        <left style="thin">
          <color theme="0" tint="-0.24994659260841701"/>
        </left>
        <right/>
        <top style="thin">
          <color theme="0" tint="-0.24994659260841701"/>
        </top>
        <bottom/>
      </border>
    </dxf>
    <dxf>
      <font>
        <b val="0"/>
        <i val="0"/>
        <strike val="0"/>
        <condense val="0"/>
        <extend val="0"/>
        <outline val="0"/>
        <shadow val="0"/>
        <u val="none"/>
        <vertAlign val="baseline"/>
        <sz val="11"/>
        <color theme="1"/>
        <name val="Lao UI"/>
        <family val="2"/>
        <scheme val="none"/>
      </font>
      <numFmt numFmtId="2" formatCode="0.00"/>
      <fill>
        <patternFill patternType="none">
          <fgColor indexed="64"/>
          <bgColor auto="1"/>
        </patternFill>
      </fill>
      <alignment horizontal="center" vertical="bottom" textRotation="0" wrapText="0" indent="0" justifyLastLine="0" shrinkToFit="0" readingOrder="0"/>
      <border diagonalUp="0" diagonalDown="0" outline="0">
        <left style="thin">
          <color theme="0" tint="-0.24994659260841701"/>
        </left>
        <right/>
        <top style="thin">
          <color theme="0" tint="-0.24994659260841701"/>
        </top>
        <bottom/>
      </border>
    </dxf>
    <dxf>
      <font>
        <b val="0"/>
        <i val="0"/>
        <strike val="0"/>
        <condense val="0"/>
        <extend val="0"/>
        <outline val="0"/>
        <shadow val="0"/>
        <u val="none"/>
        <vertAlign val="baseline"/>
        <sz val="11"/>
        <color theme="1"/>
        <name val="Lao UI"/>
        <family val="2"/>
        <scheme val="none"/>
      </font>
      <numFmt numFmtId="2" formatCode="0.00"/>
      <fill>
        <patternFill patternType="none">
          <fgColor indexed="64"/>
          <bgColor auto="1"/>
        </patternFill>
      </fill>
      <alignment horizontal="center" vertical="bottom" textRotation="0" wrapText="0" indent="0" justifyLastLine="0" shrinkToFit="0" readingOrder="0"/>
      <border diagonalUp="0" diagonalDown="0" outline="0">
        <left style="thin">
          <color theme="0" tint="-0.249977111117893"/>
        </left>
        <right/>
        <top style="thin">
          <color theme="0" tint="-0.24994659260841701"/>
        </top>
        <bottom/>
      </border>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1"/>
        <color theme="1"/>
        <name val="Lao UI"/>
        <family val="2"/>
        <scheme val="none"/>
      </font>
      <numFmt numFmtId="2" formatCode="0.00"/>
      <fill>
        <patternFill patternType="none">
          <fgColor indexed="64"/>
          <bgColor auto="1"/>
        </patternFill>
      </fill>
      <alignment horizontal="center" vertical="bottom" textRotation="0" wrapText="0" indent="0" justifyLastLine="0" shrinkToFit="0" readingOrder="0"/>
      <border diagonalUp="0" diagonalDown="0" outline="0">
        <left style="thin">
          <color theme="0" tint="-0.249977111117893"/>
        </left>
        <right/>
        <top style="thin">
          <color theme="0" tint="-0.249977111117893"/>
        </top>
        <bottom/>
      </border>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1"/>
        <color theme="1"/>
        <name val="Lao UI"/>
        <family val="2"/>
        <scheme val="none"/>
      </font>
      <numFmt numFmtId="2" formatCode="0.00"/>
      <fill>
        <patternFill patternType="none">
          <fgColor indexed="64"/>
          <bgColor auto="1"/>
        </patternFill>
      </fill>
      <alignment horizontal="center" vertical="bottom" textRotation="0" wrapText="0" indent="0" justifyLastLine="0" shrinkToFit="0" readingOrder="0"/>
      <border diagonalUp="0" diagonalDown="0" outline="0">
        <left style="thin">
          <color theme="0" tint="-0.249977111117893"/>
        </left>
        <right/>
        <top style="thin">
          <color theme="0" tint="-0.249977111117893"/>
        </top>
        <bottom/>
      </border>
    </dxf>
    <dxf>
      <font>
        <b val="0"/>
        <i val="0"/>
        <strike val="0"/>
        <condense val="0"/>
        <extend val="0"/>
        <outline val="0"/>
        <shadow val="0"/>
        <u val="none"/>
        <vertAlign val="baseline"/>
        <sz val="11"/>
        <color theme="1"/>
        <name val="Lao UI"/>
        <family val="2"/>
        <scheme val="none"/>
      </font>
      <numFmt numFmtId="2" formatCode="0.00"/>
      <fill>
        <patternFill patternType="none">
          <fgColor indexed="64"/>
          <bgColor auto="1"/>
        </patternFill>
      </fill>
      <alignment horizontal="center" vertical="bottom" textRotation="0" wrapText="0" indent="0" justifyLastLine="0" shrinkToFit="0" readingOrder="0"/>
      <border diagonalUp="0" diagonalDown="0" outline="0">
        <left style="thin">
          <color theme="0" tint="-0.249977111117893"/>
        </left>
        <right/>
        <top style="thin">
          <color theme="0" tint="-0.249977111117893"/>
        </top>
        <bottom/>
      </border>
    </dxf>
    <dxf>
      <font>
        <b/>
        <i val="0"/>
        <strike val="0"/>
        <condense val="0"/>
        <extend val="0"/>
        <outline val="0"/>
        <shadow val="0"/>
        <u val="none"/>
        <vertAlign val="baseline"/>
        <sz val="11"/>
        <color theme="1"/>
        <name val="Lao UI"/>
        <family val="2"/>
        <scheme val="none"/>
      </font>
      <fill>
        <patternFill patternType="none">
          <fgColor indexed="64"/>
          <bgColor auto="1"/>
        </patternFill>
      </fill>
      <border diagonalUp="0" diagonalDown="0" outline="0">
        <left style="thin">
          <color theme="0" tint="-0.249977111117893"/>
        </left>
        <right/>
        <top style="thin">
          <color theme="0" tint="-0.249977111117893"/>
        </top>
        <bottom/>
      </border>
    </dxf>
    <dxf>
      <border outline="0">
        <right style="thin">
          <color theme="0" tint="-0.24994659260841701"/>
        </right>
        <top style="thin">
          <color theme="0" tint="-0.24994659260841701"/>
        </top>
      </border>
    </dxf>
    <dxf>
      <fill>
        <patternFill patternType="none">
          <fgColor indexed="64"/>
          <bgColor auto="1"/>
        </patternFill>
      </fill>
    </dxf>
    <dxf>
      <font>
        <b val="0"/>
        <i val="0"/>
        <strike val="0"/>
        <condense val="0"/>
        <extend val="0"/>
        <outline val="0"/>
        <shadow val="0"/>
        <u val="none"/>
        <vertAlign val="baseline"/>
        <sz val="11"/>
        <color theme="1"/>
        <name val="Lao UI"/>
        <family val="2"/>
        <scheme val="none"/>
      </font>
      <numFmt numFmtId="4" formatCode="#,##0.00"/>
      <fill>
        <patternFill patternType="none">
          <fgColor indexed="64"/>
          <bgColor indexed="65"/>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i val="0"/>
        <strike val="0"/>
        <condense val="0"/>
        <extend val="0"/>
        <outline val="0"/>
        <shadow val="0"/>
        <u val="none"/>
        <vertAlign val="baseline"/>
        <sz val="11"/>
        <color theme="1"/>
        <name val="Lao UI"/>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border outline="0">
        <top style="thin">
          <color theme="0" tint="-0.249977111117893"/>
        </top>
        <bottom style="thin">
          <color theme="0" tint="-0.249977111117893"/>
        </bottom>
      </border>
    </dxf>
    <dxf>
      <font>
        <b val="0"/>
        <i val="0"/>
        <strike val="0"/>
        <condense val="0"/>
        <extend val="0"/>
        <outline val="0"/>
        <shadow val="0"/>
        <u val="none"/>
        <vertAlign val="baseline"/>
        <sz val="11"/>
        <color theme="0"/>
        <name val="Lao UI"/>
        <family val="2"/>
        <scheme val="none"/>
      </font>
      <fill>
        <patternFill patternType="solid">
          <fgColor indexed="64"/>
          <bgColor rgb="FF01539C"/>
        </patternFill>
      </fill>
      <alignment horizontal="center" vertical="bottom" textRotation="0" wrapText="1" indent="0" justifyLastLine="0" shrinkToFit="0" readingOrder="0"/>
    </dxf>
    <dxf>
      <font>
        <b/>
        <i val="0"/>
        <strike val="0"/>
        <condense val="0"/>
        <extend val="0"/>
        <outline val="0"/>
        <shadow val="0"/>
        <u val="none"/>
        <vertAlign val="baseline"/>
        <sz val="11"/>
        <color theme="1"/>
        <name val="Lao UI"/>
        <family val="2"/>
        <scheme val="none"/>
      </font>
      <numFmt numFmtId="172" formatCode="#,##0.00_ ;\-#,##0.00\ "/>
      <fill>
        <patternFill patternType="none">
          <fgColor indexed="64"/>
          <bgColor indexed="65"/>
        </patternFill>
      </fill>
      <alignment horizontal="center" vertical="bottom" textRotation="0" wrapText="0" indent="0"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dxf>
    <dxf>
      <font>
        <b/>
        <i val="0"/>
        <strike val="0"/>
        <condense val="0"/>
        <extend val="0"/>
        <outline val="0"/>
        <shadow val="0"/>
        <u val="none"/>
        <vertAlign val="baseline"/>
        <sz val="11"/>
        <color theme="1"/>
        <name val="Lao UI"/>
        <family val="2"/>
        <scheme val="none"/>
      </font>
      <numFmt numFmtId="14" formatCode="0.00%"/>
      <fill>
        <patternFill patternType="none">
          <fgColor indexed="64"/>
          <bgColor indexed="65"/>
        </patternFill>
      </fill>
      <alignment horizontal="center" vertical="bottom" textRotation="0" wrapText="0" indent="0"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border outline="0">
        <top style="thin">
          <color theme="0" tint="-0.24994659260841701"/>
        </top>
      </border>
    </dxf>
    <dxf>
      <border outline="0">
        <left style="thin">
          <color theme="0" tint="-0.24994659260841701"/>
        </left>
        <right style="thin">
          <color theme="0" tint="-0.24994659260841701"/>
        </right>
        <top style="thin">
          <color theme="0" tint="-0.24994659260841701"/>
        </top>
        <bottom style="thin">
          <color theme="0" tint="-0.24994659260841701"/>
        </bottom>
      </border>
    </dxf>
    <dxf>
      <border outline="0">
        <bottom style="thin">
          <color theme="0" tint="-0.24994659260841701"/>
        </bottom>
      </border>
    </dxf>
    <dxf>
      <font>
        <b val="0"/>
        <i val="0"/>
        <strike val="0"/>
        <condense val="0"/>
        <extend val="0"/>
        <outline val="0"/>
        <shadow val="0"/>
        <u val="none"/>
        <vertAlign val="baseline"/>
        <sz val="11"/>
        <color theme="0"/>
        <name val="Lao UI"/>
        <family val="2"/>
        <scheme val="none"/>
      </font>
      <fill>
        <patternFill patternType="solid">
          <fgColor indexed="64"/>
          <bgColor rgb="FF01539C"/>
        </patternFill>
      </fill>
      <alignment horizontal="center" vertical="bottom" textRotation="0" wrapText="1" indent="0" justifyLastLine="0" shrinkToFit="0" readingOrder="0"/>
      <border diagonalUp="0" diagonalDown="0" outline="0">
        <left style="thin">
          <color theme="0" tint="-0.24994659260841701"/>
        </left>
        <right style="thin">
          <color theme="0" tint="-0.24994659260841701"/>
        </right>
        <top/>
        <bottom/>
      </border>
    </dxf>
    <dxf>
      <font>
        <b/>
        <i val="0"/>
        <strike val="0"/>
        <condense val="0"/>
        <extend val="0"/>
        <outline val="0"/>
        <shadow val="0"/>
        <u val="none"/>
        <vertAlign val="baseline"/>
        <sz val="11"/>
        <color theme="1"/>
        <name val="Lao UI"/>
        <family val="2"/>
        <scheme val="none"/>
      </font>
      <numFmt numFmtId="172" formatCode="#,##0.00_ ;\-#,##0.00\ "/>
      <fill>
        <patternFill patternType="none">
          <fgColor indexed="64"/>
          <bgColor indexed="65"/>
        </patternFill>
      </fill>
      <alignment horizontal="center" vertical="bottom" textRotation="0" wrapText="0" indent="0"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dxf>
    <dxf>
      <font>
        <b/>
        <i val="0"/>
        <strike val="0"/>
        <condense val="0"/>
        <extend val="0"/>
        <outline val="0"/>
        <shadow val="0"/>
        <u val="none"/>
        <vertAlign val="baseline"/>
        <sz val="11"/>
        <color theme="1"/>
        <name val="Lao UI"/>
        <family val="2"/>
        <scheme val="none"/>
      </font>
      <numFmt numFmtId="14" formatCode="0.00%"/>
      <fill>
        <patternFill patternType="none">
          <fgColor indexed="64"/>
          <bgColor indexed="65"/>
        </patternFill>
      </fill>
      <alignment horizontal="center" vertical="bottom" textRotation="0" wrapText="0" indent="0"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border outline="0">
        <top style="thin">
          <color theme="0" tint="-0.24994659260841701"/>
        </top>
      </border>
    </dxf>
    <dxf>
      <border outline="0">
        <left style="thin">
          <color theme="0" tint="-0.24994659260841701"/>
        </left>
        <right style="thin">
          <color theme="0" tint="-0.24994659260841701"/>
        </right>
        <top style="thin">
          <color theme="0" tint="-0.24994659260841701"/>
        </top>
        <bottom style="thin">
          <color theme="0" tint="-0.24994659260841701"/>
        </bottom>
      </border>
    </dxf>
    <dxf>
      <border outline="0">
        <bottom style="thin">
          <color theme="0" tint="-0.24994659260841701"/>
        </bottom>
      </border>
    </dxf>
    <dxf>
      <font>
        <b val="0"/>
        <i val="0"/>
        <strike val="0"/>
        <condense val="0"/>
        <extend val="0"/>
        <outline val="0"/>
        <shadow val="0"/>
        <u val="none"/>
        <vertAlign val="baseline"/>
        <sz val="11"/>
        <color theme="0"/>
        <name val="Lao UI"/>
        <family val="2"/>
        <scheme val="none"/>
      </font>
      <fill>
        <patternFill patternType="solid">
          <fgColor indexed="64"/>
          <bgColor rgb="FF01539C"/>
        </patternFill>
      </fill>
      <alignment horizontal="center" vertical="bottom" textRotation="0" wrapText="1" indent="0" justifyLastLine="0" shrinkToFit="0" readingOrder="0"/>
      <border diagonalUp="0" diagonalDown="0" outline="0">
        <left style="thin">
          <color theme="0" tint="-0.24994659260841701"/>
        </left>
        <right style="thin">
          <color theme="0" tint="-0.24994659260841701"/>
        </right>
        <top/>
        <bottom/>
      </border>
    </dxf>
    <dxf>
      <font>
        <b/>
        <i val="0"/>
        <strike val="0"/>
        <condense val="0"/>
        <extend val="0"/>
        <outline val="0"/>
        <shadow val="0"/>
        <u val="none"/>
        <vertAlign val="baseline"/>
        <sz val="11"/>
        <color theme="1"/>
        <name val="Lao UI"/>
        <family val="2"/>
        <scheme val="none"/>
      </font>
      <numFmt numFmtId="172" formatCode="#,##0.00_ ;\-#,##0.00\ "/>
      <fill>
        <patternFill patternType="none">
          <fgColor indexed="64"/>
          <bgColor indexed="65"/>
        </patternFill>
      </fill>
      <alignment horizontal="center" vertical="bottom" textRotation="0" wrapText="0" indent="0"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dxf>
    <dxf>
      <font>
        <b/>
        <i val="0"/>
        <strike val="0"/>
        <condense val="0"/>
        <extend val="0"/>
        <outline val="0"/>
        <shadow val="0"/>
        <u val="none"/>
        <vertAlign val="baseline"/>
        <sz val="11"/>
        <color theme="1"/>
        <name val="Lao UI"/>
        <family val="2"/>
        <scheme val="none"/>
      </font>
      <numFmt numFmtId="14" formatCode="0.00%"/>
      <fill>
        <patternFill patternType="none">
          <fgColor indexed="64"/>
          <bgColor indexed="65"/>
        </patternFill>
      </fill>
      <alignment horizontal="center" vertical="bottom" textRotation="0" wrapText="0" indent="0"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border outline="0">
        <top style="thin">
          <color theme="0" tint="-0.24994659260841701"/>
        </top>
      </border>
    </dxf>
    <dxf>
      <border outline="0">
        <left style="thin">
          <color theme="0" tint="-0.24994659260841701"/>
        </left>
        <right style="thin">
          <color theme="0" tint="-0.24994659260841701"/>
        </right>
        <top style="thin">
          <color theme="0" tint="-0.24994659260841701"/>
        </top>
        <bottom style="thin">
          <color theme="0" tint="-0.24994659260841701"/>
        </bottom>
      </border>
    </dxf>
    <dxf>
      <border outline="0">
        <bottom style="thin">
          <color theme="0" tint="-0.24994659260841701"/>
        </bottom>
      </border>
    </dxf>
    <dxf>
      <font>
        <b val="0"/>
        <i val="0"/>
        <strike val="0"/>
        <condense val="0"/>
        <extend val="0"/>
        <outline val="0"/>
        <shadow val="0"/>
        <u val="none"/>
        <vertAlign val="baseline"/>
        <sz val="11"/>
        <color theme="0"/>
        <name val="Lao UI"/>
        <family val="2"/>
        <scheme val="none"/>
      </font>
      <fill>
        <patternFill patternType="solid">
          <fgColor indexed="64"/>
          <bgColor rgb="FF01539C"/>
        </patternFill>
      </fill>
      <alignment horizontal="general" vertical="bottom" textRotation="0" wrapText="1" indent="0" justifyLastLine="0" shrinkToFit="0" readingOrder="0"/>
      <border diagonalUp="0" diagonalDown="0" outline="0">
        <left style="thin">
          <color theme="0" tint="-0.24994659260841701"/>
        </left>
        <right style="thin">
          <color theme="0" tint="-0.24994659260841701"/>
        </right>
        <top/>
        <bottom/>
      </border>
    </dxf>
    <dxf>
      <font>
        <b/>
        <i val="0"/>
        <strike val="0"/>
        <condense val="0"/>
        <extend val="0"/>
        <outline val="0"/>
        <shadow val="0"/>
        <u val="none"/>
        <vertAlign val="baseline"/>
        <sz val="11"/>
        <color theme="1"/>
        <name val="Lao UI"/>
        <family val="2"/>
        <scheme val="none"/>
      </font>
      <numFmt numFmtId="172" formatCode="#,##0.00_ ;\-#,##0.00\ "/>
      <fill>
        <patternFill patternType="none">
          <fgColor indexed="64"/>
          <bgColor indexed="65"/>
        </patternFill>
      </fill>
      <alignment horizontal="center" vertical="bottom" textRotation="0" wrapText="0" indent="0"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dxf>
    <dxf>
      <font>
        <b/>
        <i val="0"/>
        <strike val="0"/>
        <condense val="0"/>
        <extend val="0"/>
        <outline val="0"/>
        <shadow val="0"/>
        <u val="none"/>
        <vertAlign val="baseline"/>
        <sz val="11"/>
        <color theme="1"/>
        <name val="Lao UI"/>
        <family val="2"/>
        <scheme val="none"/>
      </font>
      <numFmt numFmtId="14" formatCode="0.00%"/>
      <fill>
        <patternFill patternType="none">
          <fgColor indexed="64"/>
          <bgColor indexed="65"/>
        </patternFill>
      </fill>
      <alignment horizontal="center" vertical="bottom" textRotation="0" wrapText="0" indent="0"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border outline="0">
        <top style="thin">
          <color theme="0" tint="-0.24994659260841701"/>
        </top>
      </border>
    </dxf>
    <dxf>
      <border outline="0">
        <left style="thin">
          <color theme="0" tint="-0.24994659260841701"/>
        </left>
        <right style="thin">
          <color theme="0" tint="-0.24994659260841701"/>
        </right>
        <top style="thin">
          <color theme="0" tint="-0.24994659260841701"/>
        </top>
        <bottom style="thin">
          <color theme="0" tint="-0.24994659260841701"/>
        </bottom>
      </border>
    </dxf>
    <dxf>
      <border outline="0">
        <bottom style="thin">
          <color theme="0" tint="-0.24994659260841701"/>
        </bottom>
      </border>
    </dxf>
    <dxf>
      <font>
        <b val="0"/>
        <i val="0"/>
        <strike val="0"/>
        <condense val="0"/>
        <extend val="0"/>
        <outline val="0"/>
        <shadow val="0"/>
        <u val="none"/>
        <vertAlign val="baseline"/>
        <sz val="11"/>
        <color theme="0"/>
        <name val="Lao UI"/>
        <family val="2"/>
        <scheme val="none"/>
      </font>
      <fill>
        <patternFill patternType="solid">
          <fgColor indexed="64"/>
          <bgColor rgb="FF01539C"/>
        </patternFill>
      </fill>
      <alignment horizontal="general" vertical="bottom" textRotation="0" wrapText="1" indent="0" justifyLastLine="0" shrinkToFit="0" readingOrder="0"/>
      <border diagonalUp="0" diagonalDown="0" outline="0">
        <left style="thin">
          <color theme="0" tint="-0.24994659260841701"/>
        </left>
        <right style="thin">
          <color theme="0" tint="-0.24994659260841701"/>
        </right>
        <top/>
        <bottom/>
      </border>
    </dxf>
    <dxf>
      <font>
        <b/>
        <i val="0"/>
        <strike val="0"/>
        <condense val="0"/>
        <extend val="0"/>
        <outline val="0"/>
        <shadow val="0"/>
        <u val="none"/>
        <vertAlign val="baseline"/>
        <sz val="11"/>
        <color theme="1"/>
        <name val="Lao UI"/>
        <family val="2"/>
        <scheme val="none"/>
      </font>
      <numFmt numFmtId="4" formatCode="#,##0.00"/>
      <fill>
        <patternFill patternType="none">
          <fgColor indexed="64"/>
          <bgColor indexed="65"/>
        </patternFill>
      </fill>
      <alignment horizontal="center" vertical="bottom" textRotation="0" wrapText="0" indent="0"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dxf>
    <dxf>
      <font>
        <b/>
        <i val="0"/>
        <strike val="0"/>
        <condense val="0"/>
        <extend val="0"/>
        <outline val="0"/>
        <shadow val="0"/>
        <u val="none"/>
        <vertAlign val="baseline"/>
        <sz val="11"/>
        <color theme="1"/>
        <name val="Lao UI"/>
        <family val="2"/>
        <scheme val="none"/>
      </font>
      <numFmt numFmtId="14" formatCode="0.00%"/>
      <fill>
        <patternFill patternType="none">
          <fgColor indexed="64"/>
          <bgColor indexed="65"/>
        </patternFill>
      </fill>
      <alignment horizontal="center" vertical="bottom" textRotation="0" wrapText="0" indent="0"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border outline="0">
        <top style="thin">
          <color theme="0" tint="-0.24994659260841701"/>
        </top>
      </border>
    </dxf>
    <dxf>
      <border outline="0">
        <left style="thin">
          <color theme="0" tint="-0.24994659260841701"/>
        </left>
        <right style="thin">
          <color theme="0" tint="-0.24994659260841701"/>
        </right>
        <top style="thin">
          <color theme="0" tint="-0.24994659260841701"/>
        </top>
        <bottom style="thin">
          <color theme="0" tint="-0.24994659260841701"/>
        </bottom>
      </border>
    </dxf>
    <dxf>
      <border outline="0">
        <bottom style="thin">
          <color theme="0" tint="-0.24994659260841701"/>
        </bottom>
      </border>
    </dxf>
    <dxf>
      <font>
        <b val="0"/>
        <i val="0"/>
        <strike val="0"/>
        <condense val="0"/>
        <extend val="0"/>
        <outline val="0"/>
        <shadow val="0"/>
        <u val="none"/>
        <vertAlign val="baseline"/>
        <sz val="11"/>
        <color theme="0"/>
        <name val="Lao UI"/>
        <family val="2"/>
        <scheme val="none"/>
      </font>
      <fill>
        <patternFill patternType="solid">
          <fgColor indexed="64"/>
          <bgColor rgb="FF01539C"/>
        </patternFill>
      </fill>
      <alignment horizontal="general" vertical="bottom"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1"/>
        <color theme="1"/>
        <name val="Lao UI"/>
        <family val="2"/>
        <scheme val="none"/>
      </font>
      <numFmt numFmtId="14" formatCode="0.00%"/>
      <fill>
        <patternFill patternType="none">
          <fgColor indexed="64"/>
          <bgColor indexed="65"/>
        </patternFill>
      </fill>
      <border diagonalUp="0" diagonalDown="0">
        <left style="thin">
          <color theme="0" tint="-0.24994659260841701"/>
        </left>
        <right/>
        <top style="thin">
          <color theme="0" tint="-0.24994659260841701"/>
        </top>
        <bottom style="thin">
          <color theme="0" tint="-0.24994659260841701"/>
        </bottom>
        <vertical/>
        <horizontal/>
      </border>
    </dxf>
    <dxf>
      <font>
        <b val="0"/>
        <i val="0"/>
        <strike val="0"/>
        <condense val="0"/>
        <extend val="0"/>
        <outline val="0"/>
        <shadow val="0"/>
        <u val="none"/>
        <vertAlign val="baseline"/>
        <sz val="11"/>
        <color theme="1"/>
        <name val="Lao UI"/>
        <family val="2"/>
        <scheme val="none"/>
      </font>
      <numFmt numFmtId="14" formatCode="0.00%"/>
      <fill>
        <patternFill patternType="none">
          <fgColor indexed="64"/>
          <bgColor indexed="65"/>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1"/>
        <color theme="1"/>
        <name val="Lao UI"/>
        <family val="2"/>
        <scheme val="none"/>
      </font>
      <numFmt numFmtId="3" formatCode="#,##0"/>
      <fill>
        <patternFill patternType="none">
          <fgColor indexed="64"/>
          <bgColor indexed="65"/>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1"/>
        <color theme="1"/>
        <name val="Lao UI"/>
        <family val="2"/>
        <scheme val="none"/>
      </font>
      <fill>
        <patternFill patternType="none">
          <fgColor indexed="64"/>
          <bgColor indexed="65"/>
        </patternFill>
      </fill>
      <border diagonalUp="0" diagonalDown="0">
        <left/>
        <right style="thin">
          <color theme="0" tint="-0.24994659260841701"/>
        </right>
        <top style="thin">
          <color theme="0" tint="-0.24994659260841701"/>
        </top>
        <bottom style="thin">
          <color theme="0" tint="-0.24994659260841701"/>
        </bottom>
        <vertical/>
        <horizontal/>
      </border>
    </dxf>
    <dxf>
      <border outline="0">
        <top style="thin">
          <color theme="0" tint="-0.24994659260841701"/>
        </top>
      </border>
    </dxf>
    <dxf>
      <border outline="0">
        <left style="thin">
          <color theme="0" tint="-0.24994659260841701"/>
        </left>
        <right style="thin">
          <color theme="0" tint="-0.24994659260841701"/>
        </right>
        <top style="thin">
          <color theme="0" tint="-0.24994659260841701"/>
        </top>
        <bottom style="thin">
          <color theme="0" tint="-0.24994659260841701"/>
        </bottom>
      </border>
    </dxf>
    <dxf>
      <border outline="0">
        <bottom style="thin">
          <color theme="0" tint="-0.24994659260841701"/>
        </bottom>
      </border>
    </dxf>
    <dxf>
      <font>
        <b val="0"/>
        <i val="0"/>
        <strike val="0"/>
        <condense val="0"/>
        <extend val="0"/>
        <outline val="0"/>
        <shadow val="0"/>
        <u val="none"/>
        <vertAlign val="baseline"/>
        <sz val="11"/>
        <color theme="0"/>
        <name val="Lao UI"/>
        <family val="2"/>
        <scheme val="none"/>
      </font>
      <fill>
        <patternFill patternType="solid">
          <fgColor indexed="64"/>
          <bgColor rgb="FF01539C"/>
        </patternFill>
      </fill>
      <alignment horizontal="center" vertical="bottom"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1"/>
        <color theme="1"/>
        <name val="Lao UI"/>
        <family val="2"/>
        <scheme val="none"/>
      </font>
      <numFmt numFmtId="14" formatCode="0.00%"/>
      <fill>
        <patternFill patternType="none">
          <fgColor indexed="64"/>
          <bgColor indexed="65"/>
        </patternFill>
      </fill>
      <border diagonalUp="0" diagonalDown="0">
        <left style="thin">
          <color theme="0" tint="-0.24994659260841701"/>
        </left>
        <right/>
        <top style="thin">
          <color theme="0" tint="-0.24994659260841701"/>
        </top>
        <bottom style="thin">
          <color theme="0" tint="-0.24994659260841701"/>
        </bottom>
        <vertical/>
        <horizontal/>
      </border>
    </dxf>
    <dxf>
      <font>
        <b val="0"/>
        <i val="0"/>
        <strike val="0"/>
        <condense val="0"/>
        <extend val="0"/>
        <outline val="0"/>
        <shadow val="0"/>
        <u val="none"/>
        <vertAlign val="baseline"/>
        <sz val="11"/>
        <color theme="1"/>
        <name val="Lao UI"/>
        <family val="2"/>
        <scheme val="none"/>
      </font>
      <numFmt numFmtId="14" formatCode="0.00%"/>
      <fill>
        <patternFill patternType="none">
          <fgColor indexed="64"/>
          <bgColor indexed="65"/>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1"/>
        <color theme="1"/>
        <name val="Lao UI"/>
        <family val="2"/>
        <scheme val="none"/>
      </font>
      <numFmt numFmtId="3" formatCode="#,##0"/>
      <fill>
        <patternFill patternType="none">
          <fgColor indexed="64"/>
          <bgColor indexed="65"/>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1"/>
        <color theme="1"/>
        <name val="Lao UI"/>
        <family val="2"/>
        <scheme val="none"/>
      </font>
      <fill>
        <patternFill patternType="none">
          <fgColor indexed="64"/>
          <bgColor indexed="65"/>
        </patternFill>
      </fill>
      <border diagonalUp="0" diagonalDown="0">
        <left/>
        <right style="thin">
          <color theme="0" tint="-0.24994659260841701"/>
        </right>
        <top style="thin">
          <color theme="0" tint="-0.24994659260841701"/>
        </top>
        <bottom style="thin">
          <color theme="0" tint="-0.24994659260841701"/>
        </bottom>
        <vertical/>
        <horizontal/>
      </border>
    </dxf>
    <dxf>
      <border outline="0">
        <top style="thin">
          <color theme="0" tint="-0.24994659260841701"/>
        </top>
      </border>
    </dxf>
    <dxf>
      <border outline="0">
        <left style="thin">
          <color theme="0" tint="-0.24994659260841701"/>
        </left>
        <right style="thin">
          <color theme="0" tint="-0.24994659260841701"/>
        </right>
        <top style="thin">
          <color theme="0" tint="-0.24994659260841701"/>
        </top>
        <bottom style="thin">
          <color theme="0" tint="-0.24994659260841701"/>
        </bottom>
      </border>
    </dxf>
    <dxf>
      <border outline="0">
        <bottom style="thin">
          <color theme="0" tint="-0.24994659260841701"/>
        </bottom>
      </border>
    </dxf>
    <dxf>
      <font>
        <b val="0"/>
        <i val="0"/>
        <strike val="0"/>
        <condense val="0"/>
        <extend val="0"/>
        <outline val="0"/>
        <shadow val="0"/>
        <u val="none"/>
        <vertAlign val="baseline"/>
        <sz val="11"/>
        <color theme="0"/>
        <name val="Lao UI"/>
        <family val="2"/>
        <scheme val="none"/>
      </font>
      <fill>
        <patternFill patternType="solid">
          <fgColor indexed="64"/>
          <bgColor rgb="FF01539C"/>
        </patternFill>
      </fill>
      <alignment horizontal="center" vertical="bottom"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1"/>
        <color theme="1"/>
        <name val="Lao UI"/>
        <family val="2"/>
        <scheme val="none"/>
      </font>
      <numFmt numFmtId="4" formatCode="#,##0.00"/>
      <fill>
        <patternFill patternType="none">
          <fgColor indexed="64"/>
          <bgColor indexed="65"/>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i val="0"/>
        <strike val="0"/>
        <condense val="0"/>
        <extend val="0"/>
        <outline val="0"/>
        <shadow val="0"/>
        <u val="none"/>
        <vertAlign val="baseline"/>
        <sz val="11"/>
        <color theme="1"/>
        <name val="Lao UI"/>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border outline="0">
        <top style="thin">
          <color theme="0" tint="-0.249977111117893"/>
        </top>
        <bottom style="thin">
          <color theme="0" tint="-0.249977111117893"/>
        </bottom>
      </border>
    </dxf>
    <dxf>
      <font>
        <b val="0"/>
        <i val="0"/>
        <strike val="0"/>
        <condense val="0"/>
        <extend val="0"/>
        <outline val="0"/>
        <shadow val="0"/>
        <u val="none"/>
        <vertAlign val="baseline"/>
        <sz val="11"/>
        <color theme="0"/>
        <name val="Lao UI"/>
        <family val="2"/>
        <scheme val="none"/>
      </font>
      <fill>
        <patternFill patternType="solid">
          <fgColor indexed="64"/>
          <bgColor rgb="FF01539C"/>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Lao UI"/>
        <family val="2"/>
        <scheme val="none"/>
      </font>
      <numFmt numFmtId="14" formatCode="0.00%"/>
      <fill>
        <patternFill patternType="none">
          <fgColor indexed="64"/>
          <bgColor auto="1"/>
        </patternFill>
      </fill>
    </dxf>
    <dxf>
      <font>
        <b val="0"/>
        <i val="0"/>
        <strike val="0"/>
        <condense val="0"/>
        <extend val="0"/>
        <outline val="0"/>
        <shadow val="0"/>
        <u val="none"/>
        <vertAlign val="baseline"/>
        <sz val="11"/>
        <color theme="1"/>
        <name val="Lao UI"/>
        <family val="2"/>
        <scheme val="none"/>
      </font>
      <numFmt numFmtId="14" formatCode="0.00%"/>
      <fill>
        <patternFill patternType="none">
          <fgColor indexed="64"/>
          <bgColor auto="1"/>
        </patternFill>
      </fill>
    </dxf>
    <dxf>
      <font>
        <b val="0"/>
        <i val="0"/>
        <strike val="0"/>
        <condense val="0"/>
        <extend val="0"/>
        <outline val="0"/>
        <shadow val="0"/>
        <u val="none"/>
        <vertAlign val="baseline"/>
        <sz val="11"/>
        <color theme="1"/>
        <name val="Lao UI"/>
        <family val="2"/>
        <scheme val="none"/>
      </font>
      <numFmt numFmtId="3" formatCode="#,##0"/>
      <fill>
        <patternFill patternType="none">
          <fgColor indexed="64"/>
          <bgColor auto="1"/>
        </patternFill>
      </fill>
      <border diagonalUp="0" diagonalDown="0" outline="0">
        <left style="thin">
          <color theme="0" tint="-0.24994659260841701"/>
        </left>
        <right/>
        <top style="thin">
          <color theme="0" tint="-0.24994659260841701"/>
        </top>
        <bottom/>
      </border>
    </dxf>
    <dxf>
      <font>
        <b val="0"/>
        <i val="0"/>
        <strike val="0"/>
        <condense val="0"/>
        <extend val="0"/>
        <outline val="0"/>
        <shadow val="0"/>
        <u val="none"/>
        <vertAlign val="baseline"/>
        <sz val="11"/>
        <color theme="1"/>
        <name val="Lao UI"/>
        <family val="2"/>
        <scheme val="none"/>
      </font>
      <fill>
        <patternFill patternType="none">
          <fgColor indexed="64"/>
          <bgColor auto="1"/>
        </patternFill>
      </fill>
      <border diagonalUp="0" diagonalDown="0" outline="0">
        <left/>
        <right/>
        <top style="thin">
          <color theme="0" tint="-0.24994659260841701"/>
        </top>
        <bottom/>
      </border>
    </dxf>
    <dxf>
      <border outline="0">
        <left style="thin">
          <color theme="0" tint="-0.24994659260841701"/>
        </left>
        <top style="thin">
          <color theme="0" tint="-0.24994659260841701"/>
        </top>
        <bottom style="thin">
          <color theme="0" tint="-0.24994659260841701"/>
        </bottom>
      </border>
    </dxf>
    <dxf>
      <fill>
        <patternFill patternType="none">
          <fgColor indexed="64"/>
          <bgColor auto="1"/>
        </patternFill>
      </fill>
    </dxf>
    <dxf>
      <font>
        <b val="0"/>
        <i val="0"/>
        <strike val="0"/>
        <condense val="0"/>
        <extend val="0"/>
        <outline val="0"/>
        <shadow val="0"/>
        <u val="none"/>
        <vertAlign val="baseline"/>
        <sz val="11"/>
        <color theme="0"/>
        <name val="Lao UI"/>
        <family val="2"/>
        <scheme val="none"/>
      </font>
      <fill>
        <patternFill patternType="solid">
          <fgColor indexed="64"/>
          <bgColor rgb="FF01539C"/>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Lao UI"/>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i val="0"/>
        <strike val="0"/>
        <condense val="0"/>
        <extend val="0"/>
        <outline val="0"/>
        <shadow val="0"/>
        <u val="none"/>
        <vertAlign val="baseline"/>
        <sz val="11"/>
        <color theme="1"/>
        <name val="Lao UI"/>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bottom style="thin">
          <color theme="0" tint="-0.249977111117893"/>
        </bottom>
      </border>
    </dxf>
    <dxf>
      <border outline="0">
        <top style="thin">
          <color theme="0" tint="-0.249977111117893"/>
        </top>
      </border>
    </dxf>
    <dxf>
      <font>
        <b val="0"/>
        <i val="0"/>
        <strike val="0"/>
        <condense val="0"/>
        <extend val="0"/>
        <outline val="0"/>
        <shadow val="0"/>
        <u val="none"/>
        <vertAlign val="baseline"/>
        <sz val="11"/>
        <color theme="1"/>
        <name val="Lao UI"/>
        <scheme val="none"/>
      </font>
      <fill>
        <patternFill patternType="none">
          <fgColor indexed="64"/>
          <bgColor auto="1"/>
        </patternFill>
      </fill>
    </dxf>
    <dxf>
      <font>
        <b val="0"/>
        <i val="0"/>
        <strike val="0"/>
        <condense val="0"/>
        <extend val="0"/>
        <outline val="0"/>
        <shadow val="0"/>
        <u val="none"/>
        <vertAlign val="baseline"/>
        <sz val="11"/>
        <color theme="0"/>
        <name val="Lao UI"/>
        <scheme val="none"/>
      </font>
      <fill>
        <patternFill patternType="solid">
          <fgColor indexed="64"/>
          <bgColor rgb="FF01539C"/>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Lao UI"/>
        <family val="2"/>
        <scheme val="none"/>
      </font>
      <numFmt numFmtId="14" formatCode="0.00%"/>
      <fill>
        <patternFill patternType="none">
          <fgColor indexed="64"/>
          <bgColor auto="1"/>
        </patternFill>
      </fill>
    </dxf>
    <dxf>
      <font>
        <b val="0"/>
        <i val="0"/>
        <strike val="0"/>
        <condense val="0"/>
        <extend val="0"/>
        <outline val="0"/>
        <shadow val="0"/>
        <u val="none"/>
        <vertAlign val="baseline"/>
        <sz val="11"/>
        <color theme="1"/>
        <name val="Lao UI"/>
        <family val="2"/>
        <scheme val="none"/>
      </font>
      <numFmt numFmtId="14" formatCode="0.00%"/>
      <fill>
        <patternFill patternType="none">
          <fgColor indexed="64"/>
          <bgColor auto="1"/>
        </patternFill>
      </fill>
    </dxf>
    <dxf>
      <font>
        <b val="0"/>
        <i val="0"/>
        <strike val="0"/>
        <condense val="0"/>
        <extend val="0"/>
        <outline val="0"/>
        <shadow val="0"/>
        <u val="none"/>
        <vertAlign val="baseline"/>
        <sz val="11"/>
        <color theme="1"/>
        <name val="Lao UI"/>
        <family val="2"/>
        <scheme val="none"/>
      </font>
      <numFmt numFmtId="3" formatCode="#,##0"/>
      <fill>
        <patternFill patternType="none">
          <fgColor indexed="64"/>
          <bgColor auto="1"/>
        </patternFill>
      </fill>
      <border diagonalUp="0" diagonalDown="0" outline="0">
        <left style="thin">
          <color theme="0" tint="-0.24994659260841701"/>
        </left>
        <right/>
        <top style="thin">
          <color theme="0" tint="-0.24994659260841701"/>
        </top>
        <bottom/>
      </border>
    </dxf>
    <dxf>
      <font>
        <b val="0"/>
        <i val="0"/>
        <strike val="0"/>
        <condense val="0"/>
        <extend val="0"/>
        <outline val="0"/>
        <shadow val="0"/>
        <u val="none"/>
        <vertAlign val="baseline"/>
        <sz val="11"/>
        <color theme="1"/>
        <name val="Lao UI"/>
        <family val="2"/>
        <scheme val="none"/>
      </font>
      <fill>
        <patternFill patternType="none">
          <fgColor indexed="64"/>
          <bgColor auto="1"/>
        </patternFill>
      </fill>
      <border diagonalUp="0" diagonalDown="0" outline="0">
        <left/>
        <right/>
        <top style="thin">
          <color theme="0" tint="-0.24994659260841701"/>
        </top>
        <bottom/>
      </border>
    </dxf>
    <dxf>
      <border outline="0">
        <left style="thin">
          <color theme="0" tint="-0.24994659260841701"/>
        </left>
        <top style="thin">
          <color theme="0" tint="-0.24994659260841701"/>
        </top>
        <bottom style="thin">
          <color theme="0" tint="-0.24994659260841701"/>
        </bottom>
      </border>
    </dxf>
    <dxf>
      <fill>
        <patternFill patternType="none">
          <fgColor indexed="64"/>
          <bgColor auto="1"/>
        </patternFill>
      </fill>
    </dxf>
    <dxf>
      <font>
        <b val="0"/>
        <i val="0"/>
        <strike val="0"/>
        <condense val="0"/>
        <extend val="0"/>
        <outline val="0"/>
        <shadow val="0"/>
        <u val="none"/>
        <vertAlign val="baseline"/>
        <sz val="11"/>
        <color theme="0"/>
        <name val="Lao UI"/>
        <family val="2"/>
        <scheme val="none"/>
      </font>
      <fill>
        <patternFill patternType="solid">
          <fgColor indexed="64"/>
          <bgColor rgb="FF01539C"/>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Lao UI"/>
        <family val="2"/>
        <scheme val="none"/>
      </font>
      <numFmt numFmtId="14" formatCode="0.00%"/>
    </dxf>
    <dxf>
      <font>
        <b val="0"/>
        <i val="0"/>
        <strike val="0"/>
        <condense val="0"/>
        <extend val="0"/>
        <outline val="0"/>
        <shadow val="0"/>
        <u val="none"/>
        <vertAlign val="baseline"/>
        <sz val="11"/>
        <color theme="1"/>
        <name val="Lao UI"/>
        <family val="2"/>
        <scheme val="none"/>
      </font>
      <numFmt numFmtId="14" formatCode="0.00%"/>
    </dxf>
    <dxf>
      <font>
        <b val="0"/>
        <i val="0"/>
        <strike val="0"/>
        <condense val="0"/>
        <extend val="0"/>
        <outline val="0"/>
        <shadow val="0"/>
        <u val="none"/>
        <vertAlign val="baseline"/>
        <sz val="11"/>
        <color theme="1"/>
        <name val="Lao UI"/>
        <family val="2"/>
        <scheme val="none"/>
      </font>
      <numFmt numFmtId="3" formatCode="#,##0"/>
      <border diagonalUp="0" diagonalDown="0">
        <left style="thin">
          <color theme="0" tint="-0.24994659260841701"/>
        </left>
        <right/>
        <top style="thin">
          <color theme="0" tint="-0.24994659260841701"/>
        </top>
        <bottom/>
      </border>
    </dxf>
    <dxf>
      <font>
        <b val="0"/>
        <i val="0"/>
        <strike val="0"/>
        <condense val="0"/>
        <extend val="0"/>
        <outline val="0"/>
        <shadow val="0"/>
        <u val="none"/>
        <vertAlign val="baseline"/>
        <sz val="11"/>
        <color theme="1"/>
        <name val="Lao UI"/>
        <family val="2"/>
        <scheme val="none"/>
      </font>
      <border diagonalUp="0" diagonalDown="0">
        <left/>
        <right/>
        <top style="thin">
          <color theme="0" tint="-0.24994659260841701"/>
        </top>
        <bottom/>
        <vertical/>
        <horizontal/>
      </border>
    </dxf>
    <dxf>
      <border outline="0">
        <left style="thin">
          <color theme="0" tint="-0.24994659260841701"/>
        </left>
        <top style="thin">
          <color theme="0" tint="-0.24994659260841701"/>
        </top>
        <bottom style="thin">
          <color theme="0" tint="-0.24994659260841701"/>
        </bottom>
      </border>
    </dxf>
    <dxf>
      <font>
        <b val="0"/>
        <i val="0"/>
        <strike val="0"/>
        <condense val="0"/>
        <extend val="0"/>
        <outline val="0"/>
        <shadow val="0"/>
        <u val="none"/>
        <vertAlign val="baseline"/>
        <sz val="11"/>
        <color theme="0"/>
        <name val="Lao UI"/>
        <family val="2"/>
        <scheme val="none"/>
      </font>
      <fill>
        <patternFill patternType="solid">
          <fgColor indexed="64"/>
          <bgColor rgb="FF01539C"/>
        </patternFill>
      </fill>
      <alignment horizontal="general" vertical="bottom" textRotation="0" wrapText="1" indent="0" justifyLastLine="0" shrinkToFit="0" readingOrder="0"/>
    </dxf>
    <dxf>
      <font>
        <strike val="0"/>
        <outline val="0"/>
        <shadow val="0"/>
        <u val="none"/>
        <sz val="11"/>
        <name val="Lao UI"/>
        <family val="2"/>
        <scheme val="none"/>
      </font>
      <numFmt numFmtId="14" formatCode="0.00%"/>
    </dxf>
    <dxf>
      <font>
        <strike val="0"/>
        <outline val="0"/>
        <shadow val="0"/>
        <u val="none"/>
        <sz val="11"/>
        <name val="Lao UI"/>
        <family val="2"/>
        <scheme val="none"/>
      </font>
      <numFmt numFmtId="14" formatCode="0.00%"/>
    </dxf>
    <dxf>
      <font>
        <strike val="0"/>
        <outline val="0"/>
        <shadow val="0"/>
        <u val="none"/>
        <sz val="11"/>
        <name val="Lao UI"/>
        <family val="2"/>
        <scheme val="none"/>
      </font>
    </dxf>
    <dxf>
      <font>
        <strike val="0"/>
        <outline val="0"/>
        <shadow val="0"/>
        <u val="none"/>
        <sz val="11"/>
        <name val="Lao UI"/>
        <family val="2"/>
        <scheme val="none"/>
      </font>
    </dxf>
    <dxf>
      <border outline="0">
        <left style="thin">
          <color theme="0" tint="-0.24994659260841701"/>
        </left>
        <top style="thin">
          <color theme="0" tint="-0.24994659260841701"/>
        </top>
        <bottom style="thin">
          <color theme="0" tint="-0.24994659260841701"/>
        </bottom>
      </border>
    </dxf>
    <dxf>
      <font>
        <strike val="0"/>
        <outline val="0"/>
        <shadow val="0"/>
        <u val="none"/>
        <sz val="11"/>
        <name val="Lao UI"/>
        <family val="2"/>
        <scheme val="none"/>
      </font>
    </dxf>
    <dxf>
      <font>
        <b val="0"/>
        <i val="0"/>
        <strike val="0"/>
        <condense val="0"/>
        <extend val="0"/>
        <outline val="0"/>
        <shadow val="0"/>
        <u val="none"/>
        <vertAlign val="baseline"/>
        <sz val="11"/>
        <color theme="0"/>
        <name val="Lao UI"/>
        <family val="2"/>
        <scheme val="none"/>
      </font>
      <fill>
        <patternFill patternType="solid">
          <fgColor indexed="64"/>
          <bgColor rgb="FF3352AB"/>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Lao UI"/>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i val="0"/>
        <strike val="0"/>
        <condense val="0"/>
        <extend val="0"/>
        <outline val="0"/>
        <shadow val="0"/>
        <u val="none"/>
        <vertAlign val="baseline"/>
        <sz val="11"/>
        <color theme="1"/>
        <name val="Lao UI"/>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bottom style="thin">
          <color theme="0" tint="-0.249977111117893"/>
        </bottom>
      </border>
    </dxf>
    <dxf>
      <border outline="0">
        <top style="thin">
          <color theme="0" tint="-0.249977111117893"/>
        </top>
      </border>
    </dxf>
    <dxf>
      <font>
        <b val="0"/>
        <i val="0"/>
        <strike val="0"/>
        <condense val="0"/>
        <extend val="0"/>
        <outline val="0"/>
        <shadow val="0"/>
        <u val="none"/>
        <vertAlign val="baseline"/>
        <sz val="11"/>
        <color theme="1"/>
        <name val="Lao UI"/>
        <scheme val="none"/>
      </font>
      <fill>
        <patternFill patternType="none">
          <fgColor indexed="64"/>
          <bgColor auto="1"/>
        </patternFill>
      </fill>
    </dxf>
    <dxf>
      <font>
        <b val="0"/>
        <i val="0"/>
        <strike val="0"/>
        <condense val="0"/>
        <extend val="0"/>
        <outline val="0"/>
        <shadow val="0"/>
        <u val="none"/>
        <vertAlign val="baseline"/>
        <sz val="11"/>
        <color theme="0"/>
        <name val="Lao UI"/>
        <scheme val="none"/>
      </font>
      <fill>
        <patternFill patternType="solid">
          <fgColor indexed="64"/>
          <bgColor rgb="FF01539C"/>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Lao UI"/>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i val="0"/>
        <strike val="0"/>
        <condense val="0"/>
        <extend val="0"/>
        <outline val="0"/>
        <shadow val="0"/>
        <u val="none"/>
        <vertAlign val="baseline"/>
        <sz val="11"/>
        <color theme="1"/>
        <name val="Lao UI"/>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theme="0" tint="-0.249977111117893"/>
        </left>
        <right style="thin">
          <color theme="0" tint="-0.249977111117893"/>
        </right>
        <top/>
        <bottom style="thin">
          <color theme="0" tint="-0.249977111117893"/>
        </bottom>
      </border>
    </dxf>
    <dxf>
      <border outline="0">
        <top style="thin">
          <color theme="0" tint="-0.249977111117893"/>
        </top>
      </border>
    </dxf>
    <dxf>
      <font>
        <b val="0"/>
        <i val="0"/>
        <strike val="0"/>
        <condense val="0"/>
        <extend val="0"/>
        <outline val="0"/>
        <shadow val="0"/>
        <u val="none"/>
        <vertAlign val="baseline"/>
        <sz val="11"/>
        <color theme="1"/>
        <name val="Lao UI"/>
        <scheme val="none"/>
      </font>
      <fill>
        <patternFill patternType="none">
          <fgColor indexed="64"/>
          <bgColor auto="1"/>
        </patternFill>
      </fill>
    </dxf>
    <dxf>
      <font>
        <b val="0"/>
        <i val="0"/>
        <strike val="0"/>
        <condense val="0"/>
        <extend val="0"/>
        <outline val="0"/>
        <shadow val="0"/>
        <u val="none"/>
        <vertAlign val="baseline"/>
        <sz val="11"/>
        <color theme="0"/>
        <name val="Lao UI"/>
        <scheme val="none"/>
      </font>
      <fill>
        <patternFill patternType="solid">
          <fgColor indexed="64"/>
          <bgColor rgb="FF01539C"/>
        </patternFill>
      </fill>
      <alignment horizontal="general" vertical="bottom" textRotation="0" wrapText="1" indent="0" justifyLastLine="0" shrinkToFit="0" readingOrder="0"/>
    </dxf>
    <dxf>
      <font>
        <color theme="1" tint="0.24994659260841701"/>
      </font>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color theme="1" tint="0.24994659260841701"/>
      </font>
      <fill>
        <patternFill>
          <bgColor rgb="FFFEF09C"/>
        </patternFill>
      </fill>
    </dxf>
    <dxf>
      <font>
        <color theme="0"/>
      </font>
      <fill>
        <patternFill>
          <bgColor rgb="FFFBD803"/>
        </patternFill>
      </fill>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ill>
        <patternFill>
          <bgColor rgb="FFD0ECD1"/>
        </patternFill>
      </fill>
    </dxf>
    <dxf>
      <font>
        <color theme="0"/>
      </font>
      <fill>
        <patternFill>
          <bgColor rgb="FF48B84D"/>
        </patternFill>
      </fill>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ill>
        <patternFill>
          <bgColor rgb="FFC4CFEE"/>
        </patternFill>
      </fill>
    </dxf>
    <dxf>
      <font>
        <color theme="0"/>
      </font>
      <fill>
        <patternFill>
          <bgColor rgb="FF3352AB"/>
        </patternFill>
      </fill>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s>
  <tableStyles count="3" defaultTableStyle="Table Style 1" defaultPivotStyle="PivotStyleLight16">
    <tableStyle name="Table Style 1" pivot="0" count="4" xr9:uid="{00000000-0011-0000-FFFF-FFFF00000000}">
      <tableStyleElement type="wholeTable" dxfId="3733"/>
      <tableStyleElement type="headerRow" dxfId="3732"/>
      <tableStyleElement type="firstRowStripe" dxfId="3731"/>
      <tableStyleElement type="secondRowStripe" dxfId="3730"/>
    </tableStyle>
    <tableStyle name="Table Style 2" pivot="0" count="4" xr9:uid="{00000000-0011-0000-FFFF-FFFF01000000}">
      <tableStyleElement type="wholeTable" dxfId="3729"/>
      <tableStyleElement type="headerRow" dxfId="3728"/>
      <tableStyleElement type="firstRowStripe" dxfId="3727"/>
      <tableStyleElement type="secondRowStripe" dxfId="3726"/>
    </tableStyle>
    <tableStyle name="Table Style 3" pivot="0" count="4" xr9:uid="{00000000-0011-0000-FFFF-FFFF02000000}">
      <tableStyleElement type="wholeTable" dxfId="3725"/>
      <tableStyleElement type="headerRow" dxfId="3724"/>
      <tableStyleElement type="firstRowStripe" dxfId="3723"/>
      <tableStyleElement type="secondRowStripe" dxfId="3722"/>
    </tableStyle>
  </tableStyles>
  <colors>
    <mruColors>
      <color rgb="FF01539C"/>
      <color rgb="FFFBD803"/>
      <color rgb="FFD0ECD1"/>
      <color rgb="FFEAF6EA"/>
      <color rgb="FF48B84D"/>
      <color rgb="FF404040"/>
      <color rgb="FFC4CFEE"/>
      <color rgb="FFCCCCFF"/>
      <color rgb="FFF2F2F2"/>
      <color rgb="FFFEF0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26" Type="http://schemas.openxmlformats.org/officeDocument/2006/relationships/customXml" Target="../customXml/item5.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152400</xdr:colOff>
      <xdr:row>3</xdr:row>
      <xdr:rowOff>264753</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1"/>
        <a:srcRect b="3183"/>
        <a:stretch/>
      </xdr:blipFill>
      <xdr:spPr>
        <a:xfrm>
          <a:off x="0" y="0"/>
          <a:ext cx="10458450" cy="1207728"/>
        </a:xfrm>
        <a:prstGeom prst="rect">
          <a:avLst/>
        </a:prstGeom>
      </xdr:spPr>
    </xdr:pic>
    <xdr:clientData/>
  </xdr:twoCellAnchor>
  <xdr:twoCellAnchor>
    <xdr:from>
      <xdr:col>0</xdr:col>
      <xdr:colOff>257174</xdr:colOff>
      <xdr:row>0</xdr:row>
      <xdr:rowOff>57150</xdr:rowOff>
    </xdr:from>
    <xdr:to>
      <xdr:col>11</xdr:col>
      <xdr:colOff>9524</xdr:colOff>
      <xdr:row>2</xdr:row>
      <xdr:rowOff>276225</xdr:rowOff>
    </xdr:to>
    <xdr:sp macro="" textlink="">
      <xdr:nvSpPr>
        <xdr:cNvPr id="2" name="TextBox 1">
          <a:extLst>
            <a:ext uri="{FF2B5EF4-FFF2-40B4-BE49-F238E27FC236}">
              <a16:creationId xmlns:a16="http://schemas.microsoft.com/office/drawing/2014/main" id="{771D3EDB-4951-4FF6-ACCC-EA719D6B62A2}"/>
            </a:ext>
          </a:extLst>
        </xdr:cNvPr>
        <xdr:cNvSpPr txBox="1"/>
      </xdr:nvSpPr>
      <xdr:spPr>
        <a:xfrm>
          <a:off x="257174" y="57150"/>
          <a:ext cx="62198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1539C"/>
              </a:solidFill>
              <a:latin typeface="Lao UI" panose="020B0502040204020203" pitchFamily="34" charset="0"/>
              <a:cs typeface="Lao UI" panose="020B0502040204020203" pitchFamily="34" charset="0"/>
            </a:rPr>
            <a:t>Welcome to the Green Gas Support Scheme (GGSS) Greenhouse Gas Calculator</a:t>
          </a:r>
          <a:endParaRPr lang="en-US" sz="1100" b="1">
            <a:solidFill>
              <a:srgbClr val="01539C"/>
            </a:solidFill>
            <a:latin typeface="Lao UI" panose="020B0502040204020203" pitchFamily="34" charset="0"/>
            <a:cs typeface="Lao UI" panose="020B0502040204020203" pitchFamily="34" charset="0"/>
          </a:endParaRPr>
        </a:p>
      </xdr:txBody>
    </xdr:sp>
    <xdr:clientData/>
  </xdr:twoCellAnchor>
  <xdr:twoCellAnchor>
    <xdr:from>
      <xdr:col>12</xdr:col>
      <xdr:colOff>9525</xdr:colOff>
      <xdr:row>2</xdr:row>
      <xdr:rowOff>200025</xdr:rowOff>
    </xdr:from>
    <xdr:to>
      <xdr:col>18</xdr:col>
      <xdr:colOff>28575</xdr:colOff>
      <xdr:row>3</xdr:row>
      <xdr:rowOff>247650</xdr:rowOff>
    </xdr:to>
    <xdr:sp macro="" textlink="">
      <xdr:nvSpPr>
        <xdr:cNvPr id="3" name="TextBox 2">
          <a:extLst>
            <a:ext uri="{FF2B5EF4-FFF2-40B4-BE49-F238E27FC236}">
              <a16:creationId xmlns:a16="http://schemas.microsoft.com/office/drawing/2014/main" id="{A1154B34-E495-1395-09A0-E5BD5E1D5B9F}"/>
            </a:ext>
          </a:extLst>
        </xdr:cNvPr>
        <xdr:cNvSpPr txBox="1"/>
      </xdr:nvSpPr>
      <xdr:spPr>
        <a:xfrm>
          <a:off x="7086600" y="828675"/>
          <a:ext cx="3248025" cy="361950"/>
        </a:xfrm>
        <a:prstGeom prst="rect">
          <a:avLst/>
        </a:prstGeom>
        <a:solidFill>
          <a:srgbClr val="01539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561700</xdr:colOff>
      <xdr:row>3</xdr:row>
      <xdr:rowOff>264753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b="3183"/>
        <a:stretch/>
      </xdr:blipFill>
      <xdr:spPr>
        <a:xfrm>
          <a:off x="0" y="0"/>
          <a:ext cx="10010500" cy="1198203"/>
        </a:xfrm>
        <a:prstGeom prst="rect">
          <a:avLst/>
        </a:prstGeom>
      </xdr:spPr>
    </xdr:pic>
    <xdr:clientData/>
  </xdr:twoCellAnchor>
  <xdr:twoCellAnchor>
    <xdr:from>
      <xdr:col>1</xdr:col>
      <xdr:colOff>112058</xdr:colOff>
      <xdr:row>0</xdr:row>
      <xdr:rowOff>134470</xdr:rowOff>
    </xdr:from>
    <xdr:to>
      <xdr:col>3</xdr:col>
      <xdr:colOff>324971</xdr:colOff>
      <xdr:row>1</xdr:row>
      <xdr:rowOff>246528</xdr:rowOff>
    </xdr:to>
    <xdr:sp macro="" textlink="">
      <xdr:nvSpPr>
        <xdr:cNvPr id="3" name="TextBox 2">
          <a:extLst>
            <a:ext uri="{FF2B5EF4-FFF2-40B4-BE49-F238E27FC236}">
              <a16:creationId xmlns:a16="http://schemas.microsoft.com/office/drawing/2014/main" id="{21B760FC-557C-B4AF-92C9-528B0E01665C}"/>
            </a:ext>
          </a:extLst>
        </xdr:cNvPr>
        <xdr:cNvSpPr txBox="1"/>
      </xdr:nvSpPr>
      <xdr:spPr>
        <a:xfrm>
          <a:off x="347382" y="134470"/>
          <a:ext cx="2353236" cy="4258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1539C"/>
              </a:solidFill>
              <a:latin typeface="Lao UI" panose="020B0502040204020203" pitchFamily="34" charset="0"/>
              <a:cs typeface="Lao UI" panose="020B0502040204020203" pitchFamily="34" charset="0"/>
            </a:rPr>
            <a:t>Summary</a:t>
          </a:r>
          <a:endParaRPr lang="en-US" sz="1100" b="1">
            <a:solidFill>
              <a:srgbClr val="01539C"/>
            </a:solidFill>
            <a:latin typeface="Lao UI" panose="020B0502040204020203" pitchFamily="34" charset="0"/>
            <a:cs typeface="Lao UI" panose="020B0502040204020203"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1495150</xdr:colOff>
      <xdr:row>2</xdr:row>
      <xdr:rowOff>391753</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1"/>
        <a:srcRect b="3183"/>
        <a:stretch/>
      </xdr:blipFill>
      <xdr:spPr>
        <a:xfrm>
          <a:off x="0" y="0"/>
          <a:ext cx="10010500" cy="1198203"/>
        </a:xfrm>
        <a:prstGeom prst="rect">
          <a:avLst/>
        </a:prstGeom>
      </xdr:spPr>
    </xdr:pic>
    <xdr:clientData/>
  </xdr:twoCellAnchor>
  <xdr:twoCellAnchor>
    <xdr:from>
      <xdr:col>1</xdr:col>
      <xdr:colOff>56028</xdr:colOff>
      <xdr:row>0</xdr:row>
      <xdr:rowOff>212912</xdr:rowOff>
    </xdr:from>
    <xdr:to>
      <xdr:col>3</xdr:col>
      <xdr:colOff>750794</xdr:colOff>
      <xdr:row>1</xdr:row>
      <xdr:rowOff>224117</xdr:rowOff>
    </xdr:to>
    <xdr:sp macro="" textlink="">
      <xdr:nvSpPr>
        <xdr:cNvPr id="2" name="TextBox 1">
          <a:extLst>
            <a:ext uri="{FF2B5EF4-FFF2-40B4-BE49-F238E27FC236}">
              <a16:creationId xmlns:a16="http://schemas.microsoft.com/office/drawing/2014/main" id="{1526A1B1-0640-415B-8C08-F747673D41C7}"/>
            </a:ext>
          </a:extLst>
        </xdr:cNvPr>
        <xdr:cNvSpPr txBox="1"/>
      </xdr:nvSpPr>
      <xdr:spPr>
        <a:xfrm>
          <a:off x="291352" y="212912"/>
          <a:ext cx="2353236" cy="4258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1539C"/>
              </a:solidFill>
              <a:latin typeface="Lao UI" panose="020B0502040204020203" pitchFamily="34" charset="0"/>
              <a:cs typeface="Lao UI" panose="020B0502040204020203" pitchFamily="34" charset="0"/>
            </a:rPr>
            <a:t>Feedstocks</a:t>
          </a:r>
          <a:endParaRPr lang="en-US" sz="1100" b="1">
            <a:solidFill>
              <a:srgbClr val="01539C"/>
            </a:solidFill>
            <a:latin typeface="Lao UI" panose="020B0502040204020203" pitchFamily="34" charset="0"/>
            <a:cs typeface="Lao UI" panose="020B0502040204020203"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312420</xdr:colOff>
          <xdr:row>108</xdr:row>
          <xdr:rowOff>0</xdr:rowOff>
        </xdr:from>
        <xdr:to>
          <xdr:col>6</xdr:col>
          <xdr:colOff>0</xdr:colOff>
          <xdr:row>108</xdr:row>
          <xdr:rowOff>0</xdr:rowOff>
        </xdr:to>
        <xdr:sp macro="" textlink="">
          <xdr:nvSpPr>
            <xdr:cNvPr id="3130" name="Button 58" hidden="1">
              <a:extLst>
                <a:ext uri="{63B3BB69-23CF-44E3-9099-C40C66FF867C}">
                  <a14:compatExt spid="_x0000_s3130"/>
                </a:ext>
                <a:ext uri="{FF2B5EF4-FFF2-40B4-BE49-F238E27FC236}">
                  <a16:creationId xmlns:a16="http://schemas.microsoft.com/office/drawing/2014/main" id="{00000000-0008-0000-0300-00003A0C0000}"/>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en-GB" sz="1200" b="0" i="0" u="none" strike="noStrike" baseline="0">
                  <a:solidFill>
                    <a:srgbClr val="333333"/>
                  </a:solidFill>
                  <a:latin typeface="Lao UI"/>
                  <a:cs typeface="Lao UI"/>
                </a:rPr>
                <a:t>Delete Data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312420</xdr:colOff>
          <xdr:row>208</xdr:row>
          <xdr:rowOff>0</xdr:rowOff>
        </xdr:from>
        <xdr:to>
          <xdr:col>6</xdr:col>
          <xdr:colOff>0</xdr:colOff>
          <xdr:row>208</xdr:row>
          <xdr:rowOff>0</xdr:rowOff>
        </xdr:to>
        <xdr:sp macro="" textlink="">
          <xdr:nvSpPr>
            <xdr:cNvPr id="3131" name="Button 59" hidden="1">
              <a:extLst>
                <a:ext uri="{63B3BB69-23CF-44E3-9099-C40C66FF867C}">
                  <a14:compatExt spid="_x0000_s3131"/>
                </a:ext>
                <a:ext uri="{FF2B5EF4-FFF2-40B4-BE49-F238E27FC236}">
                  <a16:creationId xmlns:a16="http://schemas.microsoft.com/office/drawing/2014/main" id="{00000000-0008-0000-0300-00003B0C0000}"/>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en-GB" sz="1200" b="0" i="0" u="none" strike="noStrike" baseline="0">
                  <a:solidFill>
                    <a:srgbClr val="333333"/>
                  </a:solidFill>
                  <a:latin typeface="Lao UI"/>
                  <a:cs typeface="Lao UI"/>
                </a:rPr>
                <a:t>Delete Data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327660</xdr:colOff>
          <xdr:row>308</xdr:row>
          <xdr:rowOff>0</xdr:rowOff>
        </xdr:from>
        <xdr:to>
          <xdr:col>6</xdr:col>
          <xdr:colOff>7620</xdr:colOff>
          <xdr:row>308</xdr:row>
          <xdr:rowOff>0</xdr:rowOff>
        </xdr:to>
        <xdr:sp macro="" textlink="">
          <xdr:nvSpPr>
            <xdr:cNvPr id="3132" name="Button 60" hidden="1">
              <a:extLst>
                <a:ext uri="{63B3BB69-23CF-44E3-9099-C40C66FF867C}">
                  <a14:compatExt spid="_x0000_s3132"/>
                </a:ext>
                <a:ext uri="{FF2B5EF4-FFF2-40B4-BE49-F238E27FC236}">
                  <a16:creationId xmlns:a16="http://schemas.microsoft.com/office/drawing/2014/main" id="{00000000-0008-0000-0300-00003C0C0000}"/>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en-GB" sz="1200" b="0" i="0" u="none" strike="noStrike" baseline="0">
                  <a:solidFill>
                    <a:srgbClr val="333333"/>
                  </a:solidFill>
                  <a:latin typeface="Lao UI"/>
                  <a:cs typeface="Lao UI"/>
                </a:rPr>
                <a:t>Delete Data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327660</xdr:colOff>
          <xdr:row>408</xdr:row>
          <xdr:rowOff>0</xdr:rowOff>
        </xdr:from>
        <xdr:to>
          <xdr:col>6</xdr:col>
          <xdr:colOff>7620</xdr:colOff>
          <xdr:row>408</xdr:row>
          <xdr:rowOff>0</xdr:rowOff>
        </xdr:to>
        <xdr:sp macro="" textlink="">
          <xdr:nvSpPr>
            <xdr:cNvPr id="3133" name="Button 61" hidden="1">
              <a:extLst>
                <a:ext uri="{63B3BB69-23CF-44E3-9099-C40C66FF867C}">
                  <a14:compatExt spid="_x0000_s3133"/>
                </a:ext>
                <a:ext uri="{FF2B5EF4-FFF2-40B4-BE49-F238E27FC236}">
                  <a16:creationId xmlns:a16="http://schemas.microsoft.com/office/drawing/2014/main" id="{00000000-0008-0000-0300-00003D0C0000}"/>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en-GB" sz="1200" b="0" i="0" u="none" strike="noStrike" baseline="0">
                  <a:solidFill>
                    <a:srgbClr val="333333"/>
                  </a:solidFill>
                  <a:latin typeface="Lao UI"/>
                  <a:cs typeface="Lao UI"/>
                </a:rPr>
                <a:t>Delete Data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312420</xdr:colOff>
          <xdr:row>508</xdr:row>
          <xdr:rowOff>0</xdr:rowOff>
        </xdr:from>
        <xdr:to>
          <xdr:col>6</xdr:col>
          <xdr:colOff>0</xdr:colOff>
          <xdr:row>508</xdr:row>
          <xdr:rowOff>0</xdr:rowOff>
        </xdr:to>
        <xdr:sp macro="" textlink="">
          <xdr:nvSpPr>
            <xdr:cNvPr id="3134" name="Button 62" hidden="1">
              <a:extLst>
                <a:ext uri="{63B3BB69-23CF-44E3-9099-C40C66FF867C}">
                  <a14:compatExt spid="_x0000_s3134"/>
                </a:ext>
                <a:ext uri="{FF2B5EF4-FFF2-40B4-BE49-F238E27FC236}">
                  <a16:creationId xmlns:a16="http://schemas.microsoft.com/office/drawing/2014/main" id="{00000000-0008-0000-0300-00003E0C0000}"/>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en-GB" sz="1200" b="0" i="0" u="none" strike="noStrike" baseline="0">
                  <a:solidFill>
                    <a:srgbClr val="333333"/>
                  </a:solidFill>
                  <a:latin typeface="Lao UI"/>
                  <a:cs typeface="Lao UI"/>
                </a:rPr>
                <a:t>Delete Data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312420</xdr:colOff>
          <xdr:row>608</xdr:row>
          <xdr:rowOff>0</xdr:rowOff>
        </xdr:from>
        <xdr:to>
          <xdr:col>6</xdr:col>
          <xdr:colOff>0</xdr:colOff>
          <xdr:row>608</xdr:row>
          <xdr:rowOff>0</xdr:rowOff>
        </xdr:to>
        <xdr:sp macro="" textlink="">
          <xdr:nvSpPr>
            <xdr:cNvPr id="3135" name="Button 63" hidden="1">
              <a:extLst>
                <a:ext uri="{63B3BB69-23CF-44E3-9099-C40C66FF867C}">
                  <a14:compatExt spid="_x0000_s3135"/>
                </a:ext>
                <a:ext uri="{FF2B5EF4-FFF2-40B4-BE49-F238E27FC236}">
                  <a16:creationId xmlns:a16="http://schemas.microsoft.com/office/drawing/2014/main" id="{00000000-0008-0000-0300-00003F0C0000}"/>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en-GB" sz="1200" b="0" i="0" u="none" strike="noStrike" baseline="0">
                  <a:solidFill>
                    <a:srgbClr val="333333"/>
                  </a:solidFill>
                  <a:latin typeface="Lao UI"/>
                  <a:cs typeface="Lao UI"/>
                </a:rPr>
                <a:t>Delete Data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312420</xdr:colOff>
          <xdr:row>708</xdr:row>
          <xdr:rowOff>0</xdr:rowOff>
        </xdr:from>
        <xdr:to>
          <xdr:col>6</xdr:col>
          <xdr:colOff>0</xdr:colOff>
          <xdr:row>708</xdr:row>
          <xdr:rowOff>0</xdr:rowOff>
        </xdr:to>
        <xdr:sp macro="" textlink="">
          <xdr:nvSpPr>
            <xdr:cNvPr id="3136" name="Button 64" hidden="1">
              <a:extLst>
                <a:ext uri="{63B3BB69-23CF-44E3-9099-C40C66FF867C}">
                  <a14:compatExt spid="_x0000_s3136"/>
                </a:ext>
                <a:ext uri="{FF2B5EF4-FFF2-40B4-BE49-F238E27FC236}">
                  <a16:creationId xmlns:a16="http://schemas.microsoft.com/office/drawing/2014/main" id="{00000000-0008-0000-0300-0000400C0000}"/>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en-GB" sz="1200" b="0" i="0" u="none" strike="noStrike" baseline="0">
                  <a:solidFill>
                    <a:srgbClr val="333333"/>
                  </a:solidFill>
                  <a:latin typeface="Lao UI"/>
                  <a:cs typeface="Lao UI"/>
                </a:rPr>
                <a:t>Delete Data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312420</xdr:colOff>
          <xdr:row>808</xdr:row>
          <xdr:rowOff>0</xdr:rowOff>
        </xdr:from>
        <xdr:to>
          <xdr:col>6</xdr:col>
          <xdr:colOff>0</xdr:colOff>
          <xdr:row>808</xdr:row>
          <xdr:rowOff>0</xdr:rowOff>
        </xdr:to>
        <xdr:sp macro="" textlink="">
          <xdr:nvSpPr>
            <xdr:cNvPr id="3137" name="Button 65" hidden="1">
              <a:extLst>
                <a:ext uri="{63B3BB69-23CF-44E3-9099-C40C66FF867C}">
                  <a14:compatExt spid="_x0000_s3137"/>
                </a:ext>
                <a:ext uri="{FF2B5EF4-FFF2-40B4-BE49-F238E27FC236}">
                  <a16:creationId xmlns:a16="http://schemas.microsoft.com/office/drawing/2014/main" id="{00000000-0008-0000-0300-0000410C0000}"/>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en-GB" sz="1200" b="0" i="0" u="none" strike="noStrike" baseline="0">
                  <a:solidFill>
                    <a:srgbClr val="333333"/>
                  </a:solidFill>
                  <a:latin typeface="Lao UI"/>
                  <a:cs typeface="Lao UI"/>
                </a:rPr>
                <a:t>Delete Data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312420</xdr:colOff>
          <xdr:row>908</xdr:row>
          <xdr:rowOff>0</xdr:rowOff>
        </xdr:from>
        <xdr:to>
          <xdr:col>6</xdr:col>
          <xdr:colOff>0</xdr:colOff>
          <xdr:row>908</xdr:row>
          <xdr:rowOff>0</xdr:rowOff>
        </xdr:to>
        <xdr:sp macro="" textlink="">
          <xdr:nvSpPr>
            <xdr:cNvPr id="3138" name="Button 66" hidden="1">
              <a:extLst>
                <a:ext uri="{63B3BB69-23CF-44E3-9099-C40C66FF867C}">
                  <a14:compatExt spid="_x0000_s3138"/>
                </a:ext>
                <a:ext uri="{FF2B5EF4-FFF2-40B4-BE49-F238E27FC236}">
                  <a16:creationId xmlns:a16="http://schemas.microsoft.com/office/drawing/2014/main" id="{00000000-0008-0000-0300-0000420C0000}"/>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en-GB" sz="1200" b="0" i="0" u="none" strike="noStrike" baseline="0">
                  <a:solidFill>
                    <a:srgbClr val="333333"/>
                  </a:solidFill>
                  <a:latin typeface="Lao UI"/>
                  <a:cs typeface="Lao UI"/>
                </a:rPr>
                <a:t>Delete Data</a:t>
              </a:r>
            </a:p>
          </xdr:txBody>
        </xdr:sp>
        <xdr:clientData fPrintsWithSheet="0"/>
      </xdr:twoCellAnchor>
    </mc:Choice>
    <mc:Fallback/>
  </mc:AlternateContent>
  <xdr:twoCellAnchor editAs="oneCell">
    <xdr:from>
      <xdr:col>0</xdr:col>
      <xdr:colOff>0</xdr:colOff>
      <xdr:row>0</xdr:row>
      <xdr:rowOff>0</xdr:rowOff>
    </xdr:from>
    <xdr:to>
      <xdr:col>9</xdr:col>
      <xdr:colOff>979212</xdr:colOff>
      <xdr:row>0</xdr:row>
      <xdr:rowOff>1198203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rotWithShape="1">
        <a:blip xmlns:r="http://schemas.openxmlformats.org/officeDocument/2006/relationships" r:embed="rId1"/>
        <a:srcRect b="3183"/>
        <a:stretch/>
      </xdr:blipFill>
      <xdr:spPr>
        <a:xfrm>
          <a:off x="0" y="0"/>
          <a:ext cx="10010500" cy="1198203"/>
        </a:xfrm>
        <a:prstGeom prst="rect">
          <a:avLst/>
        </a:prstGeom>
      </xdr:spPr>
    </xdr:pic>
    <xdr:clientData/>
  </xdr:twoCellAnchor>
  <xdr:twoCellAnchor>
    <xdr:from>
      <xdr:col>1</xdr:col>
      <xdr:colOff>78440</xdr:colOff>
      <xdr:row>0</xdr:row>
      <xdr:rowOff>190500</xdr:rowOff>
    </xdr:from>
    <xdr:to>
      <xdr:col>3</xdr:col>
      <xdr:colOff>1311087</xdr:colOff>
      <xdr:row>0</xdr:row>
      <xdr:rowOff>616323</xdr:rowOff>
    </xdr:to>
    <xdr:sp macro="" textlink="">
      <xdr:nvSpPr>
        <xdr:cNvPr id="2" name="TextBox 1">
          <a:extLst>
            <a:ext uri="{FF2B5EF4-FFF2-40B4-BE49-F238E27FC236}">
              <a16:creationId xmlns:a16="http://schemas.microsoft.com/office/drawing/2014/main" id="{F96E56A1-4B69-4461-99FA-8BCD4947441B}"/>
            </a:ext>
          </a:extLst>
        </xdr:cNvPr>
        <xdr:cNvSpPr txBox="1"/>
      </xdr:nvSpPr>
      <xdr:spPr>
        <a:xfrm>
          <a:off x="313764" y="190500"/>
          <a:ext cx="3328147" cy="4258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1539C"/>
              </a:solidFill>
              <a:latin typeface="Lao UI" panose="020B0502040204020203" pitchFamily="34" charset="0"/>
              <a:cs typeface="Lao UI" panose="020B0502040204020203" pitchFamily="34" charset="0"/>
            </a:rPr>
            <a:t>Cultivation and Harvesting</a:t>
          </a:r>
          <a:endParaRPr lang="en-US" sz="1100" b="1">
            <a:solidFill>
              <a:srgbClr val="01539C"/>
            </a:solidFill>
            <a:latin typeface="Lao UI" panose="020B0502040204020203" pitchFamily="34" charset="0"/>
            <a:cs typeface="Lao UI" panose="020B0502040204020203"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2195</xdr:colOff>
      <xdr:row>3</xdr:row>
      <xdr:rowOff>266870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rotWithShape="1">
        <a:blip xmlns:r="http://schemas.openxmlformats.org/officeDocument/2006/relationships" r:embed="rId1"/>
        <a:srcRect b="3183"/>
        <a:stretch/>
      </xdr:blipFill>
      <xdr:spPr>
        <a:xfrm>
          <a:off x="0" y="0"/>
          <a:ext cx="10010500" cy="1198203"/>
        </a:xfrm>
        <a:prstGeom prst="rect">
          <a:avLst/>
        </a:prstGeom>
      </xdr:spPr>
    </xdr:pic>
    <xdr:clientData/>
  </xdr:twoCellAnchor>
  <xdr:twoCellAnchor>
    <xdr:from>
      <xdr:col>1</xdr:col>
      <xdr:colOff>19049</xdr:colOff>
      <xdr:row>0</xdr:row>
      <xdr:rowOff>161925</xdr:rowOff>
    </xdr:from>
    <xdr:to>
      <xdr:col>4</xdr:col>
      <xdr:colOff>371474</xdr:colOff>
      <xdr:row>1</xdr:row>
      <xdr:rowOff>273423</xdr:rowOff>
    </xdr:to>
    <xdr:sp macro="" textlink="">
      <xdr:nvSpPr>
        <xdr:cNvPr id="3" name="TextBox 2">
          <a:extLst>
            <a:ext uri="{FF2B5EF4-FFF2-40B4-BE49-F238E27FC236}">
              <a16:creationId xmlns:a16="http://schemas.microsoft.com/office/drawing/2014/main" id="{628F193B-4809-4F80-B9AC-14A9E19E2F99}"/>
            </a:ext>
          </a:extLst>
        </xdr:cNvPr>
        <xdr:cNvSpPr txBox="1"/>
      </xdr:nvSpPr>
      <xdr:spPr>
        <a:xfrm>
          <a:off x="257174" y="161925"/>
          <a:ext cx="4695825" cy="4258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1539C"/>
              </a:solidFill>
              <a:latin typeface="Lao UI" panose="020B0502040204020203" pitchFamily="34" charset="0"/>
              <a:cs typeface="Lao UI" panose="020B0502040204020203" pitchFamily="34" charset="0"/>
            </a:rPr>
            <a:t>Transport 1 (to Processing</a:t>
          </a:r>
          <a:r>
            <a:rPr lang="en-US" sz="1800" b="1" baseline="0">
              <a:solidFill>
                <a:srgbClr val="01539C"/>
              </a:solidFill>
              <a:latin typeface="Lao UI" panose="020B0502040204020203" pitchFamily="34" charset="0"/>
              <a:cs typeface="Lao UI" panose="020B0502040204020203" pitchFamily="34" charset="0"/>
            </a:rPr>
            <a:t> or Storage</a:t>
          </a:r>
          <a:r>
            <a:rPr lang="en-US" sz="1800" b="1">
              <a:solidFill>
                <a:srgbClr val="01539C"/>
              </a:solidFill>
              <a:latin typeface="Lao UI" panose="020B0502040204020203" pitchFamily="34" charset="0"/>
              <a:cs typeface="Lao UI" panose="020B0502040204020203" pitchFamily="34" charset="0"/>
            </a:rPr>
            <a:t>)</a:t>
          </a:r>
          <a:endParaRPr lang="en-US" sz="1100" b="1">
            <a:solidFill>
              <a:srgbClr val="01539C"/>
            </a:solidFill>
            <a:latin typeface="Lao UI" panose="020B0502040204020203" pitchFamily="34" charset="0"/>
            <a:cs typeface="Lao UI" panose="020B0502040204020203"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822050</xdr:colOff>
      <xdr:row>3</xdr:row>
      <xdr:rowOff>264753</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rotWithShape="1">
        <a:blip xmlns:r="http://schemas.openxmlformats.org/officeDocument/2006/relationships" r:embed="rId1"/>
        <a:srcRect b="3183"/>
        <a:stretch/>
      </xdr:blipFill>
      <xdr:spPr>
        <a:xfrm>
          <a:off x="0" y="0"/>
          <a:ext cx="10010500" cy="1198203"/>
        </a:xfrm>
        <a:prstGeom prst="rect">
          <a:avLst/>
        </a:prstGeom>
      </xdr:spPr>
    </xdr:pic>
    <xdr:clientData/>
  </xdr:twoCellAnchor>
  <xdr:twoCellAnchor>
    <xdr:from>
      <xdr:col>0</xdr:col>
      <xdr:colOff>209549</xdr:colOff>
      <xdr:row>0</xdr:row>
      <xdr:rowOff>200025</xdr:rowOff>
    </xdr:from>
    <xdr:to>
      <xdr:col>3</xdr:col>
      <xdr:colOff>390524</xdr:colOff>
      <xdr:row>1</xdr:row>
      <xdr:rowOff>311523</xdr:rowOff>
    </xdr:to>
    <xdr:sp macro="" textlink="">
      <xdr:nvSpPr>
        <xdr:cNvPr id="4" name="TextBox 3">
          <a:extLst>
            <a:ext uri="{FF2B5EF4-FFF2-40B4-BE49-F238E27FC236}">
              <a16:creationId xmlns:a16="http://schemas.microsoft.com/office/drawing/2014/main" id="{62AC3EA3-B6DA-4FEC-99B0-8DB9CB093A38}"/>
            </a:ext>
          </a:extLst>
        </xdr:cNvPr>
        <xdr:cNvSpPr txBox="1"/>
      </xdr:nvSpPr>
      <xdr:spPr>
        <a:xfrm>
          <a:off x="209549" y="200025"/>
          <a:ext cx="2790825" cy="4258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1539C"/>
              </a:solidFill>
              <a:latin typeface="Lao UI" panose="020B0502040204020203" pitchFamily="34" charset="0"/>
              <a:cs typeface="Lao UI" panose="020B0502040204020203" pitchFamily="34" charset="0"/>
            </a:rPr>
            <a:t>Feedstock Conversion</a:t>
          </a:r>
          <a:endParaRPr lang="en-US" sz="1100" b="1">
            <a:solidFill>
              <a:srgbClr val="01539C"/>
            </a:solidFill>
            <a:latin typeface="Lao UI" panose="020B0502040204020203" pitchFamily="34" charset="0"/>
            <a:cs typeface="Lao UI" panose="020B0502040204020203"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142600</xdr:colOff>
      <xdr:row>3</xdr:row>
      <xdr:rowOff>264753</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rotWithShape="1">
        <a:blip xmlns:r="http://schemas.openxmlformats.org/officeDocument/2006/relationships" r:embed="rId1"/>
        <a:srcRect b="3183"/>
        <a:stretch/>
      </xdr:blipFill>
      <xdr:spPr>
        <a:xfrm>
          <a:off x="0" y="0"/>
          <a:ext cx="10010500" cy="1198203"/>
        </a:xfrm>
        <a:prstGeom prst="rect">
          <a:avLst/>
        </a:prstGeom>
      </xdr:spPr>
    </xdr:pic>
    <xdr:clientData/>
  </xdr:twoCellAnchor>
  <xdr:twoCellAnchor>
    <xdr:from>
      <xdr:col>1</xdr:col>
      <xdr:colOff>19050</xdr:colOff>
      <xdr:row>0</xdr:row>
      <xdr:rowOff>123825</xdr:rowOff>
    </xdr:from>
    <xdr:to>
      <xdr:col>2</xdr:col>
      <xdr:colOff>2200836</xdr:colOff>
      <xdr:row>1</xdr:row>
      <xdr:rowOff>235323</xdr:rowOff>
    </xdr:to>
    <xdr:sp macro="" textlink="">
      <xdr:nvSpPr>
        <xdr:cNvPr id="2" name="TextBox 1">
          <a:extLst>
            <a:ext uri="{FF2B5EF4-FFF2-40B4-BE49-F238E27FC236}">
              <a16:creationId xmlns:a16="http://schemas.microsoft.com/office/drawing/2014/main" id="{EA54D432-421C-4B60-9B95-CABB6D64C97C}"/>
            </a:ext>
          </a:extLst>
        </xdr:cNvPr>
        <xdr:cNvSpPr txBox="1"/>
      </xdr:nvSpPr>
      <xdr:spPr>
        <a:xfrm>
          <a:off x="400050" y="123825"/>
          <a:ext cx="2353236" cy="4258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1539C"/>
              </a:solidFill>
              <a:latin typeface="Lao UI" panose="020B0502040204020203" pitchFamily="34" charset="0"/>
              <a:cs typeface="Lao UI" panose="020B0502040204020203" pitchFamily="34" charset="0"/>
            </a:rPr>
            <a:t>Land-Use Change</a:t>
          </a:r>
          <a:endParaRPr lang="en-US" sz="1100" b="1">
            <a:solidFill>
              <a:srgbClr val="01539C"/>
            </a:solidFill>
            <a:latin typeface="Lao UI" panose="020B0502040204020203" pitchFamily="34" charset="0"/>
            <a:cs typeface="Lao UI" panose="020B0502040204020203"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292317</xdr:colOff>
      <xdr:row>3</xdr:row>
      <xdr:rowOff>258403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rotWithShape="1">
        <a:blip xmlns:r="http://schemas.openxmlformats.org/officeDocument/2006/relationships" r:embed="rId1"/>
        <a:srcRect b="3183"/>
        <a:stretch/>
      </xdr:blipFill>
      <xdr:spPr>
        <a:xfrm>
          <a:off x="0" y="0"/>
          <a:ext cx="10010500" cy="1198203"/>
        </a:xfrm>
        <a:prstGeom prst="rect">
          <a:avLst/>
        </a:prstGeom>
      </xdr:spPr>
    </xdr:pic>
    <xdr:clientData/>
  </xdr:twoCellAnchor>
  <xdr:twoCellAnchor>
    <xdr:from>
      <xdr:col>0</xdr:col>
      <xdr:colOff>352425</xdr:colOff>
      <xdr:row>0</xdr:row>
      <xdr:rowOff>161925</xdr:rowOff>
    </xdr:from>
    <xdr:to>
      <xdr:col>2</xdr:col>
      <xdr:colOff>2153211</xdr:colOff>
      <xdr:row>1</xdr:row>
      <xdr:rowOff>273423</xdr:rowOff>
    </xdr:to>
    <xdr:sp macro="" textlink="">
      <xdr:nvSpPr>
        <xdr:cNvPr id="3" name="TextBox 2">
          <a:extLst>
            <a:ext uri="{FF2B5EF4-FFF2-40B4-BE49-F238E27FC236}">
              <a16:creationId xmlns:a16="http://schemas.microsoft.com/office/drawing/2014/main" id="{BE2C718D-01DC-4611-B0CB-85141A7E5E7F}"/>
            </a:ext>
          </a:extLst>
        </xdr:cNvPr>
        <xdr:cNvSpPr txBox="1"/>
      </xdr:nvSpPr>
      <xdr:spPr>
        <a:xfrm>
          <a:off x="352425" y="161925"/>
          <a:ext cx="2353236" cy="4258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1539C"/>
              </a:solidFill>
              <a:latin typeface="Lao UI" panose="020B0502040204020203" pitchFamily="34" charset="0"/>
              <a:cs typeface="Lao UI" panose="020B0502040204020203" pitchFamily="34" charset="0"/>
            </a:rPr>
            <a:t>Soil Carbon</a:t>
          </a:r>
          <a:endParaRPr lang="en-US" sz="1100" b="1">
            <a:solidFill>
              <a:srgbClr val="01539C"/>
            </a:solidFill>
            <a:latin typeface="Lao UI" panose="020B0502040204020203" pitchFamily="34" charset="0"/>
            <a:cs typeface="Lao UI" panose="020B0502040204020203"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415650</xdr:colOff>
      <xdr:row>3</xdr:row>
      <xdr:rowOff>264753</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rotWithShape="1">
        <a:blip xmlns:r="http://schemas.openxmlformats.org/officeDocument/2006/relationships" r:embed="rId1"/>
        <a:srcRect b="3183"/>
        <a:stretch/>
      </xdr:blipFill>
      <xdr:spPr>
        <a:xfrm>
          <a:off x="0" y="0"/>
          <a:ext cx="10010500" cy="1198203"/>
        </a:xfrm>
        <a:prstGeom prst="rect">
          <a:avLst/>
        </a:prstGeom>
      </xdr:spPr>
    </xdr:pic>
    <xdr:clientData/>
  </xdr:twoCellAnchor>
  <xdr:twoCellAnchor>
    <xdr:from>
      <xdr:col>0</xdr:col>
      <xdr:colOff>333375</xdr:colOff>
      <xdr:row>0</xdr:row>
      <xdr:rowOff>171450</xdr:rowOff>
    </xdr:from>
    <xdr:to>
      <xdr:col>2</xdr:col>
      <xdr:colOff>2134161</xdr:colOff>
      <xdr:row>1</xdr:row>
      <xdr:rowOff>282948</xdr:rowOff>
    </xdr:to>
    <xdr:sp macro="" textlink="">
      <xdr:nvSpPr>
        <xdr:cNvPr id="2" name="TextBox 1">
          <a:extLst>
            <a:ext uri="{FF2B5EF4-FFF2-40B4-BE49-F238E27FC236}">
              <a16:creationId xmlns:a16="http://schemas.microsoft.com/office/drawing/2014/main" id="{58849AA7-455C-426A-8843-516F4533B475}"/>
            </a:ext>
          </a:extLst>
        </xdr:cNvPr>
        <xdr:cNvSpPr txBox="1"/>
      </xdr:nvSpPr>
      <xdr:spPr>
        <a:xfrm>
          <a:off x="333375" y="171450"/>
          <a:ext cx="2353236" cy="4258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1539C"/>
              </a:solidFill>
              <a:latin typeface="Lao UI" panose="020B0502040204020203" pitchFamily="34" charset="0"/>
              <a:cs typeface="Lao UI" panose="020B0502040204020203" pitchFamily="34" charset="0"/>
            </a:rPr>
            <a:t>Manure Credits</a:t>
          </a:r>
          <a:endParaRPr lang="en-US" sz="1100" b="1">
            <a:solidFill>
              <a:srgbClr val="01539C"/>
            </a:solidFill>
            <a:latin typeface="Lao UI" panose="020B0502040204020203" pitchFamily="34" charset="0"/>
            <a:cs typeface="Lao UI" panose="020B0502040204020203"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2900</xdr:colOff>
      <xdr:row>3</xdr:row>
      <xdr:rowOff>264753</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rotWithShape="1">
        <a:blip xmlns:r="http://schemas.openxmlformats.org/officeDocument/2006/relationships" r:embed="rId1"/>
        <a:srcRect b="3183"/>
        <a:stretch/>
      </xdr:blipFill>
      <xdr:spPr>
        <a:xfrm>
          <a:off x="0" y="0"/>
          <a:ext cx="10010500" cy="1198203"/>
        </a:xfrm>
        <a:prstGeom prst="rect">
          <a:avLst/>
        </a:prstGeom>
      </xdr:spPr>
    </xdr:pic>
    <xdr:clientData/>
  </xdr:twoCellAnchor>
  <xdr:twoCellAnchor>
    <xdr:from>
      <xdr:col>1</xdr:col>
      <xdr:colOff>33617</xdr:colOff>
      <xdr:row>0</xdr:row>
      <xdr:rowOff>145676</xdr:rowOff>
    </xdr:from>
    <xdr:to>
      <xdr:col>3</xdr:col>
      <xdr:colOff>930088</xdr:colOff>
      <xdr:row>1</xdr:row>
      <xdr:rowOff>257734</xdr:rowOff>
    </xdr:to>
    <xdr:sp macro="" textlink="">
      <xdr:nvSpPr>
        <xdr:cNvPr id="3" name="TextBox 2">
          <a:extLst>
            <a:ext uri="{FF2B5EF4-FFF2-40B4-BE49-F238E27FC236}">
              <a16:creationId xmlns:a16="http://schemas.microsoft.com/office/drawing/2014/main" id="{543BD848-044F-4AD9-8FD1-C34859D7386F}"/>
            </a:ext>
          </a:extLst>
        </xdr:cNvPr>
        <xdr:cNvSpPr txBox="1"/>
      </xdr:nvSpPr>
      <xdr:spPr>
        <a:xfrm>
          <a:off x="268941" y="145676"/>
          <a:ext cx="3238500" cy="4258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1539C"/>
              </a:solidFill>
              <a:latin typeface="Lao UI" panose="020B0502040204020203" pitchFamily="34" charset="0"/>
              <a:cs typeface="Lao UI" panose="020B0502040204020203" pitchFamily="34" charset="0"/>
            </a:rPr>
            <a:t>Transport 2 (to</a:t>
          </a:r>
          <a:r>
            <a:rPr lang="en-US" sz="1800" b="1" baseline="0">
              <a:solidFill>
                <a:srgbClr val="01539C"/>
              </a:solidFill>
              <a:latin typeface="Lao UI" panose="020B0502040204020203" pitchFamily="34" charset="0"/>
              <a:cs typeface="Lao UI" panose="020B0502040204020203" pitchFamily="34" charset="0"/>
            </a:rPr>
            <a:t> AD</a:t>
          </a:r>
          <a:r>
            <a:rPr lang="en-US" sz="1800" b="1">
              <a:solidFill>
                <a:srgbClr val="01539C"/>
              </a:solidFill>
              <a:latin typeface="Lao UI" panose="020B0502040204020203" pitchFamily="34" charset="0"/>
              <a:cs typeface="Lao UI" panose="020B0502040204020203" pitchFamily="34" charset="0"/>
            </a:rPr>
            <a:t> Plant)</a:t>
          </a:r>
          <a:endParaRPr lang="en-US" sz="1100" b="1">
            <a:solidFill>
              <a:srgbClr val="01539C"/>
            </a:solidFill>
            <a:latin typeface="Lao UI" panose="020B0502040204020203" pitchFamily="34" charset="0"/>
            <a:cs typeface="Lao UI" panose="020B0502040204020203"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1672798</xdr:colOff>
      <xdr:row>3</xdr:row>
      <xdr:rowOff>279267</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rotWithShape="1">
        <a:blip xmlns:r="http://schemas.openxmlformats.org/officeDocument/2006/relationships" r:embed="rId1"/>
        <a:srcRect b="3183"/>
        <a:stretch/>
      </xdr:blipFill>
      <xdr:spPr>
        <a:xfrm>
          <a:off x="0" y="0"/>
          <a:ext cx="10010500" cy="1198203"/>
        </a:xfrm>
        <a:prstGeom prst="rect">
          <a:avLst/>
        </a:prstGeom>
      </xdr:spPr>
    </xdr:pic>
    <xdr:clientData/>
  </xdr:twoCellAnchor>
  <xdr:twoCellAnchor>
    <xdr:from>
      <xdr:col>1</xdr:col>
      <xdr:colOff>19050</xdr:colOff>
      <xdr:row>0</xdr:row>
      <xdr:rowOff>152400</xdr:rowOff>
    </xdr:from>
    <xdr:to>
      <xdr:col>2</xdr:col>
      <xdr:colOff>2562225</xdr:colOff>
      <xdr:row>1</xdr:row>
      <xdr:rowOff>263898</xdr:rowOff>
    </xdr:to>
    <xdr:sp macro="" textlink="">
      <xdr:nvSpPr>
        <xdr:cNvPr id="3" name="TextBox 2">
          <a:extLst>
            <a:ext uri="{FF2B5EF4-FFF2-40B4-BE49-F238E27FC236}">
              <a16:creationId xmlns:a16="http://schemas.microsoft.com/office/drawing/2014/main" id="{BF16A653-F030-4D33-AC87-B9F794C2FEFB}"/>
            </a:ext>
          </a:extLst>
        </xdr:cNvPr>
        <xdr:cNvSpPr txBox="1"/>
      </xdr:nvSpPr>
      <xdr:spPr>
        <a:xfrm>
          <a:off x="266700" y="152400"/>
          <a:ext cx="2724150" cy="4258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1539C"/>
              </a:solidFill>
              <a:latin typeface="Lao UI" panose="020B0502040204020203" pitchFamily="34" charset="0"/>
              <a:cs typeface="Lao UI" panose="020B0502040204020203" pitchFamily="34" charset="0"/>
            </a:rPr>
            <a:t>Digestion and Outputs</a:t>
          </a:r>
          <a:endParaRPr lang="en-US" sz="1100" b="1">
            <a:solidFill>
              <a:srgbClr val="01539C"/>
            </a:solidFill>
            <a:latin typeface="Lao UI" panose="020B0502040204020203" pitchFamily="34" charset="0"/>
            <a:cs typeface="Lao UI" panose="020B0502040204020203"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1981278</xdr:colOff>
      <xdr:row>3</xdr:row>
      <xdr:rowOff>266870</xdr:rowOff>
    </xdr:to>
    <xdr:pic>
      <xdr:nvPicPr>
        <xdr:cNvPr id="4" name="Picture 3">
          <a:extLst>
            <a:ext uri="{FF2B5EF4-FFF2-40B4-BE49-F238E27FC236}">
              <a16:creationId xmlns:a16="http://schemas.microsoft.com/office/drawing/2014/main" id="{00000000-0008-0000-0B00-000004000000}"/>
            </a:ext>
          </a:extLst>
        </xdr:cNvPr>
        <xdr:cNvPicPr>
          <a:picLocks noChangeAspect="1"/>
        </xdr:cNvPicPr>
      </xdr:nvPicPr>
      <xdr:blipFill rotWithShape="1">
        <a:blip xmlns:r="http://schemas.openxmlformats.org/officeDocument/2006/relationships" r:embed="rId1"/>
        <a:srcRect b="3183"/>
        <a:stretch/>
      </xdr:blipFill>
      <xdr:spPr>
        <a:xfrm>
          <a:off x="0" y="0"/>
          <a:ext cx="10010500" cy="1198203"/>
        </a:xfrm>
        <a:prstGeom prst="rect">
          <a:avLst/>
        </a:prstGeom>
      </xdr:spPr>
    </xdr:pic>
    <xdr:clientData/>
  </xdr:twoCellAnchor>
  <xdr:twoCellAnchor>
    <xdr:from>
      <xdr:col>0</xdr:col>
      <xdr:colOff>314325</xdr:colOff>
      <xdr:row>0</xdr:row>
      <xdr:rowOff>161925</xdr:rowOff>
    </xdr:from>
    <xdr:to>
      <xdr:col>2</xdr:col>
      <xdr:colOff>2115111</xdr:colOff>
      <xdr:row>1</xdr:row>
      <xdr:rowOff>273423</xdr:rowOff>
    </xdr:to>
    <xdr:sp macro="" textlink="">
      <xdr:nvSpPr>
        <xdr:cNvPr id="2" name="TextBox 1">
          <a:extLst>
            <a:ext uri="{FF2B5EF4-FFF2-40B4-BE49-F238E27FC236}">
              <a16:creationId xmlns:a16="http://schemas.microsoft.com/office/drawing/2014/main" id="{1C6C73D0-9369-42FE-AE25-C9283AFC57A1}"/>
            </a:ext>
          </a:extLst>
        </xdr:cNvPr>
        <xdr:cNvSpPr txBox="1"/>
      </xdr:nvSpPr>
      <xdr:spPr>
        <a:xfrm>
          <a:off x="314325" y="161925"/>
          <a:ext cx="2353236" cy="4258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1539C"/>
              </a:solidFill>
              <a:latin typeface="Lao UI" panose="020B0502040204020203" pitchFamily="34" charset="0"/>
              <a:cs typeface="Lao UI" panose="020B0502040204020203" pitchFamily="34" charset="0"/>
            </a:rPr>
            <a:t>Final Conversion</a:t>
          </a:r>
          <a:endParaRPr lang="en-US" sz="1100" b="1">
            <a:solidFill>
              <a:srgbClr val="01539C"/>
            </a:solidFill>
            <a:latin typeface="Lao UI" panose="020B0502040204020203" pitchFamily="34" charset="0"/>
            <a:cs typeface="Lao UI" panose="020B0502040204020203"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83333</xdr:colOff>
      <xdr:row>3</xdr:row>
      <xdr:rowOff>266870</xdr:rowOff>
    </xdr:to>
    <xdr:pic>
      <xdr:nvPicPr>
        <xdr:cNvPr id="4" name="Picture 3">
          <a:extLst>
            <a:ext uri="{FF2B5EF4-FFF2-40B4-BE49-F238E27FC236}">
              <a16:creationId xmlns:a16="http://schemas.microsoft.com/office/drawing/2014/main" id="{00000000-0008-0000-0C00-000004000000}"/>
            </a:ext>
          </a:extLst>
        </xdr:cNvPr>
        <xdr:cNvPicPr>
          <a:picLocks noChangeAspect="1"/>
        </xdr:cNvPicPr>
      </xdr:nvPicPr>
      <xdr:blipFill rotWithShape="1">
        <a:blip xmlns:r="http://schemas.openxmlformats.org/officeDocument/2006/relationships" r:embed="rId1"/>
        <a:srcRect b="3183"/>
        <a:stretch/>
      </xdr:blipFill>
      <xdr:spPr>
        <a:xfrm>
          <a:off x="0" y="0"/>
          <a:ext cx="10010500" cy="1198203"/>
        </a:xfrm>
        <a:prstGeom prst="rect">
          <a:avLst/>
        </a:prstGeom>
      </xdr:spPr>
    </xdr:pic>
    <xdr:clientData/>
  </xdr:twoCellAnchor>
  <xdr:twoCellAnchor>
    <xdr:from>
      <xdr:col>0</xdr:col>
      <xdr:colOff>304800</xdr:colOff>
      <xdr:row>0</xdr:row>
      <xdr:rowOff>152400</xdr:rowOff>
    </xdr:from>
    <xdr:to>
      <xdr:col>2</xdr:col>
      <xdr:colOff>2105586</xdr:colOff>
      <xdr:row>1</xdr:row>
      <xdr:rowOff>263898</xdr:rowOff>
    </xdr:to>
    <xdr:sp macro="" textlink="">
      <xdr:nvSpPr>
        <xdr:cNvPr id="2" name="TextBox 1">
          <a:extLst>
            <a:ext uri="{FF2B5EF4-FFF2-40B4-BE49-F238E27FC236}">
              <a16:creationId xmlns:a16="http://schemas.microsoft.com/office/drawing/2014/main" id="{C4E59F05-7D7F-4C4A-BB9E-67DC3C849E29}"/>
            </a:ext>
          </a:extLst>
        </xdr:cNvPr>
        <xdr:cNvSpPr txBox="1"/>
      </xdr:nvSpPr>
      <xdr:spPr>
        <a:xfrm>
          <a:off x="304800" y="152400"/>
          <a:ext cx="2353236" cy="4258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1539C"/>
              </a:solidFill>
              <a:latin typeface="Lao UI" panose="020B0502040204020203" pitchFamily="34" charset="0"/>
              <a:cs typeface="Lao UI" panose="020B0502040204020203" pitchFamily="34" charset="0"/>
            </a:rPr>
            <a:t>Carbon Capture</a:t>
          </a:r>
          <a:endParaRPr lang="en-US" sz="1100" b="1">
            <a:solidFill>
              <a:srgbClr val="01539C"/>
            </a:solidFill>
            <a:latin typeface="Lao UI" panose="020B0502040204020203" pitchFamily="34" charset="0"/>
            <a:cs typeface="Lao UI" panose="020B0502040204020203"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1666600</xdr:colOff>
      <xdr:row>3</xdr:row>
      <xdr:rowOff>255228</xdr:rowOff>
    </xdr:to>
    <xdr:pic>
      <xdr:nvPicPr>
        <xdr:cNvPr id="4" name="Picture 3">
          <a:extLst>
            <a:ext uri="{FF2B5EF4-FFF2-40B4-BE49-F238E27FC236}">
              <a16:creationId xmlns:a16="http://schemas.microsoft.com/office/drawing/2014/main" id="{00000000-0008-0000-0D00-000004000000}"/>
            </a:ext>
          </a:extLst>
        </xdr:cNvPr>
        <xdr:cNvPicPr>
          <a:picLocks noChangeAspect="1"/>
        </xdr:cNvPicPr>
      </xdr:nvPicPr>
      <xdr:blipFill rotWithShape="1">
        <a:blip xmlns:r="http://schemas.openxmlformats.org/officeDocument/2006/relationships" r:embed="rId1"/>
        <a:srcRect b="3183"/>
        <a:stretch/>
      </xdr:blipFill>
      <xdr:spPr>
        <a:xfrm>
          <a:off x="0" y="0"/>
          <a:ext cx="10010500" cy="1198203"/>
        </a:xfrm>
        <a:prstGeom prst="rect">
          <a:avLst/>
        </a:prstGeom>
      </xdr:spPr>
    </xdr:pic>
    <xdr:clientData/>
  </xdr:twoCellAnchor>
  <xdr:twoCellAnchor>
    <xdr:from>
      <xdr:col>0</xdr:col>
      <xdr:colOff>361950</xdr:colOff>
      <xdr:row>0</xdr:row>
      <xdr:rowOff>180975</xdr:rowOff>
    </xdr:from>
    <xdr:to>
      <xdr:col>2</xdr:col>
      <xdr:colOff>2686050</xdr:colOff>
      <xdr:row>1</xdr:row>
      <xdr:rowOff>292473</xdr:rowOff>
    </xdr:to>
    <xdr:sp macro="" textlink="">
      <xdr:nvSpPr>
        <xdr:cNvPr id="2" name="TextBox 1">
          <a:extLst>
            <a:ext uri="{FF2B5EF4-FFF2-40B4-BE49-F238E27FC236}">
              <a16:creationId xmlns:a16="http://schemas.microsoft.com/office/drawing/2014/main" id="{F8F00B97-DC5A-4321-9026-A3333B4DB631}"/>
            </a:ext>
          </a:extLst>
        </xdr:cNvPr>
        <xdr:cNvSpPr txBox="1"/>
      </xdr:nvSpPr>
      <xdr:spPr>
        <a:xfrm>
          <a:off x="361950" y="180975"/>
          <a:ext cx="2876550" cy="4258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1539C"/>
              </a:solidFill>
              <a:latin typeface="Lao UI" panose="020B0502040204020203" pitchFamily="34" charset="0"/>
              <a:cs typeface="Lao UI" panose="020B0502040204020203" pitchFamily="34" charset="0"/>
            </a:rPr>
            <a:t>Biomethane Transport</a:t>
          </a:r>
          <a:endParaRPr lang="en-US" sz="1100" b="1">
            <a:solidFill>
              <a:srgbClr val="01539C"/>
            </a:solidFill>
            <a:latin typeface="Lao UI" panose="020B0502040204020203" pitchFamily="34" charset="0"/>
            <a:cs typeface="Lao UI" panose="020B0502040204020203"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3279500</xdr:colOff>
      <xdr:row>3</xdr:row>
      <xdr:rowOff>245703</xdr:rowOff>
    </xdr:to>
    <xdr:pic>
      <xdr:nvPicPr>
        <xdr:cNvPr id="4" name="Picture 3">
          <a:extLst>
            <a:ext uri="{FF2B5EF4-FFF2-40B4-BE49-F238E27FC236}">
              <a16:creationId xmlns:a16="http://schemas.microsoft.com/office/drawing/2014/main" id="{00000000-0008-0000-0E00-000004000000}"/>
            </a:ext>
          </a:extLst>
        </xdr:cNvPr>
        <xdr:cNvPicPr>
          <a:picLocks noChangeAspect="1"/>
        </xdr:cNvPicPr>
      </xdr:nvPicPr>
      <xdr:blipFill rotWithShape="1">
        <a:blip xmlns:r="http://schemas.openxmlformats.org/officeDocument/2006/relationships" r:embed="rId1"/>
        <a:srcRect b="3183"/>
        <a:stretch/>
      </xdr:blipFill>
      <xdr:spPr>
        <a:xfrm>
          <a:off x="0" y="0"/>
          <a:ext cx="10010500" cy="1198203"/>
        </a:xfrm>
        <a:prstGeom prst="rect">
          <a:avLst/>
        </a:prstGeom>
      </xdr:spPr>
    </xdr:pic>
    <xdr:clientData/>
  </xdr:twoCellAnchor>
  <xdr:twoCellAnchor>
    <xdr:from>
      <xdr:col>0</xdr:col>
      <xdr:colOff>228600</xdr:colOff>
      <xdr:row>0</xdr:row>
      <xdr:rowOff>161925</xdr:rowOff>
    </xdr:from>
    <xdr:to>
      <xdr:col>2</xdr:col>
      <xdr:colOff>2162736</xdr:colOff>
      <xdr:row>1</xdr:row>
      <xdr:rowOff>273423</xdr:rowOff>
    </xdr:to>
    <xdr:sp macro="" textlink="">
      <xdr:nvSpPr>
        <xdr:cNvPr id="2" name="TextBox 1">
          <a:extLst>
            <a:ext uri="{FF2B5EF4-FFF2-40B4-BE49-F238E27FC236}">
              <a16:creationId xmlns:a16="http://schemas.microsoft.com/office/drawing/2014/main" id="{430D0B6A-5FFB-4615-A039-E62754F8C535}"/>
            </a:ext>
          </a:extLst>
        </xdr:cNvPr>
        <xdr:cNvSpPr txBox="1"/>
      </xdr:nvSpPr>
      <xdr:spPr>
        <a:xfrm>
          <a:off x="228600" y="161925"/>
          <a:ext cx="2353236" cy="4258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1539C"/>
              </a:solidFill>
              <a:latin typeface="Lao UI" panose="020B0502040204020203" pitchFamily="34" charset="0"/>
              <a:cs typeface="Lao UI" panose="020B0502040204020203" pitchFamily="34" charset="0"/>
            </a:rPr>
            <a:t>Reference Values</a:t>
          </a:r>
          <a:endParaRPr lang="en-US" sz="1100" b="1">
            <a:solidFill>
              <a:srgbClr val="01539C"/>
            </a:solidFill>
            <a:latin typeface="Lao UI" panose="020B0502040204020203" pitchFamily="34" charset="0"/>
            <a:cs typeface="Lao UI" panose="020B0502040204020203"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1538853</xdr:colOff>
      <xdr:row>3</xdr:row>
      <xdr:rowOff>256909</xdr:rowOff>
    </xdr:to>
    <xdr:pic>
      <xdr:nvPicPr>
        <xdr:cNvPr id="3" name="Picture 2">
          <a:extLst>
            <a:ext uri="{FF2B5EF4-FFF2-40B4-BE49-F238E27FC236}">
              <a16:creationId xmlns:a16="http://schemas.microsoft.com/office/drawing/2014/main" id="{00000000-0008-0000-0F00-000003000000}"/>
            </a:ext>
          </a:extLst>
        </xdr:cNvPr>
        <xdr:cNvPicPr>
          <a:picLocks noChangeAspect="1"/>
        </xdr:cNvPicPr>
      </xdr:nvPicPr>
      <xdr:blipFill rotWithShape="1">
        <a:blip xmlns:r="http://schemas.openxmlformats.org/officeDocument/2006/relationships" r:embed="rId1"/>
        <a:srcRect b="3183"/>
        <a:stretch/>
      </xdr:blipFill>
      <xdr:spPr>
        <a:xfrm>
          <a:off x="0" y="0"/>
          <a:ext cx="10010500" cy="1198203"/>
        </a:xfrm>
        <a:prstGeom prst="rect">
          <a:avLst/>
        </a:prstGeom>
      </xdr:spPr>
    </xdr:pic>
    <xdr:clientData/>
  </xdr:twoCellAnchor>
  <xdr:twoCellAnchor>
    <xdr:from>
      <xdr:col>1</xdr:col>
      <xdr:colOff>9525</xdr:colOff>
      <xdr:row>0</xdr:row>
      <xdr:rowOff>161925</xdr:rowOff>
    </xdr:from>
    <xdr:to>
      <xdr:col>2</xdr:col>
      <xdr:colOff>561</xdr:colOff>
      <xdr:row>1</xdr:row>
      <xdr:rowOff>273423</xdr:rowOff>
    </xdr:to>
    <xdr:sp macro="" textlink="">
      <xdr:nvSpPr>
        <xdr:cNvPr id="2" name="TextBox 1">
          <a:extLst>
            <a:ext uri="{FF2B5EF4-FFF2-40B4-BE49-F238E27FC236}">
              <a16:creationId xmlns:a16="http://schemas.microsoft.com/office/drawing/2014/main" id="{473D7FF0-AF6A-43F0-8A5E-5DAE93F96A2D}"/>
            </a:ext>
          </a:extLst>
        </xdr:cNvPr>
        <xdr:cNvSpPr txBox="1"/>
      </xdr:nvSpPr>
      <xdr:spPr>
        <a:xfrm>
          <a:off x="200025" y="161925"/>
          <a:ext cx="2353236" cy="4258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1539C"/>
              </a:solidFill>
              <a:latin typeface="Lao UI" panose="020B0502040204020203" pitchFamily="34" charset="0"/>
              <a:cs typeface="Lao UI" panose="020B0502040204020203" pitchFamily="34" charset="0"/>
            </a:rPr>
            <a:t>Notes</a:t>
          </a:r>
          <a:endParaRPr lang="en-US" sz="1100" b="1">
            <a:solidFill>
              <a:srgbClr val="01539C"/>
            </a:solidFill>
            <a:latin typeface="Lao UI" panose="020B0502040204020203" pitchFamily="34" charset="0"/>
            <a:cs typeface="Lao UI" panose="020B0502040204020203" pitchFamily="34"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01000000}" name="Final_emissions_crops" displayName="Final_emissions_crops" ref="S31:T41" totalsRowShown="0" headerRowDxfId="3721" dataDxfId="3720" tableBorderDxfId="3719">
  <tableColumns count="2">
    <tableColumn id="5" xr3:uid="{00000000-0010-0000-0100-000005000000}" name="Consignment" dataDxfId="3718">
      <calculatedColumnFormula>Summary!$B41</calculatedColumnFormula>
    </tableColumn>
    <tableColumn id="1" xr3:uid="{00000000-0010-0000-0100-000001000000}" name="Biomethane Injection (gCO2eq/MJbiomethane)" dataDxfId="3717">
      <calculatedColumnFormula>IFERROR(IF('Digestion &amp; outputs'!$E$106=0," ",IF(Feedstocks!D11&gt;0,L32, ""))," ")</calculatedColumnFormula>
    </tableColumn>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C981514D-F190-40AC-A598-1213D08A10B2}" name="Final_emissions_waste" displayName="Final_emissions_waste" ref="S64:T89" totalsRowShown="0" headerRowDxfId="3716" dataDxfId="3715" tableBorderDxfId="3714">
  <tableColumns count="2">
    <tableColumn id="5" xr3:uid="{87DA5575-B699-496A-B6C7-EF65C75E46ED}" name="Consignment" dataDxfId="3713">
      <calculatedColumnFormula>IF(Feedstocks!#REF!&gt;0,Feedstocks!C42,"")</calculatedColumnFormula>
    </tableColumn>
    <tableColumn id="1" xr3:uid="{4406BC6D-36A6-49D2-AC21-8A7D2F46C6CE}" name="Biomethane Injection (gCO2eq/MJbiomethane)" dataDxfId="3712">
      <calculatedColumnFormula>IFERROR(IF('Digestion &amp; outputs'!$E$106=0," ",IF(Feedstocks!D42&gt;0,L65, ""))," ")</calculatedColumnFormula>
    </tableColumn>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BCA142A-DB4D-4804-BBD7-D1F6FC746CC0}" name="Biogas_produced" displayName="Biogas_produced" ref="N21:Q25" totalsRowShown="0" headerRowDxfId="3711" dataDxfId="3710" tableBorderDxfId="3709">
  <autoFilter ref="N21:Q25" xr:uid="{38AF5051-86BC-486E-8704-E5FC05E03292}">
    <filterColumn colId="0" hiddenButton="1"/>
    <filterColumn colId="1" hiddenButton="1"/>
    <filterColumn colId="2" hiddenButton="1"/>
    <filterColumn colId="3" hiddenButton="1"/>
  </autoFilter>
  <tableColumns count="4">
    <tableColumn id="1" xr3:uid="{888750B0-7C20-4E34-95C9-83A90978AD46}" name="Feedstock" dataDxfId="3708">
      <calculatedColumnFormula>#REF!</calculatedColumnFormula>
    </tableColumn>
    <tableColumn id="2" xr3:uid="{53DB75C5-6BA6-45EF-92CA-B3E91DBA00AB}" name="Apportioned biogas (m3)" dataDxfId="3707">
      <calculatedColumnFormula>SUM(O64:O73)</calculatedColumnFormula>
    </tableColumn>
    <tableColumn id="3" xr3:uid="{B6545FBC-9C82-4C25-9D13-19AD0E12BBAD}" name="Biogas as a % incl. ineligible" dataDxfId="3706"/>
    <tableColumn id="4" xr3:uid="{20FF40D6-678A-48DC-A115-4B5AF0BCFD04}" name="Biogas as a % excl. ineligible" dataDxfId="3705">
      <calculatedColumnFormula>ROUND(Biogas_produced[[#This Row],[Apportioned biogas (m3)]]/('Digestion &amp; outputs'!$D$11/'Reference values'!$D$42),4)</calculatedColumnFormula>
    </tableColumn>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1C1673D7-0531-4393-9975-747C8979A04A}" name="Biogas_produced_products" displayName="Biogas_produced_products" ref="N31:Q41" totalsRowShown="0" headerRowDxfId="3704" tableBorderDxfId="3703">
  <autoFilter ref="N31:Q41" xr:uid="{DF0EA8BC-01E9-43B0-8807-7C5C5F6135F3}">
    <filterColumn colId="0" hiddenButton="1"/>
    <filterColumn colId="1" hiddenButton="1"/>
    <filterColumn colId="2" hiddenButton="1"/>
    <filterColumn colId="3" hiddenButton="1"/>
  </autoFilter>
  <tableColumns count="4">
    <tableColumn id="1" xr3:uid="{746CA50A-0B1B-4A8A-B0B1-B90E4ACF5268}" name="Consignment" dataDxfId="3702">
      <calculatedColumnFormula>Summary!#REF!</calculatedColumnFormula>
    </tableColumn>
    <tableColumn id="2" xr3:uid="{7C6FFCA6-6ECB-45E7-B00C-B21DF76BA56D}" name="Apportioned biogas (m3)" dataDxfId="3701">
      <calculatedColumnFormula>IFERROR(('Digestion &amp; outputs'!G16*'Digestion &amp; outputs'!D16)/'Reference values'!$D$42, "")</calculatedColumnFormula>
    </tableColumn>
    <tableColumn id="3" xr3:uid="{2B768255-31A9-44A6-8CED-1A7B72301328}" name="Biogas as a % incl. ineligible" dataDxfId="3700">
      <calculatedColumnFormula>IFERROR(Biogas_produced_products[[#This Row],[Apportioned biogas (m3)]]/('Digestion &amp; outputs'!$D$11/'Reference values'!$D$42), "")</calculatedColumnFormula>
    </tableColumn>
    <tableColumn id="4" xr3:uid="{2DA669A2-6268-49DA-B80A-237F6059F2E0}" name="Biogas as a % excl. ineligible" dataDxfId="3699">
      <calculatedColumnFormula>IFERROR(Biogas_produced_products[[#This Row],[Apportioned biogas (m3)]]/SUM($O$22:$O$24), "")</calculatedColumnFormula>
    </tableColumn>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525AFA72-A7DF-4860-BA4C-F447230D30DD}" name="Biogas_produced_waste" displayName="Biogas_produced_waste" ref="N64:Q89" totalsRowShown="0" headerRowDxfId="3698" dataDxfId="3697" tableBorderDxfId="3696">
  <autoFilter ref="N64:Q89" xr:uid="{62F6BD58-513A-45F8-973D-F0F5CA3244CA}">
    <filterColumn colId="0" hiddenButton="1"/>
    <filterColumn colId="1" hiddenButton="1"/>
    <filterColumn colId="2" hiddenButton="1"/>
    <filterColumn colId="3" hiddenButton="1"/>
  </autoFilter>
  <tableColumns count="4">
    <tableColumn id="1" xr3:uid="{66329A56-F2FD-4CD2-A452-BFB03A9C4372}" name="Consignment" dataDxfId="3695">
      <calculatedColumnFormula>Summary!#REF!</calculatedColumnFormula>
    </tableColumn>
    <tableColumn id="2" xr3:uid="{61086317-46A3-4539-B82F-A5CE274AF355}" name="Apportioned biogas (m3)" dataDxfId="3694">
      <calculatedColumnFormula>IFERROR(('Digestion &amp; outputs'!G43*'Digestion &amp; outputs'!D43)/'Reference values'!$D$42, "")</calculatedColumnFormula>
    </tableColumn>
    <tableColumn id="3" xr3:uid="{7E47505E-616D-48C2-A3E9-99FAEA650C2D}" name="Biogas as a % incl. ineligible" dataDxfId="3693">
      <calculatedColumnFormula>IFERROR(Biogas_produced_waste[[#This Row],[Apportioned biogas (m3)]]/('Digestion &amp; outputs'!$D$11/'Reference values'!$D$42), "")</calculatedColumnFormula>
    </tableColumn>
    <tableColumn id="4" xr3:uid="{90DEA8C1-E5AE-46C1-BCC5-E872DA00015E}" name="Biogas as a % excl. ineligible" dataDxfId="3692">
      <calculatedColumnFormula>IFERROR(Biogas_produced_waste[[#This Row],[Apportioned biogas (m3)]]/(SUM($O$22:$O$24)), "")</calculatedColumnFormula>
    </tableColumn>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C8269509-48B7-44DF-9D8A-7093DB8BC3AF}" name="Final_emissions_residues" displayName="Final_emissions_residues" ref="S45:T60" totalsRowShown="0" headerRowDxfId="3691" dataDxfId="3690" tableBorderDxfId="3689">
  <tableColumns count="2">
    <tableColumn id="5" xr3:uid="{43226CD3-371B-41F3-85D4-51EA3E2F65F2}" name="Consignment" dataDxfId="3688">
      <calculatedColumnFormula>Summary!$B55</calculatedColumnFormula>
    </tableColumn>
    <tableColumn id="1" xr3:uid="{4EF3F429-96B2-42EE-8CBD-5A701D863916}" name="Biomethane Injection (gCO2eq/MJbiomethane)" dataDxfId="3687">
      <calculatedColumnFormula>IFERROR(IF('Digestion &amp; outputs'!$E$106=0," ",IF(Feedstocks!D24&gt;0,L46, ""))," ")</calculatedColumnFormula>
    </tableColumn>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3056B9E1-B331-490B-B7E7-084C2CDFD0F7}" name="Biogas_produced_residues" displayName="Biogas_produced_residues" ref="N45:Q60" totalsRowShown="0" headerRowDxfId="3686" dataDxfId="3685" tableBorderDxfId="3684">
  <autoFilter ref="N45:Q60" xr:uid="{2F6B7124-3380-47E7-9413-778159D23CCD}">
    <filterColumn colId="0" hiddenButton="1"/>
    <filterColumn colId="1" hiddenButton="1"/>
    <filterColumn colId="2" hiddenButton="1"/>
    <filterColumn colId="3" hiddenButton="1"/>
  </autoFilter>
  <tableColumns count="4">
    <tableColumn id="1" xr3:uid="{30C2953F-ACC7-4C2C-A46C-457D3733FDEA}" name="Consignment" dataDxfId="3683">
      <calculatedColumnFormula>Summary!#REF!</calculatedColumnFormula>
    </tableColumn>
    <tableColumn id="2" xr3:uid="{9A583424-E873-473A-8CBE-1672E656F59B}" name="Apportioned biogas (m3)" dataDxfId="3682">
      <calculatedColumnFormula>IFERROR(('Digestion &amp; outputs'!G27*'Digestion &amp; outputs'!D27)/'Reference values'!$D$42, "")</calculatedColumnFormula>
    </tableColumn>
    <tableColumn id="3" xr3:uid="{229CC8E0-1122-4673-A965-3A0997331305}" name="Biogas as a % incl. ineligible" dataDxfId="3681">
      <calculatedColumnFormula>IFERROR(Biogas_produced_residues[[#This Row],[Apportioned biogas (m3)]]/('Digestion &amp; outputs'!$D$11/'Reference values'!$D$42), "")</calculatedColumnFormula>
    </tableColumn>
    <tableColumn id="4" xr3:uid="{4DFCA272-EAB5-4F5D-BBE4-19AAFF5465EC}" name="Biogas as a % excl. ineligible" dataDxfId="3680">
      <calculatedColumnFormula>IFERROR(Biogas_produced_residues[[#This Row],[Apportioned biogas (m3)]]/(SUM($O$22:$O$24)), "")</calculatedColumnFormula>
    </tableColumn>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E4DF5E82-F5CF-4992-AAA8-0529BA4BC620}" name="Final_emissions_manures" displayName="Final_emissions_manures" ref="S93:T98" totalsRowShown="0" headerRowDxfId="3679" tableBorderDxfId="3678">
  <autoFilter ref="S93:T98" xr:uid="{E4DF5E82-F5CF-4992-AAA8-0529BA4BC620}">
    <filterColumn colId="0" hiddenButton="1"/>
    <filterColumn colId="1" hiddenButton="1"/>
  </autoFilter>
  <tableColumns count="2">
    <tableColumn id="1" xr3:uid="{FF976A79-9172-4A18-AD8C-405F8D4A8BBC}" name="Consignment" dataDxfId="3677">
      <calculatedColumnFormula>IF(Feedstocks!D70&gt;0,Feedstocks!C70,"")</calculatedColumnFormula>
    </tableColumn>
    <tableColumn id="2" xr3:uid="{0EB1EA0A-BEA3-4070-98FC-330FB794AA62}" name="Biomethane Injection (gCO2eq/MJbiomethane)" dataDxfId="3676">
      <calculatedColumnFormula>IFERROR(IF('Digestion &amp; outputs'!$E$106=0," ",IF(Feedstocks!D70&gt;0,L94, ""))," ")</calculatedColumnFormula>
    </tableColumn>
  </tableColumns>
  <tableStyleInfo name="Table Style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855026C0-F161-4A7A-AE3F-B46639BB74B6}" name="Biogas_produced_manures" displayName="Biogas_produced_manures" ref="N93:Q98" totalsRowShown="0" headerRowDxfId="3675" headerRowBorderDxfId="3674" tableBorderDxfId="3673" totalsRowBorderDxfId="3672">
  <autoFilter ref="N93:Q98" xr:uid="{855026C0-F161-4A7A-AE3F-B46639BB74B6}">
    <filterColumn colId="0" hiddenButton="1"/>
    <filterColumn colId="1" hiddenButton="1"/>
    <filterColumn colId="2" hiddenButton="1"/>
    <filterColumn colId="3" hiddenButton="1"/>
  </autoFilter>
  <tableColumns count="4">
    <tableColumn id="1" xr3:uid="{95FA242F-09F7-44F6-A612-DB15B579ADDD}" name="Consignment" dataDxfId="3671">
      <calculatedColumnFormula>B94</calculatedColumnFormula>
    </tableColumn>
    <tableColumn id="2" xr3:uid="{850A1FBD-23F4-4613-84F9-1B96D7400738}" name="Apportioned biogas (m3)" dataDxfId="3670">
      <calculatedColumnFormula>IFERROR(('Digestion &amp; outputs'!G69*'Digestion &amp; outputs'!D69)/'Reference values'!$D$42, "")</calculatedColumnFormula>
    </tableColumn>
    <tableColumn id="3" xr3:uid="{80CDBF99-D3CB-400A-AF18-610B6A998E5B}" name="Biogas as a % incl. ineligible" dataDxfId="3669">
      <calculatedColumnFormula>IFERROR(Biogas_produced_manures[[#This Row],[Apportioned biogas (m3)]]/('Digestion &amp; outputs'!$D$11/'Reference values'!$D$42), "")</calculatedColumnFormula>
    </tableColumn>
    <tableColumn id="4" xr3:uid="{E6EC7F1D-E3D9-4230-9623-2DE54412F15F}" name="Biogas as a % excl. ineligible" dataDxfId="3668">
      <calculatedColumnFormula>IFERROR(Biogas_produced_manures[[#This Row],[Apportioned biogas (m3)]]/(SUM($O$22:$O$24)), "")</calculatedColumnFormula>
    </tableColumn>
  </tableColumns>
  <tableStyleInfo name="Table Style 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FF64B216-F2D6-4AE7-9066-BC20919081B7}" name="Biogas_produced_ineligible" displayName="Biogas_produced_ineligible" ref="N102:Q107" totalsRowShown="0" headerRowDxfId="3667" headerRowBorderDxfId="3666" tableBorderDxfId="3665" totalsRowBorderDxfId="3664">
  <autoFilter ref="N102:Q107" xr:uid="{FF64B216-F2D6-4AE7-9066-BC20919081B7}">
    <filterColumn colId="0" hiddenButton="1"/>
    <filterColumn colId="1" hiddenButton="1"/>
    <filterColumn colId="2" hiddenButton="1"/>
    <filterColumn colId="3" hiddenButton="1"/>
  </autoFilter>
  <tableColumns count="4">
    <tableColumn id="1" xr3:uid="{7449CA6E-1C94-4B27-B55A-7808B9ED9B37}" name="Consignment" dataDxfId="3663">
      <calculatedColumnFormula>B103</calculatedColumnFormula>
    </tableColumn>
    <tableColumn id="2" xr3:uid="{23440DF0-9CED-4B81-BECB-D7015D9C0AF5}" name="Apportioned biogas (m3)" dataDxfId="3662">
      <calculatedColumnFormula>IFERROR(('Digestion &amp; outputs'!G75*'Digestion &amp; outputs'!D75)/'Reference values'!$D$42, "")</calculatedColumnFormula>
    </tableColumn>
    <tableColumn id="3" xr3:uid="{13323804-F1FD-4C88-B27F-470D09A0B6AE}" name="Biogas as a % incl. ineligible" dataDxfId="3661">
      <calculatedColumnFormula>IFERROR(O103/('Digestion &amp; outputs'!$D$11/'Reference values'!$D$42), "")</calculatedColumnFormula>
    </tableColumn>
    <tableColumn id="4" xr3:uid="{5B83FC20-4866-45F9-92C2-B566EBA8E43B}" name="Biogas as a % excl. ineligible" dataDxfId="3660">
      <calculatedColumnFormula>IF(Feedstocks!D78&gt;0, 0, "")</calculatedColumnFormula>
    </tableColumn>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993EE162-327C-4AE6-88A5-1ADD6DC368CB}" name="Weighted_emissions_products" displayName="Weighted_emissions_products" ref="V31:W41" totalsRowShown="0" headerRowDxfId="3659" headerRowBorderDxfId="3658" tableBorderDxfId="3657" totalsRowBorderDxfId="3656">
  <autoFilter ref="V31:W41" xr:uid="{993EE162-327C-4AE6-88A5-1ADD6DC368CB}">
    <filterColumn colId="0" hiddenButton="1"/>
    <filterColumn colId="1" hiddenButton="1"/>
  </autoFilter>
  <tableColumns count="2">
    <tableColumn id="1" xr3:uid="{81A5E2B1-A441-4BD4-B147-9B2C870A94EB}" name="Consignment" dataDxfId="3655">
      <calculatedColumnFormula>Summary!$B41</calculatedColumnFormula>
    </tableColumn>
    <tableColumn id="2" xr3:uid="{0F51DC18-14D0-4058-A3E4-507F748E3809}" name="Weighted emission" dataDxfId="3654">
      <calculatedColumnFormula>IF(Feedstocks!D11&gt;0, Final_emissions_crops[[#This Row],[Biomethane Injection (gCO2eq/MJbiomethane)]]*Biogas_produced_products[[#This Row],[Biogas as a % incl. ineligible]], "")</calculatedColumnFormula>
    </tableColumn>
  </tableColumns>
  <tableStyleInfo name="Table Style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17942783-3B39-4AEA-BA18-30258A8AC334}" name="Weighted_emissions_residues" displayName="Weighted_emissions_residues" ref="V45:W60" totalsRowShown="0" headerRowDxfId="3653" headerRowBorderDxfId="3652" tableBorderDxfId="3651" totalsRowBorderDxfId="3650">
  <autoFilter ref="V45:W60" xr:uid="{17942783-3B39-4AEA-BA18-30258A8AC334}">
    <filterColumn colId="0" hiddenButton="1"/>
    <filterColumn colId="1" hiddenButton="1"/>
  </autoFilter>
  <tableColumns count="2">
    <tableColumn id="1" xr3:uid="{F964C96C-F181-4973-9C36-AE48576056ED}" name="Consignment" dataDxfId="3649">
      <calculatedColumnFormula>Summary!$B55</calculatedColumnFormula>
    </tableColumn>
    <tableColumn id="2" xr3:uid="{A8AFF718-2A6B-4028-8483-ED539BCECFFD}" name="Weighted emission" dataDxfId="3648" dataCellStyle="Comma">
      <calculatedColumnFormula>IF(Feedstocks!D24&gt;0,Final_emissions_residues[[#This Row],[Biomethane Injection (gCO2eq/MJbiomethane)]]*Biogas_produced_residues[[#This Row],[Biogas as a % incl. ineligible]], "")</calculatedColumnFormula>
    </tableColumn>
  </tableColumns>
  <tableStyleInfo name="Table Style 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FEF908E-8383-4B73-B71B-6EC96FE12455}" name="Weighted_emissions_waste" displayName="Weighted_emissions_waste" ref="V64:W89" totalsRowShown="0" headerRowDxfId="3647" headerRowBorderDxfId="3646" tableBorderDxfId="3645" totalsRowBorderDxfId="3644">
  <autoFilter ref="V64:W89" xr:uid="{0FEF908E-8383-4B73-B71B-6EC96FE12455}">
    <filterColumn colId="0" hiddenButton="1"/>
    <filterColumn colId="1" hiddenButton="1"/>
  </autoFilter>
  <tableColumns count="2">
    <tableColumn id="1" xr3:uid="{FB65333A-34FC-4DA4-83A5-F7F2E1CC31C4}" name="Consignment" dataDxfId="3643">
      <calculatedColumnFormula>Summary!$B71</calculatedColumnFormula>
    </tableColumn>
    <tableColumn id="2" xr3:uid="{49DFD980-F29A-4280-A616-A8F62A72B84E}" name="Weighted emission" dataDxfId="3642" dataCellStyle="Comma">
      <calculatedColumnFormula>IF(Feedstocks!D42&gt;0, Final_emissions_waste[[#This Row],[Biomethane Injection (gCO2eq/MJbiomethane)]]*Biogas_produced_waste[[#This Row],[Biogas as a % incl. ineligible]], "")</calculatedColumnFormula>
    </tableColumn>
  </tableColumns>
  <tableStyleInfo name="Table Style 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8AD7F625-208C-4A85-8066-A7A9E0187055}" name="Weighted_emissions_manures" displayName="Weighted_emissions_manures" ref="V93:W98" totalsRowShown="0" headerRowDxfId="3641" headerRowBorderDxfId="3640" tableBorderDxfId="3639" totalsRowBorderDxfId="3638">
  <autoFilter ref="V93:W98" xr:uid="{8AD7F625-208C-4A85-8066-A7A9E0187055}">
    <filterColumn colId="0" hiddenButton="1"/>
    <filterColumn colId="1" hiddenButton="1"/>
  </autoFilter>
  <tableColumns count="2">
    <tableColumn id="1" xr3:uid="{16DCC34C-FD13-42CC-8834-B01B21728143}" name="Consignment" dataDxfId="3637">
      <calculatedColumnFormula>Summary!$B96</calculatedColumnFormula>
    </tableColumn>
    <tableColumn id="2" xr3:uid="{6B003CFF-6F08-4D32-8C77-40FDCA26BD98}" name="Weighted emission" dataDxfId="3636" dataCellStyle="Comma">
      <calculatedColumnFormula>IF(Feedstocks!D70&gt;1, Summary!T94*Summary!P94, "")</calculatedColumnFormula>
    </tableColumn>
  </tableColumns>
  <tableStyleInfo name="Table Style 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1661A10F-C978-4E4B-A3D7-2ACC32B7050C}" name="Weighted_emissions_ineligible" displayName="Weighted_emissions_ineligible" ref="V102:W107" totalsRowShown="0" headerRowDxfId="3635" headerRowBorderDxfId="3634" tableBorderDxfId="3633" totalsRowBorderDxfId="3632">
  <autoFilter ref="V102:W107" xr:uid="{1661A10F-C978-4E4B-A3D7-2ACC32B7050C}">
    <filterColumn colId="0" hiddenButton="1"/>
    <filterColumn colId="1" hiddenButton="1"/>
  </autoFilter>
  <tableColumns count="2">
    <tableColumn id="1" xr3:uid="{B9F66C61-6221-4E50-8BBA-1C7B767B5661}" name="Consignment" dataDxfId="3631">
      <calculatedColumnFormula>Summary!$B105</calculatedColumnFormula>
    </tableColumn>
    <tableColumn id="2" xr3:uid="{60F04A86-7B35-4BB4-9AFF-C89ECD8123D5}" name="Weighted emission" dataDxfId="3630" dataCellStyle="Comma">
      <calculatedColumnFormula>IF(Feedstocks!D78&gt;1, "NA", "")</calculatedColumnFormula>
    </tableColumn>
  </tableColumns>
  <tableStyleInfo name="Table Style 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C79F2927-A29B-4758-841A-F71A6EB200E0}" name="Final_emissions_ineligible" displayName="Final_emissions_ineligible" ref="S102:T107" totalsRowShown="0" headerRowDxfId="3629" tableBorderDxfId="3628">
  <autoFilter ref="S102:T107" xr:uid="{C79F2927-A29B-4758-841A-F71A6EB200E0}">
    <filterColumn colId="0" hiddenButton="1"/>
    <filterColumn colId="1" hiddenButton="1"/>
  </autoFilter>
  <tableColumns count="2">
    <tableColumn id="1" xr3:uid="{9D9F0B3D-0F76-4B17-BE7D-5276C1E3AD25}" name="Consignment" dataDxfId="3627">
      <calculatedColumnFormula>IF(Feedstocks!D78&gt;0,Feedstocks!C78,"")</calculatedColumnFormula>
    </tableColumn>
    <tableColumn id="2" xr3:uid="{C2AD1061-5034-468A-B00F-4126FC7BBA51}" name="Biomethane Injection (gCO2eq/MJbiomethane)" dataDxfId="3626">
      <calculatedColumnFormula>IF(Feedstocks!D78&gt;0, "NA", "")</calculatedColumnFormula>
    </tableColumn>
  </tableColumns>
  <tableStyleInfo name="Table Style 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8341FB88-0BF1-4AE6-A017-F94F03939633}" name="Pathway_emissions_products" displayName="Pathway_emissions_products" ref="B31:L41" totalsRowShown="0" dataDxfId="3625" tableBorderDxfId="3624">
  <tableColumns count="11">
    <tableColumn id="1" xr3:uid="{4B197D06-9F7B-459D-B7FA-81111DC75457}" name="Consignment" dataDxfId="3623">
      <calculatedColumnFormula>IF(Feedstocks!D11&gt;0,Feedstocks!C11,"")</calculatedColumnFormula>
    </tableColumn>
    <tableColumn id="2" xr3:uid="{FA6E1954-B091-4469-B257-045A90CF2E30}" name="eec" dataDxfId="3622"/>
    <tableColumn id="3" xr3:uid="{34391D54-AE1E-4A1E-82AF-6D9E722ED25A}" name="etd,feedstock" dataDxfId="3621"/>
    <tableColumn id="4" xr3:uid="{38699A78-0ABB-4E8C-8EC9-DB65076F3441}" name="el" dataDxfId="3620">
      <calculatedColumnFormula>IFERROR('Land-use change'!M12/'Digestion &amp; outputs'!$K$104, "")</calculatedColumnFormula>
    </tableColumn>
    <tableColumn id="5" xr3:uid="{F9031FC3-94D2-4C5C-AE54-553FC99A4A48}" name="esca" dataDxfId="3619">
      <calculatedColumnFormula>IFERROR('Soil carbon'!M12/'Digestion &amp; outputs'!$K$104,"")</calculatedColumnFormula>
    </tableColumn>
    <tableColumn id="6" xr3:uid="{5275A17C-4203-45EF-8D24-075ED1977EE9}" name="ep" dataDxfId="3618">
      <calculatedColumnFormula>IF(Feedstocks!D11&gt;0,('Digestion &amp; outputs'!$K$16 + 'Final conversion'!$J$12)/'Digestion &amp; outputs'!$K$104,"")</calculatedColumnFormula>
    </tableColumn>
    <tableColumn id="7" xr3:uid="{AE435752-44D4-4638-9EEF-582148C1F2A9}" name="etd,product" dataDxfId="3617">
      <calculatedColumnFormula>IFERROR(IF(Feedstocks!D11&gt;0,0,""),"")</calculatedColumnFormula>
    </tableColumn>
    <tableColumn id="8" xr3:uid="{480B1C4C-50ED-4C3C-AC01-02ABC9DA521F}" name="eu" dataDxfId="3616">
      <calculatedColumnFormula>IF(Feedstocks!D11&gt;0,'Biomethane transport'!$J$12,"")</calculatedColumnFormula>
    </tableColumn>
    <tableColumn id="9" xr3:uid="{D8A18BD0-23D8-4122-ACC2-85698D9D84E9}" name="eccs" dataDxfId="3615">
      <calculatedColumnFormula>IF(Feedstocks!D11&gt;0, 'Carbon capture'!$J$12, "")</calculatedColumnFormula>
    </tableColumn>
    <tableColumn id="10" xr3:uid="{28B35E91-09FE-4811-9D51-221256F118CE}" name="eccr" dataDxfId="3614">
      <calculatedColumnFormula>IF(Feedstocks!D11&gt;0, 'Carbon capture'!$J$27, "")</calculatedColumnFormula>
    </tableColumn>
    <tableColumn id="11" xr3:uid="{981621D2-8D27-403F-BEB3-FD0DAC382AFC}" name="Total" dataDxfId="3613">
      <calculatedColumnFormula>IF(Feedstocks!E11&gt;0,(Pathway_emissions_products[[#This Row],[eec]]+Pathway_emissions_products[[#This Row],[etd,feedstock]]+Pathway_emissions_products[[#This Row],[el]]-Pathway_emissions_products[[#This Row],[esca]]+Pathway_emissions_products[[#This Row],[ep]]+Pathway_emissions_products[[#This Row],[etd,product]]+Pathway_emissions_products[[#This Row],[eu]]-Pathway_emissions_products[[#This Row],[eccs]]-Pathway_emissions_products[[#This Row],[eccr]]),"")</calculatedColumnFormula>
    </tableColumn>
  </tableColumns>
  <tableStyleInfo name="Table Style 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740A3ACB-AF3B-45E9-B5D2-3E3A75FA416B}" name="Pathway_emissions_residues" displayName="Pathway_emissions_residues" ref="B45:L60" totalsRowShown="0" dataDxfId="3612" tableBorderDxfId="3611">
  <tableColumns count="11">
    <tableColumn id="1" xr3:uid="{24B2E947-DFE7-4719-9DEA-B67C084BE4CF}" name="Consignment" dataDxfId="3610">
      <calculatedColumnFormula>IF(Feedstocks!$D24&gt;0,Feedstocks!C24,"")</calculatedColumnFormula>
    </tableColumn>
    <tableColumn id="2" xr3:uid="{99AAEE10-BFB5-41CA-B1DF-9208FFE28667}" name="eec" dataDxfId="3609">
      <calculatedColumnFormula>IF(Feedstocks!$D24&gt;0,"NA","")</calculatedColumnFormula>
    </tableColumn>
    <tableColumn id="3" xr3:uid="{370BB83F-8101-4221-9AFE-41EE5F15D22F}" name="etd,feedstock" dataDxfId="3608"/>
    <tableColumn id="4" xr3:uid="{E24EBB95-40B4-468C-BCC3-A3FB2F78373A}" name="el" dataDxfId="3607">
      <calculatedColumnFormula>IF(Feedstocks!D24&gt;0, "NA", "")</calculatedColumnFormula>
    </tableColumn>
    <tableColumn id="5" xr3:uid="{9DB98958-7E0C-4E77-B6DC-F04492D10E18}" name="esca" dataDxfId="3606">
      <calculatedColumnFormula>IF(Feedstocks!D24&gt;0, "NA", "")</calculatedColumnFormula>
    </tableColumn>
    <tableColumn id="6" xr3:uid="{59153703-F8E3-49C6-9E2F-7BDBD1F86A3B}" name="ep" dataDxfId="3605">
      <calculatedColumnFormula>IF(Feedstocks!$D24&gt;0,('Digestion &amp; outputs'!$K$16 + 'Final conversion'!$J$12)/'Digestion &amp; outputs'!$K$104,"")</calculatedColumnFormula>
    </tableColumn>
    <tableColumn id="7" xr3:uid="{78D47DF6-ACD0-4E01-8375-B4E15B9CE0AB}" name="etd,product" dataDxfId="3604">
      <calculatedColumnFormula>IF(Feedstocks!$D24&gt;0,0,"")</calculatedColumnFormula>
    </tableColumn>
    <tableColumn id="8" xr3:uid="{56267035-718C-415C-BB2F-DD9C554AE048}" name="eu" dataDxfId="3603">
      <calculatedColumnFormula>IF(Feedstocks!$D24&gt;0,'Biomethane transport'!$J$12,"")</calculatedColumnFormula>
    </tableColumn>
    <tableColumn id="9" xr3:uid="{DFA03C7F-418D-481E-A362-D09AF3F45161}" name="eCCS" dataDxfId="3602">
      <calculatedColumnFormula>IF(Feedstocks!D24&gt;0, 'Carbon capture'!$J$12, "")</calculatedColumnFormula>
    </tableColumn>
    <tableColumn id="10" xr3:uid="{8C5E1122-0DFC-4BDC-8347-AF5AAAAA45DF}" name="eCCR" dataDxfId="3601">
      <calculatedColumnFormula>IF(Feedstocks!D24&gt;0, 'Carbon capture'!$J$27, "")</calculatedColumnFormula>
    </tableColumn>
    <tableColumn id="11" xr3:uid="{6E3EFABA-8A09-4880-A7B0-8A3BF90AF72B}" name="Total" dataDxfId="3600">
      <calculatedColumnFormula>IF(Feedstocks!D24&gt;0,Pathway_emissions_residues[[#This Row],[etd,feedstock]]+Pathway_emissions_residues[[#This Row],[ep]]+Pathway_emissions_residues[[#This Row],[etd,product]]+Pathway_emissions_residues[[#This Row],[eu]]-Pathway_emissions_residues[[#This Row],[eCCS]]-Pathway_emissions_residues[[#This Row],[eCCR]], "")</calculatedColumnFormula>
    </tableColumn>
  </tableColumns>
  <tableStyleInfo name="Table Style 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A2D90C1E-FE0D-4817-AC5F-6636125ED492}" name="Pathway_emissions_wastes" displayName="Pathway_emissions_wastes" ref="B64:L89" totalsRowShown="0" dataDxfId="3599" tableBorderDxfId="3598">
  <tableColumns count="11">
    <tableColumn id="1" xr3:uid="{C27CAFDF-BB93-44D3-B7C2-E6D14ECEC191}" name="Consignment" dataDxfId="3597">
      <calculatedColumnFormula>IF(Feedstocks!$D42&gt;0,Feedstocks!C42,"")</calculatedColumnFormula>
    </tableColumn>
    <tableColumn id="2" xr3:uid="{02214EAA-283C-4025-A5F6-F91606E30454}" name="eec" dataDxfId="3596">
      <calculatedColumnFormula>IF(Feedstocks!$D42&gt;0, "NA", "")</calculatedColumnFormula>
    </tableColumn>
    <tableColumn id="3" xr3:uid="{295C0DC7-E904-4A10-9A57-FBA862D0DF62}" name="etd,feedstock" dataDxfId="3595"/>
    <tableColumn id="4" xr3:uid="{E41B376A-CB80-4E36-9118-D109F2CE94DC}" name="el" dataDxfId="3594">
      <calculatedColumnFormula>IF(Feedstocks!D42&gt;0, "NA", "")</calculatedColumnFormula>
    </tableColumn>
    <tableColumn id="5" xr3:uid="{D7E365E8-4565-40BA-83E7-EAF68736AD4C}" name="esca" dataDxfId="3593">
      <calculatedColumnFormula>IF(Feedstocks!D42&gt;0, "NA", "")</calculatedColumnFormula>
    </tableColumn>
    <tableColumn id="6" xr3:uid="{D8EEA3D1-1AA4-45E6-BF83-C7FB570E0411}" name="ep" dataDxfId="3592">
      <calculatedColumnFormula>IF(Feedstocks!$D42&gt;0, ('Digestion &amp; outputs'!$K$16 + 'Final conversion'!$J$12)/'Digestion &amp; outputs'!$K$104, "")</calculatedColumnFormula>
    </tableColumn>
    <tableColumn id="7" xr3:uid="{C1EAECD1-B83E-4E6A-AEFA-EA032F35C0E1}" name="etd,product" dataDxfId="3591">
      <calculatedColumnFormula>IF(Feedstocks!$D42&gt;0, 0, "")</calculatedColumnFormula>
    </tableColumn>
    <tableColumn id="8" xr3:uid="{CBA7E9D3-7E48-4995-8C2B-31F0E7B95C5E}" name="eu" dataDxfId="3590">
      <calculatedColumnFormula>IF(Feedstocks!$D42&gt;0, 'Biomethane transport'!$J$12, "")</calculatedColumnFormula>
    </tableColumn>
    <tableColumn id="9" xr3:uid="{EBA7B12E-5D92-44AF-A661-0D8A7A064CAE}" name="eCCS" dataDxfId="3589">
      <calculatedColumnFormula>IF(Feedstocks!D42&gt;0, 'Carbon capture'!$J$12, "")</calculatedColumnFormula>
    </tableColumn>
    <tableColumn id="10" xr3:uid="{93970D09-A048-4D3D-814F-D3F0803B6A38}" name="eCCR" dataDxfId="3588">
      <calculatedColumnFormula>IF(Feedstocks!D42&gt;0, 'Carbon capture'!$J$27, "")</calculatedColumnFormula>
    </tableColumn>
    <tableColumn id="11" xr3:uid="{E182F0F9-E20B-4A5C-B923-2FD60BE06E1B}" name="Total" dataDxfId="3587">
      <calculatedColumnFormula>IF(Feedstocks!E42&gt;0,Pathway_emissions_wastes[[#This Row],[etd,feedstock]]+Pathway_emissions_wastes[[#This Row],[ep]]+Pathway_emissions_wastes[[#This Row],[etd,product]]+Pathway_emissions_wastes[[#This Row],[eu]]-Pathway_emissions_wastes[[#This Row],[eCCS]]-Pathway_emissions_wastes[[#This Row],[eCCR]],"")</calculatedColumnFormula>
    </tableColumn>
  </tableColumns>
  <tableStyleInfo name="Table Style 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B60C3CD7-DD0F-4782-9DAB-F063BF0C0133}" name="Pathway_emissions_manure" displayName="Pathway_emissions_manure" ref="B93:L98" totalsRowShown="0" dataDxfId="3586" tableBorderDxfId="3585">
  <tableColumns count="11">
    <tableColumn id="1" xr3:uid="{ABBE7B35-AEC3-42CC-B140-405B48535EE0}" name="Consignment" dataDxfId="3584">
      <calculatedColumnFormula>IF(Feedstocks!D70&gt;0,Feedstocks!C70,"")</calculatedColumnFormula>
    </tableColumn>
    <tableColumn id="2" xr3:uid="{D3367F00-1AFF-48D9-BC26-7EA49465C341}" name="eec" dataDxfId="3583">
      <calculatedColumnFormula>IF(Feedstocks!$D70&gt;0, "NA", "")</calculatedColumnFormula>
    </tableColumn>
    <tableColumn id="3" xr3:uid="{9B477B3D-1148-4A89-AE35-71C12A5CC3B6}" name="etd,feedstock" dataDxfId="3582"/>
    <tableColumn id="4" xr3:uid="{D35C4A3E-77D1-49BF-8DB1-59466C3C26BE}" name="el" dataDxfId="3581">
      <calculatedColumnFormula>IF(Feedstocks!D70&gt;0,"NA","")</calculatedColumnFormula>
    </tableColumn>
    <tableColumn id="5" xr3:uid="{E600EFC4-C9B1-4D33-A8E2-48F32D95F3CC}" name="esca" dataDxfId="3580">
      <calculatedColumnFormula>IF(Feedstocks!D70&gt;0,'Manure credits'!L12/'Digestion &amp; outputs'!$K$104,"")</calculatedColumnFormula>
    </tableColumn>
    <tableColumn id="6" xr3:uid="{37435DD0-399D-44CC-BA9D-EFBC280D84A6}" name="ep" dataDxfId="3579">
      <calculatedColumnFormula>IF(Feedstocks!$D70&gt;0, ('Digestion &amp; outputs'!$K$16 + 'Final conversion'!$J$12)/'Digestion &amp; outputs'!$K$104, "")</calculatedColumnFormula>
    </tableColumn>
    <tableColumn id="7" xr3:uid="{E62293A6-8538-4830-8CBA-E252DDDA99C2}" name="etd,product" dataDxfId="3578">
      <calculatedColumnFormula>IF(Feedstocks!$D70&gt;0, , "")</calculatedColumnFormula>
    </tableColumn>
    <tableColumn id="8" xr3:uid="{3354838B-AEB3-4B03-8E23-D497FE2F5DC3}" name="eu" dataDxfId="3577">
      <calculatedColumnFormula>IF(Feedstocks!$D70&gt;0, 'Biomethane transport'!$J$12, "")</calculatedColumnFormula>
    </tableColumn>
    <tableColumn id="9" xr3:uid="{3BA576D7-1CD0-4046-AF16-D40741FF3BD4}" name="eCCS" dataDxfId="3576">
      <calculatedColumnFormula>IF(Feedstocks!D70&gt;0, 'Carbon capture'!$J$12, "")</calculatedColumnFormula>
    </tableColumn>
    <tableColumn id="10" xr3:uid="{6D50D8E0-6587-4177-AE74-B6DF64003047}" name="eCCR" dataDxfId="3575">
      <calculatedColumnFormula>IF(Feedstocks!D70&gt;0, 'Carbon capture'!$J$27, "")</calculatedColumnFormula>
    </tableColumn>
    <tableColumn id="11" xr3:uid="{8FB7F15F-BFB2-46E5-80B5-844541B46C8A}" name="Total" dataDxfId="3574">
      <calculatedColumnFormula>IF(Feedstocks!E42&gt;0,Pathway_emissions_manure[[#This Row],[etd,feedstock]]-Pathway_emissions_manure[[#This Row],[esca]]+Pathway_emissions_manure[[#This Row],[ep]]+Pathway_emissions_manure[[#This Row],[etd,product]]+Pathway_emissions_manure[[#This Row],[eu]]-Pathway_emissions_manure[[#This Row],[eCCS]]-Pathway_emissions_manure[[#This Row],[eCCR]],"")</calculatedColumnFormula>
    </tableColumn>
  </tableColumns>
  <tableStyleInfo name="Table Style 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Plant_Inputs_Products_Table" displayName="Plant_Inputs_Products_Table" ref="C10:K20" totalsRowShown="0" headerRowDxfId="3573" dataDxfId="3572">
  <tableColumns count="9">
    <tableColumn id="1" xr3:uid="{00000000-0010-0000-0300-000001000000}" name="Consignment name" dataDxfId="3571"/>
    <tableColumn id="4" xr3:uid="{00000000-0010-0000-0300-000004000000}" name="Tonnes" dataDxfId="3570"/>
    <tableColumn id="10" xr3:uid="{00000000-0010-0000-0300-00000A000000}" name="Feedstock dry matter content (%)*" dataDxfId="3569"/>
    <tableColumn id="11" xr3:uid="{00000000-0010-0000-0300-00000B000000}" name="Volatile solid content (% of dry matter)" dataDxfId="3568"/>
    <tableColumn id="8" xr3:uid="{00000000-0010-0000-0300-000008000000}" name="Biomethane yield (Nm3/t volatile solid)" dataDxfId="3567"/>
    <tableColumn id="5" xr3:uid="{00000000-0010-0000-0300-000005000000}" name="Crop of origin†" dataDxfId="3566"/>
    <tableColumn id="3" xr3:uid="{00000000-0010-0000-0300-000003000000}" name="Use default or actual crop dry matter content?‡" dataDxfId="3565"/>
    <tableColumn id="6" xr3:uid="{00000000-0010-0000-0300-000006000000}" name="Default crop dry matter content (%)‡" dataDxfId="3564">
      <calculatedColumnFormula>IFERROR(INDEX(Crop_drymatter,MATCH(Plant_Inputs_Products_Table[[#This Row],[Crop of origin†]],Crops_for_drymatter,0)),"")</calculatedColumnFormula>
    </tableColumn>
    <tableColumn id="7" xr3:uid="{00000000-0010-0000-0300-000007000000}" name="Actual crop dry matter content (%)‡" dataDxfId="3563"/>
  </tableColumns>
  <tableStyleInfo name="Table Style 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22BF54F9-3559-4B69-B802-F174215C630E}" name="Organic_Fertiliser_use_1" displayName="Organic_Fertiliser_use_1" ref="C27:F33" totalsRowShown="0" headerRowDxfId="3562" headerRowBorderDxfId="3561" tableBorderDxfId="3560" totalsRowBorderDxfId="3559">
  <autoFilter ref="C27:F33" xr:uid="{22BF54F9-3559-4B69-B802-F174215C630E}">
    <filterColumn colId="0" hiddenButton="1"/>
    <filterColumn colId="1" hiddenButton="1"/>
    <filterColumn colId="2" hiddenButton="1"/>
    <filterColumn colId="3" hiddenButton="1"/>
  </autoFilter>
  <tableColumns count="4">
    <tableColumn id="1" xr3:uid="{680DC41E-993F-491F-9812-00E7CEFA1CAF}" name="Organic Fertiliser" dataDxfId="3558"/>
    <tableColumn id="2" xr3:uid="{E48CDBA2-3E92-4F45-AE4D-566BBF46456E}" name="Nitrogen composition (%)"/>
    <tableColumn id="3" xr3:uid="{C5D2D64E-513B-403B-8A45-EF7ED38A9081}" name="Unit (application)" dataDxfId="3557"/>
    <tableColumn id="4" xr3:uid="{DBA3D069-FB73-469D-830C-AE7A15B239DE}" name="Value" dataDxfId="3556"/>
  </tableColumns>
  <tableStyleInfo name="Table Style 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CC105D52-94B8-4085-8045-1E96A2CA2D52}" name="Organic_Fertiliser_use_2" displayName="Organic_Fertiliser_use_2" ref="C127:F133" totalsRowShown="0" headerRowDxfId="3555" headerRowBorderDxfId="3554" tableBorderDxfId="3553" totalsRowBorderDxfId="3552">
  <autoFilter ref="C127:F133" xr:uid="{CC105D52-94B8-4085-8045-1E96A2CA2D52}">
    <filterColumn colId="0" hiddenButton="1"/>
    <filterColumn colId="1" hiddenButton="1"/>
    <filterColumn colId="2" hiddenButton="1"/>
    <filterColumn colId="3" hiddenButton="1"/>
  </autoFilter>
  <tableColumns count="4">
    <tableColumn id="1" xr3:uid="{4788563D-9034-4E2F-9C39-7BF30851B6EB}" name="Organic Fertiliser" dataDxfId="3551"/>
    <tableColumn id="2" xr3:uid="{1C91F501-0A25-46B2-B100-510CD412E7D2}" name="Nitrogen composition (%)"/>
    <tableColumn id="3" xr3:uid="{C2753615-1E0E-447F-B21B-157839B24E33}" name="Unit (application)" dataDxfId="3550"/>
    <tableColumn id="4" xr3:uid="{50B0651D-D780-4F4B-AFDC-495605E30E89}" name="Value" dataDxfId="3549"/>
  </tableColumns>
  <tableStyleInfo name="Table Style 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FB29E7EA-56B1-4DBC-94EF-F1959C0C415A}" name="Organic_Fertiliser_use_3" displayName="Organic_Fertiliser_use_3" ref="C227:F233" totalsRowShown="0" headerRowDxfId="3548" headerRowBorderDxfId="3547" tableBorderDxfId="3546" totalsRowBorderDxfId="3545">
  <autoFilter ref="C227:F233" xr:uid="{FB29E7EA-56B1-4DBC-94EF-F1959C0C415A}">
    <filterColumn colId="0" hiddenButton="1"/>
    <filterColumn colId="1" hiddenButton="1"/>
    <filterColumn colId="2" hiddenButton="1"/>
    <filterColumn colId="3" hiddenButton="1"/>
  </autoFilter>
  <tableColumns count="4">
    <tableColumn id="1" xr3:uid="{AC765A99-7EF3-4CAB-B473-3F93E05B614D}" name="Organic Fertiliser" dataDxfId="3544"/>
    <tableColumn id="2" xr3:uid="{B1D100EE-3E76-4B38-8488-38900EED95AE}" name="Nitrogen composition (%)"/>
    <tableColumn id="3" xr3:uid="{E71A1025-D898-428B-A0A8-AEAF269477C2}" name="Unit (application)" dataDxfId="3543"/>
    <tableColumn id="4" xr3:uid="{E72E29CE-66AF-4AB5-9DAD-B01C67ED167B}" name="Value" dataDxfId="3542"/>
  </tableColumns>
  <tableStyleInfo name="Table Style 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5731E1B1-2D54-4902-AD58-C25D8F1D1198}" name="Organic_Fertiliser_use_4" displayName="Organic_Fertiliser_use_4" ref="C327:F333" totalsRowShown="0" headerRowDxfId="3541" headerRowBorderDxfId="3540" tableBorderDxfId="3539" totalsRowBorderDxfId="3538">
  <autoFilter ref="C327:F333" xr:uid="{5731E1B1-2D54-4902-AD58-C25D8F1D1198}">
    <filterColumn colId="0" hiddenButton="1"/>
    <filterColumn colId="1" hiddenButton="1"/>
    <filterColumn colId="2" hiddenButton="1"/>
    <filterColumn colId="3" hiddenButton="1"/>
  </autoFilter>
  <tableColumns count="4">
    <tableColumn id="1" xr3:uid="{5EEB85B0-DC3F-401E-85DF-8DCC563C9696}" name="Organic Fertiliser" dataDxfId="3537"/>
    <tableColumn id="2" xr3:uid="{7B719339-A8B1-475D-9F29-AA3BCA1C7E66}" name="Nitrogen composition (%)"/>
    <tableColumn id="3" xr3:uid="{8EA2F52B-C17D-474B-A678-E619B28E48E0}" name="Unit (application)" dataDxfId="3536"/>
    <tableColumn id="4" xr3:uid="{4E07DF13-8E9F-48B3-9682-BED22101ABEA}" name="Value" dataDxfId="3535"/>
  </tableColumns>
  <tableStyleInfo name="Table Style 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CFAE087D-BF8C-43FF-B669-9D1F91697D41}" name="Organic_Fertiliser_use_5" displayName="Organic_Fertiliser_use_5" ref="C427:F433" totalsRowShown="0" headerRowDxfId="3534" headerRowBorderDxfId="3533" tableBorderDxfId="3532" totalsRowBorderDxfId="3531">
  <autoFilter ref="C427:F433" xr:uid="{CFAE087D-BF8C-43FF-B669-9D1F91697D41}">
    <filterColumn colId="0" hiddenButton="1"/>
    <filterColumn colId="1" hiddenButton="1"/>
    <filterColumn colId="2" hiddenButton="1"/>
    <filterColumn colId="3" hiddenButton="1"/>
  </autoFilter>
  <tableColumns count="4">
    <tableColumn id="1" xr3:uid="{77B38263-36BF-4002-A0FB-207130A59CAD}" name="Organic Fertiliser" dataDxfId="3530"/>
    <tableColumn id="2" xr3:uid="{1B63B2F5-AF92-47C9-9C8E-4B42A15E92A1}" name="Nitrogen composition (%)"/>
    <tableColumn id="3" xr3:uid="{FB1BA424-7066-410C-AD18-D2254B4B0CDD}" name="Unit (application)" dataDxfId="3529"/>
    <tableColumn id="4" xr3:uid="{4697D48C-556C-493A-97A6-F94BC74DF020}" name="Value" dataDxfId="3528"/>
  </tableColumns>
  <tableStyleInfo name="Table Style 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687F09C2-EAFA-41B5-9778-84FB118ADB27}" name="Organic_Fertiliser_use_6" displayName="Organic_Fertiliser_use_6" ref="C528:F533" headerRowCount="0" totalsRowShown="0" headerRowDxfId="3527" headerRowBorderDxfId="3526" tableBorderDxfId="3525" totalsRowBorderDxfId="3524">
  <tableColumns count="4">
    <tableColumn id="1" xr3:uid="{268426DA-FF8E-4E1E-A86F-2E95F5C1EEFD}" name="Organic Fertiliser" headerRowDxfId="3523" dataDxfId="3522"/>
    <tableColumn id="2" xr3:uid="{4ADDAC34-CE9C-4221-A691-2073C14F8DFF}" name="Nitrogen composition (%)" headerRowDxfId="3521"/>
    <tableColumn id="3" xr3:uid="{BCF63953-A90A-4956-9CE7-BA217A96E1C8}" name="Unit (application)" headerRowDxfId="3520" dataDxfId="3519"/>
    <tableColumn id="4" xr3:uid="{2C64410F-333C-4D09-B563-61225CD29AF3}" name="Value" headerRowDxfId="3518" dataDxfId="3517"/>
  </tableColumns>
  <tableStyleInfo name="Table Style 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6E930593-B33C-45A2-A3CD-0D2BEBCA7421}" name="Organic_Fertiliser_use_7" displayName="Organic_Fertiliser_use_7" ref="C627:F633" totalsRowShown="0" headerRowDxfId="3516" headerRowBorderDxfId="3515" tableBorderDxfId="3514" totalsRowBorderDxfId="3513">
  <autoFilter ref="C627:F633" xr:uid="{6E930593-B33C-45A2-A3CD-0D2BEBCA7421}">
    <filterColumn colId="0" hiddenButton="1"/>
    <filterColumn colId="1" hiddenButton="1"/>
    <filterColumn colId="2" hiddenButton="1"/>
    <filterColumn colId="3" hiddenButton="1"/>
  </autoFilter>
  <tableColumns count="4">
    <tableColumn id="1" xr3:uid="{1D804823-63A9-495D-9F86-C9BFAD88BA4F}" name="Organic Fertiliser" dataDxfId="3512"/>
    <tableColumn id="2" xr3:uid="{865376F8-913C-4C36-BF1F-8C6D838C2B37}" name="Nitrogen composition (%)"/>
    <tableColumn id="3" xr3:uid="{371888DC-19C3-42F4-AF84-5C6564010FFE}" name="Unit (application)" dataDxfId="3511"/>
    <tableColumn id="4" xr3:uid="{7CF49086-4048-460A-9ADB-73ABBF6664BE}" name="Value" dataDxfId="3510"/>
  </tableColumns>
  <tableStyleInfo name="Table Style 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B51EFEF6-541F-449B-980C-BEED675DEB23}" name="Organic_Fertiliser_use_8" displayName="Organic_Fertiliser_use_8" ref="C727:F733" totalsRowShown="0" headerRowDxfId="3509" headerRowBorderDxfId="3508" tableBorderDxfId="3507" totalsRowBorderDxfId="3506">
  <autoFilter ref="C727:F733" xr:uid="{B51EFEF6-541F-449B-980C-BEED675DEB23}">
    <filterColumn colId="0" hiddenButton="1"/>
    <filterColumn colId="1" hiddenButton="1"/>
    <filterColumn colId="2" hiddenButton="1"/>
    <filterColumn colId="3" hiddenButton="1"/>
  </autoFilter>
  <tableColumns count="4">
    <tableColumn id="1" xr3:uid="{67296E01-4576-4D93-9DA6-C0474F82C37B}" name="Organic Fertiliser" dataDxfId="3505"/>
    <tableColumn id="2" xr3:uid="{ECE6CAAE-70AB-4AEA-8C7B-483A3845D6CD}" name="Nitrogen composition (%)"/>
    <tableColumn id="3" xr3:uid="{2A4128E6-6C22-4EA7-93AD-E763D9E22E9A}" name="Unit (application)" dataDxfId="3504"/>
    <tableColumn id="4" xr3:uid="{34F56BCC-707E-495F-AA3A-AF686C1EC478}" name="Value" dataDxfId="3503"/>
  </tableColumns>
  <tableStyleInfo name="Table Style 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3CF72A72-778C-4083-AA74-39AFADA89DAD}" name="Organic_Fertiliser_use_9" displayName="Organic_Fertiliser_use_9" ref="C827:F833" totalsRowShown="0" headerRowDxfId="3502" headerRowBorderDxfId="3501" tableBorderDxfId="3500" totalsRowBorderDxfId="3499">
  <autoFilter ref="C827:F833" xr:uid="{3CF72A72-778C-4083-AA74-39AFADA89DAD}">
    <filterColumn colId="0" hiddenButton="1"/>
    <filterColumn colId="1" hiddenButton="1"/>
    <filterColumn colId="2" hiddenButton="1"/>
    <filterColumn colId="3" hiddenButton="1"/>
  </autoFilter>
  <tableColumns count="4">
    <tableColumn id="1" xr3:uid="{1999AB16-BD0E-4F03-93DA-AB21CEA28576}" name="Organic Fertiliser" dataDxfId="3498"/>
    <tableColumn id="2" xr3:uid="{84682625-A1D1-4E64-AB54-D4AD80AFF678}" name="Nitrogen composition (%)"/>
    <tableColumn id="3" xr3:uid="{2F31E51E-BED0-4EA0-ADB4-DBAA2F311048}" name="Unit (application)" dataDxfId="3497"/>
    <tableColumn id="4" xr3:uid="{94717DBA-6D6D-421B-991A-CBE5021CD1C6}" name="Value" dataDxfId="3496"/>
  </tableColumns>
  <tableStyleInfo name="Table Style 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67DBEA70-9EE7-4D5F-9824-5DCDCA936615}" name="Organic_Fertiliser_use_10" displayName="Organic_Fertiliser_use_10" ref="C927:F933" totalsRowShown="0" headerRowDxfId="3495" headerRowBorderDxfId="3494" tableBorderDxfId="3493" totalsRowBorderDxfId="3492">
  <autoFilter ref="C927:F933" xr:uid="{67DBEA70-9EE7-4D5F-9824-5DCDCA936615}">
    <filterColumn colId="0" hiddenButton="1"/>
    <filterColumn colId="1" hiddenButton="1"/>
    <filterColumn colId="2" hiddenButton="1"/>
    <filterColumn colId="3" hiddenButton="1"/>
  </autoFilter>
  <tableColumns count="4">
    <tableColumn id="1" xr3:uid="{03E050C1-CF3B-4FC3-9B54-85138A10FC3D}" name="Organic Fertiliser" dataDxfId="3491"/>
    <tableColumn id="2" xr3:uid="{FA04BC16-0506-4539-8D00-D2FAA6264AE9}" name="Nitrogen composition (%)"/>
    <tableColumn id="3" xr3:uid="{75B21A9D-E805-4E8A-86AA-B425A1ACE91F}" name="Unit (application)" dataDxfId="3490"/>
    <tableColumn id="4" xr3:uid="{7FC1A556-42D1-40D4-8271-662C6CC96D92}" name="Value" dataDxfId="3489"/>
  </tableColumns>
  <tableStyleInfo name="Table Style 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BE88DF9-537C-4ADB-BCC6-B22C4ED7DDDC}" name="Land_use_change" displayName="Land_use_change" ref="C11:I21" totalsRowShown="0" headerRowDxfId="3488" dataDxfId="3487" tableBorderDxfId="3486">
  <tableColumns count="7">
    <tableColumn id="1" xr3:uid="{65257E43-0F91-492A-9755-B356101BDD1D}" name="Consignment name" dataDxfId="3485">
      <calculatedColumnFormula>IF(Feedstocks!C11&gt;0, Feedstocks!C11, "")</calculatedColumnFormula>
    </tableColumn>
    <tableColumn id="2" xr3:uid="{468D8CAD-3A41-4CF0-BF7A-FC12D8574CE6}" name="Yield (harvested)" dataDxfId="3484"/>
    <tableColumn id="11" xr3:uid="{C8AF481F-24D1-40E4-87D5-F2D028216706}" name="Biogas yield" dataDxfId="3483">
      <calculatedColumnFormula>D12 * 'Digestion &amp; outputs'!G16 / (IF('Feedstock conversion'!E13="Yes", IF('Feedstock conversion'!E14="Default", 'Feedstock conversion'!D17, 'Feedstock conversion'!E17), 1)) /
IF('Transport 1'!D13="No transport required", 1, 'Transport 1'!F19 )
/ IF('Transport 2'!D13="No transport required", 1, 'Transport 2'!F19 )</calculatedColumnFormula>
    </tableColumn>
    <tableColumn id="5" xr3:uid="{765CBC05-D4E7-441A-A6BF-08DC103CCD4B}" name="CSReference" dataDxfId="3482"/>
    <tableColumn id="3" xr3:uid="{A3758311-565F-43A3-B60A-F02504BCE759}" name="CSActual" dataDxfId="3481"/>
    <tableColumn id="4" xr3:uid="{C5E7D564-EE55-4F0D-8532-41CEA9864DFB}" name="Can eB be applied?*" dataDxfId="3480">
      <calculatedColumnFormula>IF(Feedstocks!E70&gt;0, Feedstocks!E70, "")</calculatedColumnFormula>
    </tableColumn>
    <tableColumn id="6" xr3:uid="{70FD8EC2-40D0-40DF-AB11-F9BFD33482D9}" name="Annualised CO₂ emission" dataDxfId="3479">
      <calculatedColumnFormula>IF(Feedstocks!D11&gt;0, 3.664*(Land_use_change[[#This Row],[CSReference]]-Land_use_change[[#This Row],[CSActual]])/20, "")</calculatedColumnFormula>
    </tableColumn>
  </tableColumns>
  <tableStyleInfo name="Table Style 1" showFirstColumn="0" showLastColumn="0" showRowStripes="0"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46EAFA58-AD01-4A63-8D72-414DCACACFDD}" name="Soil_carbon" displayName="Soil_carbon" ref="C11:I21" totalsRowShown="0" headerRowDxfId="3478" dataDxfId="3477" tableBorderDxfId="3476">
  <tableColumns count="7">
    <tableColumn id="1" xr3:uid="{CB7B56C2-DBE2-4619-93B6-8C18805B0721}" name="Consignment name" dataDxfId="3475">
      <calculatedColumnFormula>IF(Feedstocks!C11&gt;0, Feedstocks!C11, "")</calculatedColumnFormula>
    </tableColumn>
    <tableColumn id="2" xr3:uid="{C81C1EFC-5937-4D64-A173-67EC300CFEB3}" name="Yield (harvested)" dataDxfId="3474"/>
    <tableColumn id="11" xr3:uid="{F7F3BFDE-3EE9-43CA-B915-54CABE537DA8}" name="Biogas yield" dataDxfId="3473"/>
    <tableColumn id="5" xr3:uid="{D333AE02-94A1-49E9-90A3-D3343565248A}" name="CSReference" dataDxfId="3472"/>
    <tableColumn id="4" xr3:uid="{D51265CE-05E3-4D24-A13E-12DC71920E92}" name="CSActual" dataDxfId="3471"/>
    <tableColumn id="6" xr3:uid="{AA33F6DE-981A-441B-8AD9-E89D2AD71411}" name="Time period" dataDxfId="3470"/>
    <tableColumn id="3" xr3:uid="{C3A79299-B19B-4A2D-9D45-2504D2E6D6F4}" name="Annualised CO₂ emission" dataDxfId="3469">
      <calculatedColumnFormula>IF(Feedstocks!C11&gt;0, IFERROR(3.664*(Soil_carbon[[#This Row],[CSReference]]-Soil_carbon[[#This Row],[CSActual]])/Soil_carbon[[#This Row],[Time period]], 0), "")</calculatedColumnFormula>
    </tableColumn>
  </tableColumns>
  <tableStyleInfo name="Table Style 1" showFirstColumn="0" showLastColumn="0" showRowStripes="0"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A9D5F4D6-3681-4A04-9009-3757CB67AEBB}" name="Manure_credits" displayName="Manure_credits" ref="C11:H16" totalsRowShown="0" headerRowDxfId="3468" dataDxfId="3467" tableBorderDxfId="3466">
  <autoFilter ref="C11:H16" xr:uid="{A9D5F4D6-3681-4A04-9009-3757CB67AEBB}">
    <filterColumn colId="0" hiddenButton="1"/>
    <filterColumn colId="1" hiddenButton="1"/>
    <filterColumn colId="2" hiddenButton="1"/>
    <filterColumn colId="3" hiddenButton="1"/>
    <filterColumn colId="4" hiddenButton="1"/>
    <filterColumn colId="5" hiddenButton="1"/>
  </autoFilter>
  <tableColumns count="6">
    <tableColumn id="1" xr3:uid="{E08F4B13-004C-4483-ABA9-780AFDCEC6B4}" name="Consignment name" dataDxfId="3465">
      <calculatedColumnFormula>IF(Feedstocks!C70&gt;0, Feedstocks!C70, "")</calculatedColumnFormula>
    </tableColumn>
    <tableColumn id="3" xr3:uid="{00E46F7C-36ED-4331-834A-B9E7FCDD215A}" name="Amount of manure (t)" dataDxfId="3464">
      <calculatedColumnFormula>IF(Feedstocks!D70&gt;0, Feedstocks!D70, "")</calculatedColumnFormula>
    </tableColumn>
    <tableColumn id="4" xr3:uid="{844A0E64-EB73-4552-9991-1CEFA9FB8A53}" name="Manure dry matter content (%)" dataDxfId="3463">
      <calculatedColumnFormula>IF(Feedstocks!E70&gt;0, Feedstocks!E70, "")</calculatedColumnFormula>
    </tableColumn>
    <tableColumn id="2" xr3:uid="{30CDB6C2-511A-4AC6-ADBB-546947275D87}" name="Equivalent amount of dry manure (t)" dataDxfId="3462">
      <calculatedColumnFormula>IFERROR(Manure_credits[[#This Row],[Amount of manure (t)]]*Manure_credits[[#This Row],[Manure dry matter content (%)]], "")</calculatedColumnFormula>
    </tableColumn>
    <tableColumn id="6" xr3:uid="{C1F3F2D7-75A4-4CBB-A405-0FFC5A527F61}" name="Energy (MJ)" dataDxfId="3461">
      <calculatedColumnFormula>IFERROR((Manure_credits[[#This Row],[Equivalent amount of dry manure (t)]]*1000*Manure_LHV), "")</calculatedColumnFormula>
    </tableColumn>
    <tableColumn id="7" xr3:uid="{5FE53E13-8861-44A4-8739-014014CCF887}" name="Emissions (gCO2eq)" dataDxfId="3460">
      <calculatedColumnFormula>IFERROR(Manure_credits[[#This Row],[Energy (MJ)]]*Manure_credit_EF_value, "")</calculatedColumnFormula>
    </tableColumn>
  </tableColumns>
  <tableStyleInfo name="Table Style 1" showFirstColumn="0" showLastColumn="0" showRowStripes="0"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5000000}" name="Biogas_Yields_Wastes_Table" displayName="Biogas_Yields_Wastes_Table" ref="C197:E203" totalsRowShown="0" headerRowDxfId="2673" dataDxfId="2672">
  <sortState xmlns:xlrd2="http://schemas.microsoft.com/office/spreadsheetml/2017/richdata2" ref="C127:E164">
    <sortCondition ref="C126:C164"/>
  </sortState>
  <tableColumns count="3">
    <tableColumn id="1" xr3:uid="{00000000-0010-0000-0500-000001000000}" name="Feedstock" dataDxfId="2671"/>
    <tableColumn id="2" xr3:uid="{00000000-0010-0000-0500-000002000000}" name="Methane yield (Nm3/tonne volatile solid)" dataDxfId="2670"/>
    <tableColumn id="3" xr3:uid="{00000000-0010-0000-0500-000003000000}" name="Source" dataDxfId="2669"/>
  </tableColumns>
  <tableStyleInfo name="Table Style 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6000000}" name="Biogas_Yields_Nonwastes_Table" displayName="Biogas_Yields_Nonwastes_Table" ref="C167:E194" totalsRowShown="0" headerRowDxfId="2668" dataDxfId="2667">
  <tableColumns count="3">
    <tableColumn id="1" xr3:uid="{00000000-0010-0000-0600-000001000000}" name="Feedstock" dataDxfId="2666"/>
    <tableColumn id="2" xr3:uid="{00000000-0010-0000-0600-000002000000}" name="Methane yield (Nm3/tonne volatile solid)" dataDxfId="2665"/>
    <tableColumn id="3" xr3:uid="{00000000-0010-0000-0600-000003000000}" name="Source" dataDxfId="2664"/>
  </tableColumns>
  <tableStyleInfo name="Table Style 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7000000}" name="Fuel_Emission_Factors_Table" displayName="Fuel_Emission_Factors_Table" ref="C260:E271" totalsRowShown="0" headerRowDxfId="2663" dataDxfId="2662">
  <tableColumns count="3">
    <tableColumn id="1" xr3:uid="{00000000-0010-0000-0700-000001000000}" name="Fuel" dataDxfId="2661"/>
    <tableColumn id="3" xr3:uid="{00000000-0010-0000-0700-000003000000}" name="Emission factor (gCO2eq/MJ)" dataDxfId="2660"/>
    <tableColumn id="4" xr3:uid="{00000000-0010-0000-0700-000004000000}" name="Source" dataDxfId="2659"/>
  </tableColumns>
  <tableStyleInfo name="Table Style 3"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8000000}" name="Chemical_Emission_Factors_Table" displayName="Chemical_Emission_Factors_Table" ref="C281:E299" totalsRowShown="0" headerRowDxfId="2658" dataDxfId="2657">
  <tableColumns count="3">
    <tableColumn id="1" xr3:uid="{00000000-0010-0000-0800-000001000000}" name="Chemical" dataDxfId="2656"/>
    <tableColumn id="2" xr3:uid="{00000000-0010-0000-0800-000002000000}" name="Emission Factor (gCO2eq/kgchemical)" dataDxfId="2655"/>
    <tableColumn id="3" xr3:uid="{00000000-0010-0000-0800-000003000000}" name="Source" dataDxfId="2654"/>
  </tableColumns>
  <tableStyleInfo name="Table Style 3"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9000000}" name="N_Fertiliser_Emission_Factors_Table" displayName="N_Fertiliser_Emission_Factors_Table" ref="C302:E315" totalsRowShown="0" headerRowDxfId="2653" dataDxfId="2652">
  <tableColumns count="3">
    <tableColumn id="1" xr3:uid="{00000000-0010-0000-0900-000001000000}" name="Fertiliser" dataDxfId="2651"/>
    <tableColumn id="2" xr3:uid="{00000000-0010-0000-0900-000002000000}" name="Emission Factor (gCO2eq/kgnitrogen)" dataDxfId="2650"/>
    <tableColumn id="3" xr3:uid="{00000000-0010-0000-0900-000003000000}" name="Source" dataDxfId="2649"/>
  </tableColumns>
  <tableStyleInfo name="Table Style 3"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A000000}" name="Unit_Conversion_Factors" displayName="Unit_Conversion_Factors" ref="C46:D52" totalsRowShown="0" headerRowDxfId="2648" dataDxfId="2647">
  <tableColumns count="2">
    <tableColumn id="1" xr3:uid="{00000000-0010-0000-0A00-000001000000}" name="Unit Conversion" dataDxfId="2646"/>
    <tableColumn id="2" xr3:uid="{00000000-0010-0000-0A00-000002000000}" name="Value" dataDxfId="2645"/>
  </tableColumns>
  <tableStyleInfo name="Table Style 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B000000}" name="Fuel_LHV_Table" displayName="Fuel_LHV_Table" ref="C11:E21" totalsRowShown="0" headerRowDxfId="2644" dataDxfId="2643">
  <tableColumns count="3">
    <tableColumn id="1" xr3:uid="{00000000-0010-0000-0B00-000001000000}" name="Fuel" dataDxfId="2642"/>
    <tableColumn id="2" xr3:uid="{00000000-0010-0000-0B00-000002000000}" name="Lower Heating Value (MJ/kg)" dataDxfId="2641"/>
    <tableColumn id="3" xr3:uid="{00000000-0010-0000-0B00-000003000000}" name="Source" dataDxfId="2640"/>
  </tableColumns>
  <tableStyleInfo name="Table Style 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C000000}" name="Electricity_Emission_Factors_Table" displayName="Electricity_Emission_Factors_Table" ref="C274:E278" totalsRowShown="0" headerRowDxfId="2639" dataDxfId="2638">
  <tableColumns count="3">
    <tableColumn id="1" xr3:uid="{00000000-0010-0000-0C00-000001000000}" name="Source" dataDxfId="2637"/>
    <tableColumn id="3" xr3:uid="{00000000-0010-0000-0C00-000003000000}" name="Emission factor (gCO2eq/MJ)" dataDxfId="2636"/>
    <tableColumn id="4" xr3:uid="{00000000-0010-0000-0C00-000004000000}" name="Source2" dataDxfId="2635"/>
  </tableColumns>
  <tableStyleInfo name="Table Style 3"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D000000}" name="Fuel_Densities_Table" displayName="Fuel_Densities_Table" ref="C25:E37" totalsRowShown="0" headerRowDxfId="2634" dataDxfId="2633">
  <tableColumns count="3">
    <tableColumn id="1" xr3:uid="{00000000-0010-0000-0D00-000001000000}" name="Fuel" dataDxfId="2632"/>
    <tableColumn id="2" xr3:uid="{00000000-0010-0000-0D00-000002000000}" name="Density (kg/m3)" dataDxfId="2631"/>
    <tableColumn id="3" xr3:uid="{00000000-0010-0000-0D00-000003000000}" name="Source" dataDxfId="2630"/>
  </tableColumns>
  <tableStyleInfo name="Table Style 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E000000}" name="Transport_Fuel_Efficiencies_Table" displayName="Transport_Fuel_Efficiencies_Table" ref="C225:E232" totalsRowShown="0" headerRowDxfId="2629" dataDxfId="2628">
  <tableColumns count="3">
    <tableColumn id="1" xr3:uid="{00000000-0010-0000-0E00-000001000000}" name="Mode" dataDxfId="2627"/>
    <tableColumn id="2" xr3:uid="{00000000-0010-0000-0E00-000002000000}" name="Fuel Efficiency (MJ/t-km)" dataDxfId="2626"/>
    <tableColumn id="3" xr3:uid="{00000000-0010-0000-0E00-000003000000}" name="Source" dataDxfId="2625"/>
  </tableColumns>
  <tableStyleInfo name="Table Style 2"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F000000}" name="Gas_GWPs_Table" displayName="Gas_GWPs_Table" ref="C55:E58" totalsRowShown="0" headerRowDxfId="2624" dataDxfId="2623">
  <tableColumns count="3">
    <tableColumn id="1" xr3:uid="{00000000-0010-0000-0F00-000001000000}" name="Gas" dataDxfId="2622"/>
    <tableColumn id="2" xr3:uid="{00000000-0010-0000-0F00-000002000000}" name="Global Warming Potential (gCO2eq)" dataDxfId="2621"/>
    <tableColumn id="3" xr3:uid="{00000000-0010-0000-0F00-000003000000}" name="Source" dataDxfId="2620"/>
  </tableColumns>
  <tableStyleInfo name="Table Style 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0000000}" name="Biomethane_production_factors" displayName="Biomethane_production_factors" ref="C219:E222" totalsRowShown="0" headerRowDxfId="2619" dataDxfId="2618">
  <tableColumns count="3">
    <tableColumn id="1" xr3:uid="{00000000-0010-0000-1000-000001000000}" name="Factor" dataDxfId="2617"/>
    <tableColumn id="3" xr3:uid="{00000000-0010-0000-1000-000003000000}" name="Value" dataDxfId="2616"/>
    <tableColumn id="4" xr3:uid="{00000000-0010-0000-1000-000004000000}" name="Source" dataDxfId="2615"/>
  </tableColumns>
  <tableStyleInfo name="Table Style 2"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1000000}" name="Digestate_properties_table" displayName="Digestate_properties_table" ref="C206:E212" totalsRowShown="0" headerRowDxfId="2614" dataDxfId="2613">
  <tableColumns count="3">
    <tableColumn id="1" xr3:uid="{00000000-0010-0000-1100-000001000000}" name="Digestate moisture content" dataDxfId="2612"/>
    <tableColumn id="2" xr3:uid="{00000000-0010-0000-1100-000002000000}" name="Lower Heating Value (MJ/kg)" dataDxfId="2611"/>
    <tableColumn id="3" xr3:uid="{00000000-0010-0000-1100-000003000000}" name="Source" dataDxfId="2610"/>
  </tableColumns>
  <tableStyleInfo name="Table Style 2"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2000000}" name="P_Fertiliser_Emission_Factors_Table" displayName="P_Fertiliser_Emission_Factors_Table" ref="C351:E361" totalsRowShown="0" headerRowDxfId="2609" dataDxfId="2608">
  <tableColumns count="3">
    <tableColumn id="1" xr3:uid="{00000000-0010-0000-1200-000001000000}" name="Fertiliser" dataDxfId="2607"/>
    <tableColumn id="2" xr3:uid="{00000000-0010-0000-1200-000002000000}" name="Emission Factor (gCO2eq/kgP2O5)" dataDxfId="2606"/>
    <tableColumn id="3" xr3:uid="{00000000-0010-0000-1200-000003000000}" name="Source" dataDxfId="2605"/>
  </tableColumns>
  <tableStyleInfo name="Table Style 3"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3000000}" name="K_Fertiliser_Emission_Factors_Table" displayName="K_Fertiliser_Emission_Factors_Table" ref="C364:E371" totalsRowShown="0" headerRowDxfId="2604" dataDxfId="2603">
  <tableColumns count="3">
    <tableColumn id="1" xr3:uid="{00000000-0010-0000-1300-000001000000}" name="Fertiliser" dataDxfId="2602"/>
    <tableColumn id="2" xr3:uid="{00000000-0010-0000-1300-000002000000}" name="Emission Factor (gCO2eq/kgK2O)" dataDxfId="2601"/>
    <tableColumn id="3" xr3:uid="{00000000-0010-0000-1300-000003000000}" name="Source" dataDxfId="2600"/>
  </tableColumns>
  <tableStyleInfo name="Table Style 3"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4000000}" name="N_fertiliser_compositions_table" displayName="N_fertiliser_compositions_table" ref="I11:O24" totalsRowShown="0" headerRowDxfId="2599" dataDxfId="2598">
  <tableColumns count="7">
    <tableColumn id="1" xr3:uid="{00000000-0010-0000-1400-000001000000}" name="Fertiliser" dataDxfId="2597"/>
    <tableColumn id="2" xr3:uid="{00000000-0010-0000-1400-000002000000}" name="%N" dataDxfId="2596"/>
    <tableColumn id="3" xr3:uid="{00000000-0010-0000-1400-000003000000}" name="%P2O5" dataDxfId="2595"/>
    <tableColumn id="4" xr3:uid="{00000000-0010-0000-1400-000004000000}" name="%K2O" dataDxfId="2594"/>
    <tableColumn id="5" xr3:uid="{00000000-0010-0000-1400-000005000000}" name="%SO3" dataDxfId="2593"/>
    <tableColumn id="6" xr3:uid="{00000000-0010-0000-1400-000006000000}" name="%CaO" dataDxfId="2592"/>
    <tableColumn id="8" xr3:uid="{00000000-0010-0000-1400-000008000000}" name="Source" dataDxfId="2591"/>
  </tableColumns>
  <tableStyleInfo name="Table Style 1"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5000000}" name="P_fertiliser_compositions_table" displayName="P_fertiliser_compositions_table" ref="I54:O64" totalsRowShown="0" headerRowDxfId="2590" dataDxfId="2589">
  <tableColumns count="7">
    <tableColumn id="1" xr3:uid="{00000000-0010-0000-1500-000001000000}" name="Fertiliser" dataDxfId="2588"/>
    <tableColumn id="2" xr3:uid="{00000000-0010-0000-1500-000002000000}" name="%N" dataDxfId="2587"/>
    <tableColumn id="3" xr3:uid="{00000000-0010-0000-1500-000003000000}" name="%P2O5" dataDxfId="2586"/>
    <tableColumn id="4" xr3:uid="{00000000-0010-0000-1500-000004000000}" name="%K2O" dataDxfId="2585"/>
    <tableColumn id="5" xr3:uid="{00000000-0010-0000-1500-000005000000}" name="%SO3" dataDxfId="2584"/>
    <tableColumn id="6" xr3:uid="{00000000-0010-0000-1500-000006000000}" name="%CaO" dataDxfId="2583"/>
    <tableColumn id="8" xr3:uid="{00000000-0010-0000-1500-000008000000}" name="Source" dataDxfId="2582"/>
  </tableColumns>
  <tableStyleInfo name="Table Style 1"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6000000}" name="K_fertiliser_compositions_table" displayName="K_fertiliser_compositions_table" ref="I67:O74" totalsRowShown="0" headerRowDxfId="2581" dataDxfId="2580">
  <tableColumns count="7">
    <tableColumn id="1" xr3:uid="{00000000-0010-0000-1600-000001000000}" name="Fertiliser" dataDxfId="2579"/>
    <tableColumn id="2" xr3:uid="{00000000-0010-0000-1600-000002000000}" name="%N" dataDxfId="2578"/>
    <tableColumn id="3" xr3:uid="{00000000-0010-0000-1600-000003000000}" name="%P2O5" dataDxfId="2577"/>
    <tableColumn id="4" xr3:uid="{00000000-0010-0000-1600-000004000000}" name="%K2O" dataDxfId="2576"/>
    <tableColumn id="5" xr3:uid="{00000000-0010-0000-1600-000005000000}" name="%SO3" dataDxfId="2575"/>
    <tableColumn id="6" xr3:uid="{00000000-0010-0000-1600-000006000000}" name="%CaO" dataDxfId="2574"/>
    <tableColumn id="8" xr3:uid="{00000000-0010-0000-1600-000008000000}" name="Source" dataDxfId="2573"/>
  </tableColumns>
  <tableStyleInfo name="Table Style 1"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7000000}" name="Other_fertiliser_compositions_table" displayName="Other_fertiliser_compositions_table" ref="I77:O88" totalsRowShown="0" headerRowDxfId="2572" dataDxfId="2571">
  <tableColumns count="7">
    <tableColumn id="1" xr3:uid="{00000000-0010-0000-1700-000001000000}" name="Fertiliser" dataDxfId="2570"/>
    <tableColumn id="2" xr3:uid="{00000000-0010-0000-1700-000002000000}" name="%N" dataDxfId="2569"/>
    <tableColumn id="3" xr3:uid="{00000000-0010-0000-1700-000003000000}" name="%P2O5" dataDxfId="2568"/>
    <tableColumn id="4" xr3:uid="{00000000-0010-0000-1700-000004000000}" name="%K2O" dataDxfId="2567"/>
    <tableColumn id="5" xr3:uid="{00000000-0010-0000-1700-000005000000}" name="%SO3" dataDxfId="2566"/>
    <tableColumn id="6" xr3:uid="{00000000-0010-0000-1700-000006000000}" name="%nutrient" dataDxfId="2565"/>
    <tableColumn id="8" xr3:uid="{00000000-0010-0000-1700-000008000000}" name="Source" dataDxfId="2564"/>
  </tableColumns>
  <tableStyleInfo name="Table Style 1"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8000000}" name="Other_Fertiliser_Emission_Factors_Table" displayName="Other_Fertiliser_Emission_Factors_Table" ref="C374:E385" totalsRowShown="0" headerRowDxfId="2563" dataDxfId="2562">
  <tableColumns count="3">
    <tableColumn id="1" xr3:uid="{00000000-0010-0000-1800-000001000000}" name="Fertiliser" dataDxfId="2561"/>
    <tableColumn id="2" xr3:uid="{00000000-0010-0000-1800-000002000000}" name="Emission Factor (gCO2eq/kgnutrient)" dataDxfId="2560"/>
    <tableColumn id="3" xr3:uid="{00000000-0010-0000-1800-000003000000}" name="Source" dataDxfId="2559"/>
  </tableColumns>
  <tableStyleInfo name="Table Style 3"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9000000}" name="Seed_EF_table" displayName="Seed_EF_table" ref="C388:E399" totalsRowShown="0" headerRowDxfId="2558" dataDxfId="2557">
  <tableColumns count="3">
    <tableColumn id="1" xr3:uid="{00000000-0010-0000-1900-000001000000}" name="Seed" dataDxfId="2556"/>
    <tableColumn id="2" xr3:uid="{00000000-0010-0000-1900-000002000000}" name="Emission Factor (gCO2eq/kgseed)" dataDxfId="2555"/>
    <tableColumn id="3" xr3:uid="{00000000-0010-0000-1900-000003000000}" name="Source" dataDxfId="2554"/>
  </tableColumns>
  <tableStyleInfo name="Table Style 3"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A000000}" name="Pesticide_EF_table" displayName="Pesticide_EF_table" ref="C402:E403" totalsRowShown="0" headerRowDxfId="2553" dataDxfId="2552">
  <tableColumns count="3">
    <tableColumn id="1" xr3:uid="{00000000-0010-0000-1A00-000001000000}" name="Pesticide" dataDxfId="2551"/>
    <tableColumn id="2" xr3:uid="{00000000-0010-0000-1A00-000002000000}" name="Emission Factor (gCO2eq/kgactive ingredient)" dataDxfId="2550"/>
    <tableColumn id="3" xr3:uid="{00000000-0010-0000-1A00-000003000000}" name="Source" dataDxfId="2549" dataCellStyle="Hyperlink"/>
  </tableColumns>
  <tableStyleInfo name="Table Style 3"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B000000}" name="Crop_drymatter_table" displayName="Crop_drymatter_table" ref="C68:E75" totalsRowShown="0" headerRowDxfId="2548" dataDxfId="2547">
  <tableColumns count="3">
    <tableColumn id="1" xr3:uid="{00000000-0010-0000-1B00-000001000000}" name="Crop" dataDxfId="2546"/>
    <tableColumn id="2" xr3:uid="{00000000-0010-0000-1B00-000002000000}" name="Dry matter content (%)" dataDxfId="2545"/>
    <tableColumn id="3" xr3:uid="{00000000-0010-0000-1B00-000003000000}" name="Source" dataDxfId="2544"/>
  </tableColumns>
  <tableStyleInfo name="Table Style 2"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C000000}" name="Crop_yields_table" displayName="Crop_yields_table" ref="C78:E85" totalsRowShown="0" headerRowDxfId="2543" dataDxfId="2542">
  <tableColumns count="3">
    <tableColumn id="1" xr3:uid="{00000000-0010-0000-1C00-000001000000}" name="Crop" dataDxfId="2541"/>
    <tableColumn id="2" xr3:uid="{00000000-0010-0000-1C00-000002000000}" name="Yield (tonnes/Ha)" dataDxfId="2540"/>
    <tableColumn id="3" xr3:uid="{00000000-0010-0000-1C00-000003000000}" name="Source" dataDxfId="2539"/>
  </tableColumns>
  <tableStyleInfo name="Table Style 2"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D000000}" name="Feedstock_drymatter_nonwastes_table" displayName="Feedstock_drymatter_nonwastes_table" ref="C88:E115" totalsRowShown="0" headerRowDxfId="2538" dataDxfId="2537">
  <tableColumns count="3">
    <tableColumn id="1" xr3:uid="{00000000-0010-0000-1D00-000001000000}" name="Feedstock" dataDxfId="2536"/>
    <tableColumn id="2" xr3:uid="{00000000-0010-0000-1D00-000002000000}" name="Dry matter content (%)" dataDxfId="2535"/>
    <tableColumn id="3" xr3:uid="{00000000-0010-0000-1D00-000003000000}" name="Source" dataDxfId="2534"/>
  </tableColumns>
  <tableStyleInfo name="Table Style 2"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F000000}" name="Soil_EFs_table" displayName="Soil_EFs_table" ref="C345:E348" totalsRowShown="0" headerRowDxfId="2533" tableBorderDxfId="2532">
  <tableColumns count="3">
    <tableColumn id="1" xr3:uid="{00000000-0010-0000-1F00-000001000000}" name="Fertiliser nitrogen type" dataDxfId="2531"/>
    <tableColumn id="2" xr3:uid="{00000000-0010-0000-1F00-000002000000}" name="Emission Factor (kgCO2eq/kgnitrogen applied)" dataDxfId="2530"/>
    <tableColumn id="3" xr3:uid="{00000000-0010-0000-1F00-000003000000}" name="Source" dataDxfId="2529"/>
  </tableColumns>
  <tableStyleInfo name="Table Style 3"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0000000}" name="Feedstock_drymatter_wastes_table" displayName="Feedstock_drymatter_wastes_table" ref="C148:E154" totalsRowShown="0" headerRowDxfId="2528">
  <tableColumns count="3">
    <tableColumn id="1" xr3:uid="{00000000-0010-0000-2000-000001000000}" name="Feedstock" dataDxfId="2527"/>
    <tableColumn id="2" xr3:uid="{00000000-0010-0000-2000-000002000000}" name="Dry matter content (%)" dataDxfId="2526"/>
    <tableColumn id="3" xr3:uid="{00000000-0010-0000-2000-000003000000}" name="Source" dataDxfId="2525"/>
  </tableColumns>
  <tableStyleInfo name="Table Style 2"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21000000}" name="Organic_fertiliser_table" displayName="Organic_fertiliser_table" ref="I27:O47" totalsRowShown="0" headerRowDxfId="2524" dataDxfId="2523">
  <tableColumns count="7">
    <tableColumn id="1" xr3:uid="{00000000-0010-0000-2100-000001000000}" name="Fertiliser" dataDxfId="2522"/>
    <tableColumn id="2" xr3:uid="{00000000-0010-0000-2100-000002000000}" name="%N" dataDxfId="2521"/>
    <tableColumn id="3" xr3:uid="{00000000-0010-0000-2100-000003000000}" name="%P2O5" dataDxfId="2520"/>
    <tableColumn id="4" xr3:uid="{00000000-0010-0000-2100-000004000000}" name="%K2O" dataDxfId="2519"/>
    <tableColumn id="5" xr3:uid="{00000000-0010-0000-2100-000005000000}" name="%SO3" dataDxfId="2518"/>
    <tableColumn id="6" xr3:uid="{00000000-0010-0000-2100-000006000000}" name="%CaO" dataDxfId="2517"/>
    <tableColumn id="7" xr3:uid="{00000000-0010-0000-2100-000007000000}" name="Source" dataDxfId="2516"/>
  </tableColumns>
  <tableStyleInfo name="Table Style 1"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2000000}" name="Organic_fertilisers_EF_table" displayName="Organic_fertilisers_EF_table" ref="C318:E338" totalsRowShown="0" headerRowDxfId="2515" dataDxfId="2514">
  <tableColumns count="3">
    <tableColumn id="1" xr3:uid="{00000000-0010-0000-2200-000001000000}" name="Fertiliser" dataDxfId="2513"/>
    <tableColumn id="2" xr3:uid="{00000000-0010-0000-2200-000002000000}" name="Emission Factor (gCO2eq/kgnitrogen)" dataDxfId="2512"/>
    <tableColumn id="3" xr3:uid="{00000000-0010-0000-2200-000003000000}" name="Source" dataDxfId="2511"/>
  </tableColumns>
  <tableStyleInfo name="Table Style 3"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Feedstock_volatile_solids_nonwastes_table" displayName="Feedstock_volatile_solids_nonwastes_table" ref="C118:E145" totalsRowShown="0" headerRowDxfId="2510" dataDxfId="2509">
  <tableColumns count="3">
    <tableColumn id="1" xr3:uid="{00000000-0010-0000-2300-000001000000}" name="Feedstock" dataDxfId="2508"/>
    <tableColumn id="2" xr3:uid="{00000000-0010-0000-2300-000002000000}" name="Volatile solid content (%)" dataDxfId="2507"/>
    <tableColumn id="3" xr3:uid="{00000000-0010-0000-2300-000003000000}" name="Source" dataDxfId="2506"/>
  </tableColumns>
  <tableStyleInfo name="Table Style 2"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Feedstock_volatile_solids_wastes_table" displayName="Feedstock_volatile_solids_wastes_table" ref="C158:E164" totalsRowShown="0" headerRowDxfId="2505" dataDxfId="2504">
  <tableColumns count="3">
    <tableColumn id="1" xr3:uid="{00000000-0010-0000-2400-000001000000}" name="Feedstock" dataDxfId="2503"/>
    <tableColumn id="2" xr3:uid="{00000000-0010-0000-2400-000002000000}" name="Volatile solid content (%)" dataDxfId="2502"/>
    <tableColumn id="3" xr3:uid="{00000000-0010-0000-2400-000003000000}" name="Source" dataDxfId="2501"/>
  </tableColumns>
  <tableStyleInfo name="Table Style 2"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5000000}" name="Gas_energy_densities_table" displayName="Gas_energy_densities_table" ref="C41:E43" totalsRowShown="0" headerRowDxfId="2500" dataDxfId="2499" tableBorderDxfId="2498">
  <autoFilter ref="C41:E43" xr:uid="{00000000-0009-0000-0100-000027000000}"/>
  <tableColumns count="3">
    <tableColumn id="1" xr3:uid="{00000000-0010-0000-2500-000001000000}" name="Gas" dataDxfId="2497"/>
    <tableColumn id="2" xr3:uid="{00000000-0010-0000-2500-000002000000}" name="Density (MJ/Nm3)" dataDxfId="2496"/>
    <tableColumn id="3" xr3:uid="{00000000-0010-0000-2500-000003000000}" name="Source" dataDxfId="2495"/>
  </tableColumns>
  <tableStyleInfo name="Table Style 1"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B00FD3BA-F892-4920-A79D-D8C71C2E7FF2}" name="Biogas_upgrading_emissions_decider" displayName="Biogas_upgrading_emissions_decider" ref="C247:E253" totalsRowShown="0" headerRowDxfId="2494" dataDxfId="2493" tableBorderDxfId="2492">
  <autoFilter ref="C247:E253" xr:uid="{B00FD3BA-F892-4920-A79D-D8C71C2E7FF2}">
    <filterColumn colId="0" hiddenButton="1"/>
    <filterColumn colId="1" hiddenButton="1"/>
    <filterColumn colId="2" hiddenButton="1"/>
  </autoFilter>
  <tableColumns count="3">
    <tableColumn id="1" xr3:uid="{F6A8628F-36E1-4216-993E-00FDC4D92E73}" name="Biogas Upgrading Technology" dataDxfId="2491"/>
    <tableColumn id="2" xr3:uid="{2D676B13-0C42-4366-ACA1-559CA3F8E943}" name="Methane emitted in off-gas?" dataDxfId="2490"/>
    <tableColumn id="3" xr3:uid="{420D129F-A1B9-4C51-BE9D-597B5E4D4F52}" name="Source" dataDxfId="2489"/>
  </tableColumns>
  <tableStyleInfo name="Table Style 1"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2A40F0E3-AB3F-4530-AD6E-C77AA13534B0}" name="Manure_credit_EF_table" displayName="Manure_credit_EF_table" ref="C406:E407" totalsRowShown="0" headerRowDxfId="2488" dataDxfId="2487" tableBorderDxfId="2486">
  <autoFilter ref="C406:E407" xr:uid="{2A40F0E3-AB3F-4530-AD6E-C77AA13534B0}">
    <filterColumn colId="0" hiddenButton="1"/>
    <filterColumn colId="1" hiddenButton="1"/>
    <filterColumn colId="2" hiddenButton="1"/>
  </autoFilter>
  <tableColumns count="3">
    <tableColumn id="1" xr3:uid="{5C6F1D91-2117-426B-938D-E3615AAA739E}" name="Manure credit emission" dataDxfId="2485"/>
    <tableColumn id="2" xr3:uid="{7D1C0E06-4A9C-4233-AF98-1846CFCF6EDF}" name="Emission Factor (gCO2eq/MJmanure)" dataDxfId="2484"/>
    <tableColumn id="3" xr3:uid="{F7389A2B-1E6E-4DB4-89BA-5C799E9A1CE2}" name="Source" dataDxfId="2483" dataCellStyle="Hyperlink"/>
  </tableColumns>
  <tableStyleInfo name="Table Style 3"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F53F252F-B263-4236-9124-D1979BB08D00}" name="Manure_properties" displayName="Manure_properties" ref="C215:E216" totalsRowShown="0" headerRowDxfId="2482" tableBorderDxfId="2481">
  <autoFilter ref="C215:E216" xr:uid="{F53F252F-B263-4236-9124-D1979BB08D00}">
    <filterColumn colId="0" hiddenButton="1"/>
    <filterColumn colId="1" hiddenButton="1"/>
    <filterColumn colId="2" hiddenButton="1"/>
  </autoFilter>
  <tableColumns count="3">
    <tableColumn id="1" xr3:uid="{3D3493A5-3C81-44EE-8CCD-2F631793442F}" name="Manure" dataDxfId="2480"/>
    <tableColumn id="2" xr3:uid="{E3B1E4F5-EE34-4E31-B31F-B145474DB9E9}" name="Lower Heating Value (MJ/kg_dry)" dataDxfId="2479"/>
    <tableColumn id="3" xr3:uid="{FC90CD90-DD50-4CBC-B564-B97AE7EF82CC}" name="Source" dataDxfId="2478" dataCellStyle="Hyperlink"/>
  </tableColumns>
  <tableStyleInfo name="Table Style 2"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EDDBE353-A4D4-4B7D-998B-14607F15AABE}" name="HHV_to_LHV_Table" displayName="HHV_to_LHV_Table" ref="C61:E62" totalsRowShown="0" headerRowDxfId="2477" dataDxfId="2476" tableBorderDxfId="2475">
  <tableColumns count="3">
    <tableColumn id="1" xr3:uid="{428D26AB-19FE-4ED0-9F79-4975388118B1}" name="Fuel" dataDxfId="2474"/>
    <tableColumn id="2" xr3:uid="{9294AD01-55C2-4CB4-B656-AA3AC614DFBE}" name="Conversion factor" dataDxfId="2473"/>
    <tableColumn id="3" xr3:uid="{4C6D1786-BCDC-4429-8008-50601B90972A}" name="Source" dataDxfId="2472"/>
  </tableColumns>
  <tableStyleInfo name="Table Style 1"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C0577EB2-E807-4DB1-AD67-2A7721704D12}" name="Default_crop_data" displayName="Default_crop_data" ref="I102:S108" totalsRowShown="0" headerRowDxfId="2471" dataDxfId="2470">
  <tableColumns count="11">
    <tableColumn id="1" xr3:uid="{A9388A2C-1900-454D-A4C8-E93E6C8EFC18}" name="Crop" dataDxfId="2469"/>
    <tableColumn id="2" xr3:uid="{7788D31A-EEA0-4896-9B95-645B60537E93}" name="Nitrogen fertiliser (unspecified),  kg(Nitrogen)/Ha" dataDxfId="2468"/>
    <tableColumn id="3" xr3:uid="{5E9FBE44-A475-48D4-9700-5DF57F157730}" name="P2O5 fertiliser (unspecified), kg(P2O5)/Ha" dataDxfId="2467"/>
    <tableColumn id="4" xr3:uid="{E76BCA4E-8B84-43DD-8BDF-68B8A2BD1831}" name="K2O fertiliser (unspecified), kg(K2O)/Ha" dataDxfId="2466"/>
    <tableColumn id="5" xr3:uid="{B2833EE4-0E58-4FC2-873A-C9C3511E65C6}" name="Digestate, t/ha" dataDxfId="2465"/>
    <tableColumn id="6" xr3:uid="{F5AC3B93-F7ED-487B-A3B2-D3C0E38E3D0E}" name="Lime fertiliser (CaO), kg(nutrient)/Ha" dataDxfId="2464"/>
    <tableColumn id="8" xr3:uid="{12EB8B2D-2DD2-440A-9AA5-01B4EA31A54C}" name="Pesticides, kg(active ingredient)/Ha" dataDxfId="2463"/>
    <tableColumn id="7" xr3:uid="{51430664-E2D5-4867-94C3-9DF8E24BC25A}" name="Seeds, kg/ha" dataDxfId="2462"/>
    <tableColumn id="9" xr3:uid="{6B0F1EB6-8764-4EB4-B617-DC9A7C0A5ED4}" name="Diesel 1, litres/Ha" dataDxfId="2461"/>
    <tableColumn id="10" xr3:uid="{9816F56F-C62B-4E5A-8C19-E2E947D3D922}" name="Diesel 2, litres/Ha" dataDxfId="2460"/>
    <tableColumn id="11" xr3:uid="{B2DCB409-8683-4FBD-8E4D-82F8A17DB8EA}" name="Source" dataDxfId="2459"/>
  </tableColumns>
  <tableStyleInfo name="Table Style 1"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6F99FAF1-0635-4FD3-8278-6FB0259B9706}" name="Low_infield_EF_table" displayName="Low_infield_EF_table" ref="C341:E342" totalsRowShown="0" headerRowDxfId="2458" dataDxfId="2457" tableBorderDxfId="2456">
  <autoFilter ref="C341:E342" xr:uid="{6F99FAF1-0635-4FD3-8278-6FB0259B9706}">
    <filterColumn colId="0" hiddenButton="1"/>
    <filterColumn colId="1" hiddenButton="1"/>
    <filterColumn colId="2" hiddenButton="1"/>
  </autoFilter>
  <tableColumns count="3">
    <tableColumn id="1" xr3:uid="{1A20F1CE-4551-4615-AF5B-60533AC50AFE}" name="Fertiliser" dataDxfId="2455"/>
    <tableColumn id="2" xr3:uid="{D248A5F4-5B30-4EAF-8FCC-B167FFDF9E4A}" name="Emission Factor (gCO2eq/kgnitrogen)" dataDxfId="2454"/>
    <tableColumn id="3" xr3:uid="{B8D0757C-13F3-4867-90F8-FEBA1D879EC9}" name="Source" dataDxfId="2453"/>
  </tableColumns>
  <tableStyleInfo name="Table Style 1"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98101218-1C5A-40D2-A79B-974EB8336BF8}" name="Table76" displayName="Table76" ref="I50:O51" totalsRowShown="0" headerRowDxfId="2452" dataDxfId="2451" tableBorderDxfId="2450">
  <autoFilter ref="I50:O51" xr:uid="{98101218-1C5A-40D2-A79B-974EB8336BF8}">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11D0A2A0-DAD7-432F-AA80-79BC8CE0FEA4}" name="Fertiliser" dataDxfId="2449"/>
    <tableColumn id="2" xr3:uid="{F7B5E5CA-47B7-479F-90D6-9469E3F43E32}" name="%N" dataDxfId="2448"/>
    <tableColumn id="3" xr3:uid="{71800EFD-DB19-44F4-9462-893F10B88D72}" name="%P2O5" dataDxfId="2447"/>
    <tableColumn id="4" xr3:uid="{613FD543-D2EF-44A7-ACE6-FC62FC73E30A}" name="%K2O" dataDxfId="2446"/>
    <tableColumn id="5" xr3:uid="{0E8A7CFD-5F17-475A-ADB7-B27B3A4869B7}" name="%SO3" dataDxfId="2445"/>
    <tableColumn id="6" xr3:uid="{2DDF4F41-BE29-4DD7-91FB-4121CA1F9876}" name="%nutrient" dataDxfId="2444"/>
    <tableColumn id="7" xr3:uid="{842BBF40-4864-47EE-8F28-98F0CE1A59DD}" name="Source" dataDxfId="2443"/>
  </tableColumns>
  <tableStyleInfo name="Table Style 1"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6000000}" name="Notes_actual_values" displayName="Notes_actual_values" ref="B9:H54" totalsRowShown="0" headerRowDxfId="2436" dataDxfId="2434" headerRowBorderDxfId="2435" tableBorderDxfId="2433" totalsRowBorderDxfId="2432">
  <tableColumns count="7">
    <tableColumn id="1" xr3:uid="{00000000-0010-0000-2600-000001000000}" name="Consignment" dataDxfId="2431"/>
    <tableColumn id="7" xr3:uid="{00000000-0010-0000-2600-000007000000}" name="Supply chain module" dataDxfId="2430"/>
    <tableColumn id="2" xr3:uid="{00000000-0010-0000-2600-000002000000}" name="Supply chain element" dataDxfId="2429"/>
    <tableColumn id="3" xr3:uid="{00000000-0010-0000-2600-000003000000}" name="Value" dataDxfId="2428"/>
    <tableColumn id="4" xr3:uid="{00000000-0010-0000-2600-000004000000}" name="Unit" dataDxfId="2427"/>
    <tableColumn id="5" xr3:uid="{00000000-0010-0000-2600-000005000000}" name="Source" dataDxfId="2426"/>
    <tableColumn id="6" xr3:uid="{00000000-0010-0000-2600-000006000000}" name="Notes" dataDxfId="2425"/>
  </tableColumns>
  <tableStyleInfo name="Table Style 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publications/methods-of-calculating-greenhouse-gas-emissions" TargetMode="External"/><Relationship Id="rId2" Type="http://schemas.openxmlformats.org/officeDocument/2006/relationships/hyperlink" Target="https://www.ofgem.gov.uk/publications/green-gas-support-scheme-guidance" TargetMode="External"/><Relationship Id="rId1" Type="http://schemas.openxmlformats.org/officeDocument/2006/relationships/hyperlink" Target="https://www.ofgem.gov.uk/publications-and-updates/draft-guidance-documents-non-domestic-rhi-sustainability-requirements-coming-force-5-october-2015"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18" Type="http://schemas.openxmlformats.org/officeDocument/2006/relationships/table" Target="../tables/table16.xml"/><Relationship Id="rId3" Type="http://schemas.openxmlformats.org/officeDocument/2006/relationships/table" Target="../tables/table1.xml"/><Relationship Id="rId21" Type="http://schemas.openxmlformats.org/officeDocument/2006/relationships/table" Target="../tables/table19.xml"/><Relationship Id="rId7" Type="http://schemas.openxmlformats.org/officeDocument/2006/relationships/table" Target="../tables/table5.xml"/><Relationship Id="rId12" Type="http://schemas.openxmlformats.org/officeDocument/2006/relationships/table" Target="../tables/table10.xml"/><Relationship Id="rId17" Type="http://schemas.openxmlformats.org/officeDocument/2006/relationships/table" Target="../tables/table15.xml"/><Relationship Id="rId2" Type="http://schemas.openxmlformats.org/officeDocument/2006/relationships/drawing" Target="../drawings/drawing2.xml"/><Relationship Id="rId16" Type="http://schemas.openxmlformats.org/officeDocument/2006/relationships/table" Target="../tables/table14.xml"/><Relationship Id="rId20" Type="http://schemas.openxmlformats.org/officeDocument/2006/relationships/table" Target="../tables/table18.xml"/><Relationship Id="rId1" Type="http://schemas.openxmlformats.org/officeDocument/2006/relationships/printerSettings" Target="../printerSettings/printerSettings2.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10" Type="http://schemas.openxmlformats.org/officeDocument/2006/relationships/table" Target="../tables/table8.xml"/><Relationship Id="rId19" Type="http://schemas.openxmlformats.org/officeDocument/2006/relationships/table" Target="../tables/table17.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 Id="rId22" Type="http://schemas.openxmlformats.org/officeDocument/2006/relationships/table" Target="../tables/table20.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xml"/><Relationship Id="rId13" Type="http://schemas.openxmlformats.org/officeDocument/2006/relationships/ctrlProp" Target="../ctrlProps/ctrlProp6.xml"/><Relationship Id="rId18" Type="http://schemas.openxmlformats.org/officeDocument/2006/relationships/table" Target="../tables/table23.xml"/><Relationship Id="rId26" Type="http://schemas.openxmlformats.org/officeDocument/2006/relationships/table" Target="../tables/table31.xml"/><Relationship Id="rId3" Type="http://schemas.openxmlformats.org/officeDocument/2006/relationships/externalLinkPath" Target="file:///\\25F783C1\NNFCC%20Biomethane%20&amp;%20Biogas%20Carbon%20Calculator%20-%20V4.9_Gravel%20Pit_Y2PDS4.xlsm" TargetMode="External"/><Relationship Id="rId21" Type="http://schemas.openxmlformats.org/officeDocument/2006/relationships/table" Target="../tables/table26.xml"/><Relationship Id="rId7" Type="http://schemas.openxmlformats.org/officeDocument/2006/relationships/vmlDrawing" Target="../drawings/vmlDrawing1.vml"/><Relationship Id="rId12" Type="http://schemas.openxmlformats.org/officeDocument/2006/relationships/ctrlProp" Target="../ctrlProps/ctrlProp5.xml"/><Relationship Id="rId17" Type="http://schemas.openxmlformats.org/officeDocument/2006/relationships/table" Target="../tables/table22.xml"/><Relationship Id="rId25" Type="http://schemas.openxmlformats.org/officeDocument/2006/relationships/table" Target="../tables/table30.xml"/><Relationship Id="rId2" Type="http://schemas.microsoft.com/office/2019/04/relationships/externalLinkLongPath" Target="https://beisgov.sharepoint.com/pmo/17-021%20Tean%20RHI%20Applications%20and%20Periodic%20Data%20Submissions/Shared%20Documents/TMS%20-%20GHG%20reporting/JFS%20Quarterly%20submissions/Gravel%20Pit/NNFCC%20Biomethane%20&amp;%20Biogas%20Carbon%20Calculator%20-%20V4.9_Gravel%20Pit_Y2PDS4.xlsm?24F783C1" TargetMode="External"/><Relationship Id="rId16" Type="http://schemas.openxmlformats.org/officeDocument/2006/relationships/ctrlProp" Target="../ctrlProps/ctrlProp9.xml"/><Relationship Id="rId20" Type="http://schemas.openxmlformats.org/officeDocument/2006/relationships/table" Target="../tables/table25.xml"/><Relationship Id="rId1" Type="http://schemas.openxmlformats.org/officeDocument/2006/relationships/externalLinkPath" Target="file:///\\24F783C1\NNFCC%20Biomethane%20&amp;%20Biogas%20Carbon%20Calculator%20-%20V4.9_Gravel%20Pit_Y2PDS4.xlsm" TargetMode="External"/><Relationship Id="rId6" Type="http://schemas.openxmlformats.org/officeDocument/2006/relationships/drawing" Target="../drawings/drawing4.xml"/><Relationship Id="rId11" Type="http://schemas.openxmlformats.org/officeDocument/2006/relationships/ctrlProp" Target="../ctrlProps/ctrlProp4.xml"/><Relationship Id="rId24" Type="http://schemas.openxmlformats.org/officeDocument/2006/relationships/table" Target="../tables/table29.xml"/><Relationship Id="rId5" Type="http://schemas.openxmlformats.org/officeDocument/2006/relationships/printerSettings" Target="../printerSettings/printerSettings4.bin"/><Relationship Id="rId15" Type="http://schemas.openxmlformats.org/officeDocument/2006/relationships/ctrlProp" Target="../ctrlProps/ctrlProp8.xml"/><Relationship Id="rId23" Type="http://schemas.openxmlformats.org/officeDocument/2006/relationships/table" Target="../tables/table28.xml"/><Relationship Id="rId10" Type="http://schemas.openxmlformats.org/officeDocument/2006/relationships/ctrlProp" Target="../ctrlProps/ctrlProp3.xml"/><Relationship Id="rId19" Type="http://schemas.openxmlformats.org/officeDocument/2006/relationships/table" Target="../tables/table24.xml"/><Relationship Id="rId4" Type="http://schemas.microsoft.com/office/2019/04/relationships/externalLinkLongPath" Target="https://beisgov.sharepoint.com/pmo/17-021%20Tean%20RHI%20Applications%20and%20Periodic%20Data%20Submissions/Shared%20Documents/TMS%20-%20GHG%20reporting/JFS%20Quarterly%20submissions/Gravel%20Pit/NNFCC%20Biomethane%20&amp;%20Biogas%20Carbon%20Calculator%20-%20V4.9_Gravel%20Pit_Y2PDS4.xlsm?25F783C1" TargetMode="External"/><Relationship Id="rId9" Type="http://schemas.openxmlformats.org/officeDocument/2006/relationships/ctrlProp" Target="../ctrlProps/ctrlProp2.xml"/><Relationship Id="rId14" Type="http://schemas.openxmlformats.org/officeDocument/2006/relationships/ctrlProp" Target="../ctrlProps/ctrlProp7.xml"/><Relationship Id="rId22" Type="http://schemas.openxmlformats.org/officeDocument/2006/relationships/table" Target="../tables/table27.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2.x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34.x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17" Type="http://schemas.openxmlformats.org/officeDocument/2006/relationships/hyperlink" Target="https://www.biograce.net/biograce2/content/ghgcalculationtool_electricityheatingcooling/overview" TargetMode="External"/><Relationship Id="rId21" Type="http://schemas.openxmlformats.org/officeDocument/2006/relationships/hyperlink" Target="https://mediathek.fnr.de/guide-to-biogas-from-production-to-use.html" TargetMode="External"/><Relationship Id="rId42" Type="http://schemas.openxmlformats.org/officeDocument/2006/relationships/hyperlink" Target="https://mediathek.fnr.de/guide-to-biogas-from-production-to-use.html" TargetMode="External"/><Relationship Id="rId63" Type="http://schemas.openxmlformats.org/officeDocument/2006/relationships/hyperlink" Target="https://mediathek.fnr.de/guide-to-biogas-from-production-to-use.html" TargetMode="External"/><Relationship Id="rId84" Type="http://schemas.openxmlformats.org/officeDocument/2006/relationships/hyperlink" Target="https://mediathek.fnr.de/guide-to-biogas-from-production-to-use.html" TargetMode="External"/><Relationship Id="rId138" Type="http://schemas.openxmlformats.org/officeDocument/2006/relationships/hyperlink" Target="https://ahdb.org.uk/nutrient-management-guide-rb209" TargetMode="External"/><Relationship Id="rId159" Type="http://schemas.openxmlformats.org/officeDocument/2006/relationships/hyperlink" Target="http://www.engineeringtoolbox.com/gas-density-d_158.html" TargetMode="External"/><Relationship Id="rId170" Type="http://schemas.openxmlformats.org/officeDocument/2006/relationships/table" Target="../tables/table38.xml"/><Relationship Id="rId191" Type="http://schemas.openxmlformats.org/officeDocument/2006/relationships/table" Target="../tables/table59.xml"/><Relationship Id="rId205" Type="http://schemas.openxmlformats.org/officeDocument/2006/relationships/table" Target="../tables/table73.xml"/><Relationship Id="rId16" Type="http://schemas.openxmlformats.org/officeDocument/2006/relationships/hyperlink" Target="https://mediathek.fnr.de/guide-to-biogas-from-production-to-use.html" TargetMode="External"/><Relationship Id="rId107" Type="http://schemas.openxmlformats.org/officeDocument/2006/relationships/hyperlink" Target="https://www.biograce.net/biograce2/content/ghgcalculationtool_electricityheatingcooling/overview" TargetMode="External"/><Relationship Id="rId11" Type="http://schemas.openxmlformats.org/officeDocument/2006/relationships/hyperlink" Target="https://publications.jrc.ec.europa.eu/repository/handle/JRC119036" TargetMode="External"/><Relationship Id="rId32" Type="http://schemas.openxmlformats.org/officeDocument/2006/relationships/hyperlink" Target="https://mediathek.fnr.de/guide-to-biogas-from-production-to-use.html" TargetMode="External"/><Relationship Id="rId37" Type="http://schemas.openxmlformats.org/officeDocument/2006/relationships/hyperlink" Target="https://mediathek.fnr.de/guide-to-biogas-from-production-to-use.html" TargetMode="External"/><Relationship Id="rId53" Type="http://schemas.openxmlformats.org/officeDocument/2006/relationships/hyperlink" Target="https://mediathek.fnr.de/guide-to-biogas-from-production-to-use.html" TargetMode="External"/><Relationship Id="rId58" Type="http://schemas.openxmlformats.org/officeDocument/2006/relationships/hyperlink" Target="https://mediathek.fnr.de/guide-to-biogas-from-production-to-use.html" TargetMode="External"/><Relationship Id="rId74" Type="http://schemas.openxmlformats.org/officeDocument/2006/relationships/hyperlink" Target="https://mediathek.fnr.de/guide-to-biogas-from-production-to-use.html" TargetMode="External"/><Relationship Id="rId79" Type="http://schemas.openxmlformats.org/officeDocument/2006/relationships/hyperlink" Target="https://mediathek.fnr.de/guide-to-biogas-from-production-to-use.html" TargetMode="External"/><Relationship Id="rId102" Type="http://schemas.openxmlformats.org/officeDocument/2006/relationships/hyperlink" Target="https://www.biograce.net/biograce2/content/ghgcalculationtool_electricityheatingcooling/overview" TargetMode="External"/><Relationship Id="rId123" Type="http://schemas.openxmlformats.org/officeDocument/2006/relationships/hyperlink" Target="https://www.biograce.net/biograce2/content/ghgcalculationtool_electricityheatingcooling/overview" TargetMode="External"/><Relationship Id="rId128" Type="http://schemas.openxmlformats.org/officeDocument/2006/relationships/hyperlink" Target="https://www.gov.uk/government/collections/government-conversion-factors-for-company-reporting" TargetMode="External"/><Relationship Id="rId144" Type="http://schemas.openxmlformats.org/officeDocument/2006/relationships/hyperlink" Target="https://ahdb.org.uk/nutrient-management-guide-rb209" TargetMode="External"/><Relationship Id="rId149" Type="http://schemas.openxmlformats.org/officeDocument/2006/relationships/hyperlink" Target="https://www.ieabioenergy.com/wp-content/uploads/2018/12/Food-waste_WEB_END.pdf" TargetMode="External"/><Relationship Id="rId5" Type="http://schemas.openxmlformats.org/officeDocument/2006/relationships/hyperlink" Target="https://www.ofgem.gov.uk/sites/default/files/docs/2021/04/sustainability_self-reporting_guidance_final_2021.pdf" TargetMode="External"/><Relationship Id="rId90" Type="http://schemas.openxmlformats.org/officeDocument/2006/relationships/hyperlink" Target="https://www.biograce.net/biograce2/content/ghgcalculationtool_electricityheatingcooling/overview" TargetMode="External"/><Relationship Id="rId95" Type="http://schemas.openxmlformats.org/officeDocument/2006/relationships/hyperlink" Target="https://www.biograce.net/biograce2/content/ghgcalculationtool_electricityheatingcooling/overview" TargetMode="External"/><Relationship Id="rId160" Type="http://schemas.openxmlformats.org/officeDocument/2006/relationships/hyperlink" Target="http://www.engineeringtoolbox.com/gas-density-d_158.html" TargetMode="External"/><Relationship Id="rId165" Type="http://schemas.openxmlformats.org/officeDocument/2006/relationships/printerSettings" Target="../printerSettings/printerSettings11.bin"/><Relationship Id="rId181" Type="http://schemas.openxmlformats.org/officeDocument/2006/relationships/table" Target="../tables/table49.xml"/><Relationship Id="rId186" Type="http://schemas.openxmlformats.org/officeDocument/2006/relationships/table" Target="../tables/table54.xml"/><Relationship Id="rId22" Type="http://schemas.openxmlformats.org/officeDocument/2006/relationships/hyperlink" Target="https://mediathek.fnr.de/guide-to-biogas-from-production-to-use.html" TargetMode="External"/><Relationship Id="rId27" Type="http://schemas.openxmlformats.org/officeDocument/2006/relationships/hyperlink" Target="https://mediathek.fnr.de/guide-to-biogas-from-production-to-use.html" TargetMode="External"/><Relationship Id="rId43" Type="http://schemas.openxmlformats.org/officeDocument/2006/relationships/hyperlink" Target="https://mediathek.fnr.de/guide-to-biogas-from-production-to-use.html" TargetMode="External"/><Relationship Id="rId48" Type="http://schemas.openxmlformats.org/officeDocument/2006/relationships/hyperlink" Target="https://mediathek.fnr.de/guide-to-biogas-from-production-to-use.html" TargetMode="External"/><Relationship Id="rId64" Type="http://schemas.openxmlformats.org/officeDocument/2006/relationships/hyperlink" Target="https://mediathek.fnr.de/guide-to-biogas-from-production-to-use.html" TargetMode="External"/><Relationship Id="rId69" Type="http://schemas.openxmlformats.org/officeDocument/2006/relationships/hyperlink" Target="https://mediathek.fnr.de/guide-to-biogas-from-production-to-use.html" TargetMode="External"/><Relationship Id="rId113" Type="http://schemas.openxmlformats.org/officeDocument/2006/relationships/hyperlink" Target="https://www.biograce.net/biograce2/content/ghgcalculationtool_electricityheatingcooling/overview" TargetMode="External"/><Relationship Id="rId118" Type="http://schemas.openxmlformats.org/officeDocument/2006/relationships/hyperlink" Target="https://www.biograce.net/biograce2/content/ghgcalculationtool_electricityheatingcooling/overview" TargetMode="External"/><Relationship Id="rId134" Type="http://schemas.openxmlformats.org/officeDocument/2006/relationships/hyperlink" Target="https://www.gov.uk/government/collections/government-conversion-factors-for-company-reporting" TargetMode="External"/><Relationship Id="rId139" Type="http://schemas.openxmlformats.org/officeDocument/2006/relationships/hyperlink" Target="https://ahdb.org.uk/nutrient-management-guide-rb209" TargetMode="External"/><Relationship Id="rId80" Type="http://schemas.openxmlformats.org/officeDocument/2006/relationships/hyperlink" Target="https://mediathek.fnr.de/guide-to-biogas-from-production-to-use.html" TargetMode="External"/><Relationship Id="rId85" Type="http://schemas.openxmlformats.org/officeDocument/2006/relationships/hyperlink" Target="https://mediathek.fnr.de/guide-to-biogas-from-production-to-use.html" TargetMode="External"/><Relationship Id="rId150" Type="http://schemas.openxmlformats.org/officeDocument/2006/relationships/hyperlink" Target="https://www.ieabioenergy.com/wp-content/uploads/2018/12/Food-waste_WEB_END.pdf" TargetMode="External"/><Relationship Id="rId155" Type="http://schemas.openxmlformats.org/officeDocument/2006/relationships/hyperlink" Target="https://www.biograce.net/content/ghgcalculationtools/recognisedtool" TargetMode="External"/><Relationship Id="rId171" Type="http://schemas.openxmlformats.org/officeDocument/2006/relationships/table" Target="../tables/table39.xml"/><Relationship Id="rId176" Type="http://schemas.openxmlformats.org/officeDocument/2006/relationships/table" Target="../tables/table44.xml"/><Relationship Id="rId192" Type="http://schemas.openxmlformats.org/officeDocument/2006/relationships/table" Target="../tables/table60.xml"/><Relationship Id="rId197" Type="http://schemas.openxmlformats.org/officeDocument/2006/relationships/table" Target="../tables/table65.xml"/><Relationship Id="rId201" Type="http://schemas.openxmlformats.org/officeDocument/2006/relationships/table" Target="../tables/table69.xml"/><Relationship Id="rId12" Type="http://schemas.openxmlformats.org/officeDocument/2006/relationships/hyperlink" Target="https://publications.jrc.ec.europa.eu/repository/handle/JRC119036" TargetMode="External"/><Relationship Id="rId17" Type="http://schemas.openxmlformats.org/officeDocument/2006/relationships/hyperlink" Target="https://mediathek.fnr.de/guide-to-biogas-from-production-to-use.html" TargetMode="External"/><Relationship Id="rId33" Type="http://schemas.openxmlformats.org/officeDocument/2006/relationships/hyperlink" Target="https://mediathek.fnr.de/guide-to-biogas-from-production-to-use.html" TargetMode="External"/><Relationship Id="rId38" Type="http://schemas.openxmlformats.org/officeDocument/2006/relationships/hyperlink" Target="https://mediathek.fnr.de/guide-to-biogas-from-production-to-use.html" TargetMode="External"/><Relationship Id="rId59" Type="http://schemas.openxmlformats.org/officeDocument/2006/relationships/hyperlink" Target="https://mediathek.fnr.de/guide-to-biogas-from-production-to-use.html" TargetMode="External"/><Relationship Id="rId103" Type="http://schemas.openxmlformats.org/officeDocument/2006/relationships/hyperlink" Target="https://www.biograce.net/biograce2/content/ghgcalculationtool_electricityheatingcooling/overview" TargetMode="External"/><Relationship Id="rId108" Type="http://schemas.openxmlformats.org/officeDocument/2006/relationships/hyperlink" Target="https://www.biograce.net/biograce2/content/ghgcalculationtool_electricityheatingcooling/overview" TargetMode="External"/><Relationship Id="rId124" Type="http://schemas.openxmlformats.org/officeDocument/2006/relationships/hyperlink" Target="https://www.biograce.net/biograce2/content/ghgcalculationtool_electricityheatingcooling/overview" TargetMode="External"/><Relationship Id="rId129" Type="http://schemas.openxmlformats.org/officeDocument/2006/relationships/hyperlink" Target="https://www.gov.uk/government/collections/government-conversion-factors-for-company-reporting" TargetMode="External"/><Relationship Id="rId54" Type="http://schemas.openxmlformats.org/officeDocument/2006/relationships/hyperlink" Target="https://mediathek.fnr.de/guide-to-biogas-from-production-to-use.html" TargetMode="External"/><Relationship Id="rId70" Type="http://schemas.openxmlformats.org/officeDocument/2006/relationships/hyperlink" Target="https://mediathek.fnr.de/guide-to-biogas-from-production-to-use.html" TargetMode="External"/><Relationship Id="rId75" Type="http://schemas.openxmlformats.org/officeDocument/2006/relationships/hyperlink" Target="https://mediathek.fnr.de/guide-to-biogas-from-production-to-use.html" TargetMode="External"/><Relationship Id="rId91" Type="http://schemas.openxmlformats.org/officeDocument/2006/relationships/hyperlink" Target="https://www.biograce.net/biograce2/content/ghgcalculationtool_electricityheatingcooling/overview" TargetMode="External"/><Relationship Id="rId96" Type="http://schemas.openxmlformats.org/officeDocument/2006/relationships/hyperlink" Target="https://www.biograce.net/biograce2/content/ghgcalculationtool_electricityheatingcooling/overview" TargetMode="External"/><Relationship Id="rId140" Type="http://schemas.openxmlformats.org/officeDocument/2006/relationships/hyperlink" Target="https://ahdb.org.uk/nutrient-management-guide-rb209" TargetMode="External"/><Relationship Id="rId145" Type="http://schemas.openxmlformats.org/officeDocument/2006/relationships/hyperlink" Target="https://ahdb.org.uk/nutrient-management-guide-rb209" TargetMode="External"/><Relationship Id="rId161" Type="http://schemas.openxmlformats.org/officeDocument/2006/relationships/hyperlink" Target="http://www.engineeringtoolbox.com/gas-density-d_158.html" TargetMode="External"/><Relationship Id="rId166" Type="http://schemas.openxmlformats.org/officeDocument/2006/relationships/drawing" Target="../drawings/drawing15.xml"/><Relationship Id="rId182" Type="http://schemas.openxmlformats.org/officeDocument/2006/relationships/table" Target="../tables/table50.xml"/><Relationship Id="rId187" Type="http://schemas.openxmlformats.org/officeDocument/2006/relationships/table" Target="../tables/table55.xml"/><Relationship Id="rId1" Type="http://schemas.openxmlformats.org/officeDocument/2006/relationships/hyperlink" Target="http://www.researchgate.net/publication/229306221_Applicability_of_biogas_digestate_as_solid_fuel" TargetMode="External"/><Relationship Id="rId6" Type="http://schemas.openxmlformats.org/officeDocument/2006/relationships/hyperlink" Target="http://dx.doi.org/10.2790/27486" TargetMode="External"/><Relationship Id="rId23" Type="http://schemas.openxmlformats.org/officeDocument/2006/relationships/hyperlink" Target="https://mediathek.fnr.de/guide-to-biogas-from-production-to-use.html" TargetMode="External"/><Relationship Id="rId28" Type="http://schemas.openxmlformats.org/officeDocument/2006/relationships/hyperlink" Target="https://mediathek.fnr.de/guide-to-biogas-from-production-to-use.html" TargetMode="External"/><Relationship Id="rId49" Type="http://schemas.openxmlformats.org/officeDocument/2006/relationships/hyperlink" Target="https://mediathek.fnr.de/guide-to-biogas-from-production-to-use.html" TargetMode="External"/><Relationship Id="rId114" Type="http://schemas.openxmlformats.org/officeDocument/2006/relationships/hyperlink" Target="https://www.biograce.net/biograce2/content/ghgcalculationtool_electricityheatingcooling/overview" TargetMode="External"/><Relationship Id="rId119" Type="http://schemas.openxmlformats.org/officeDocument/2006/relationships/hyperlink" Target="https://www.biograce.net/biograce2/content/ghgcalculationtool_electricityheatingcooling/overview" TargetMode="External"/><Relationship Id="rId44" Type="http://schemas.openxmlformats.org/officeDocument/2006/relationships/hyperlink" Target="https://mediathek.fnr.de/guide-to-biogas-from-production-to-use.html" TargetMode="External"/><Relationship Id="rId60" Type="http://schemas.openxmlformats.org/officeDocument/2006/relationships/hyperlink" Target="https://mediathek.fnr.de/guide-to-biogas-from-production-to-use.html" TargetMode="External"/><Relationship Id="rId65" Type="http://schemas.openxmlformats.org/officeDocument/2006/relationships/hyperlink" Target="https://mediathek.fnr.de/guide-to-biogas-from-production-to-use.html" TargetMode="External"/><Relationship Id="rId81" Type="http://schemas.openxmlformats.org/officeDocument/2006/relationships/hyperlink" Target="https://mediathek.fnr.de/guide-to-biogas-from-production-to-use.html" TargetMode="External"/><Relationship Id="rId86" Type="http://schemas.openxmlformats.org/officeDocument/2006/relationships/hyperlink" Target="https://mediathek.fnr.de/guide-to-biogas-from-production-to-use.html" TargetMode="External"/><Relationship Id="rId130" Type="http://schemas.openxmlformats.org/officeDocument/2006/relationships/hyperlink" Target="https://www.gov.uk/government/collections/government-conversion-factors-for-company-reporting" TargetMode="External"/><Relationship Id="rId135" Type="http://schemas.openxmlformats.org/officeDocument/2006/relationships/hyperlink" Target="https://ahdb.org.uk/nutrient-management-guide-rb209" TargetMode="External"/><Relationship Id="rId151" Type="http://schemas.openxmlformats.org/officeDocument/2006/relationships/hyperlink" Target="https://www.ieabioenergy.com/wp-content/uploads/2018/12/Food-waste_WEB_END.pdf" TargetMode="External"/><Relationship Id="rId156" Type="http://schemas.openxmlformats.org/officeDocument/2006/relationships/hyperlink" Target="https://www.biograce.net/content/ghgcalculationtools/recognisedtool" TargetMode="External"/><Relationship Id="rId177" Type="http://schemas.openxmlformats.org/officeDocument/2006/relationships/table" Target="../tables/table45.xml"/><Relationship Id="rId198" Type="http://schemas.openxmlformats.org/officeDocument/2006/relationships/table" Target="../tables/table66.xml"/><Relationship Id="rId172" Type="http://schemas.openxmlformats.org/officeDocument/2006/relationships/table" Target="../tables/table40.xml"/><Relationship Id="rId193" Type="http://schemas.openxmlformats.org/officeDocument/2006/relationships/table" Target="../tables/table61.xml"/><Relationship Id="rId202" Type="http://schemas.openxmlformats.org/officeDocument/2006/relationships/table" Target="../tables/table70.xml"/><Relationship Id="rId13" Type="http://schemas.openxmlformats.org/officeDocument/2006/relationships/hyperlink" Target="https://publications.jrc.ec.europa.eu/repository/handle/JRC119036" TargetMode="External"/><Relationship Id="rId18" Type="http://schemas.openxmlformats.org/officeDocument/2006/relationships/hyperlink" Target="https://mediathek.fnr.de/guide-to-biogas-from-production-to-use.html" TargetMode="External"/><Relationship Id="rId39" Type="http://schemas.openxmlformats.org/officeDocument/2006/relationships/hyperlink" Target="https://mediathek.fnr.de/guide-to-biogas-from-production-to-use.html" TargetMode="External"/><Relationship Id="rId109" Type="http://schemas.openxmlformats.org/officeDocument/2006/relationships/hyperlink" Target="https://www.biograce.net/biograce2/content/ghgcalculationtool_electricityheatingcooling/overview" TargetMode="External"/><Relationship Id="rId34" Type="http://schemas.openxmlformats.org/officeDocument/2006/relationships/hyperlink" Target="https://mediathek.fnr.de/guide-to-biogas-from-production-to-use.html" TargetMode="External"/><Relationship Id="rId50" Type="http://schemas.openxmlformats.org/officeDocument/2006/relationships/hyperlink" Target="https://mediathek.fnr.de/guide-to-biogas-from-production-to-use.html" TargetMode="External"/><Relationship Id="rId55" Type="http://schemas.openxmlformats.org/officeDocument/2006/relationships/hyperlink" Target="https://mediathek.fnr.de/guide-to-biogas-from-production-to-use.html" TargetMode="External"/><Relationship Id="rId76" Type="http://schemas.openxmlformats.org/officeDocument/2006/relationships/hyperlink" Target="https://mediathek.fnr.de/guide-to-biogas-from-production-to-use.html" TargetMode="External"/><Relationship Id="rId97" Type="http://schemas.openxmlformats.org/officeDocument/2006/relationships/hyperlink" Target="https://www.biograce.net/biograce2/content/ghgcalculationtool_electricityheatingcooling/overview" TargetMode="External"/><Relationship Id="rId104" Type="http://schemas.openxmlformats.org/officeDocument/2006/relationships/hyperlink" Target="https://www.biograce.net/biograce2/content/ghgcalculationtool_electricityheatingcooling/overview" TargetMode="External"/><Relationship Id="rId120" Type="http://schemas.openxmlformats.org/officeDocument/2006/relationships/hyperlink" Target="https://www.biograce.net/biograce2/content/ghgcalculationtool_electricityheatingcooling/overview" TargetMode="External"/><Relationship Id="rId125" Type="http://schemas.openxmlformats.org/officeDocument/2006/relationships/hyperlink" Target="https://www.biograce.net/biograce2/content/ghgcalculationtool_electricityheatingcooling/overview" TargetMode="External"/><Relationship Id="rId141" Type="http://schemas.openxmlformats.org/officeDocument/2006/relationships/hyperlink" Target="https://ahdb.org.uk/nutrient-management-guide-rb209" TargetMode="External"/><Relationship Id="rId146" Type="http://schemas.openxmlformats.org/officeDocument/2006/relationships/hyperlink" Target="https://mediathek.fnr.de/guide-to-biogas-from-production-to-use.html" TargetMode="External"/><Relationship Id="rId167" Type="http://schemas.openxmlformats.org/officeDocument/2006/relationships/table" Target="../tables/table35.xml"/><Relationship Id="rId188" Type="http://schemas.openxmlformats.org/officeDocument/2006/relationships/table" Target="../tables/table56.xml"/><Relationship Id="rId7" Type="http://schemas.openxmlformats.org/officeDocument/2006/relationships/hyperlink" Target="http://dx.doi.org/10.2790/27486" TargetMode="External"/><Relationship Id="rId71" Type="http://schemas.openxmlformats.org/officeDocument/2006/relationships/hyperlink" Target="https://mediathek.fnr.de/guide-to-biogas-from-production-to-use.html" TargetMode="External"/><Relationship Id="rId92" Type="http://schemas.openxmlformats.org/officeDocument/2006/relationships/hyperlink" Target="https://www.biograce.net/biograce2/content/ghgcalculationtool_electricityheatingcooling/overview" TargetMode="External"/><Relationship Id="rId162" Type="http://schemas.openxmlformats.org/officeDocument/2006/relationships/hyperlink" Target="http://www.engineeringtoolbox.com/gas-density-d_158.html;%20NTP" TargetMode="External"/><Relationship Id="rId183" Type="http://schemas.openxmlformats.org/officeDocument/2006/relationships/table" Target="../tables/table51.xml"/><Relationship Id="rId2" Type="http://schemas.openxmlformats.org/officeDocument/2006/relationships/hyperlink" Target="http://www.researchgate.net/publication/229306221_Applicability_of_biogas_digestate_as_solid_fuel" TargetMode="External"/><Relationship Id="rId29" Type="http://schemas.openxmlformats.org/officeDocument/2006/relationships/hyperlink" Target="https://mediathek.fnr.de/guide-to-biogas-from-production-to-use.html" TargetMode="External"/><Relationship Id="rId24" Type="http://schemas.openxmlformats.org/officeDocument/2006/relationships/hyperlink" Target="https://mediathek.fnr.de/guide-to-biogas-from-production-to-use.html" TargetMode="External"/><Relationship Id="rId40" Type="http://schemas.openxmlformats.org/officeDocument/2006/relationships/hyperlink" Target="https://mediathek.fnr.de/guide-to-biogas-from-production-to-use.html" TargetMode="External"/><Relationship Id="rId45" Type="http://schemas.openxmlformats.org/officeDocument/2006/relationships/hyperlink" Target="https://mediathek.fnr.de/guide-to-biogas-from-production-to-use.html" TargetMode="External"/><Relationship Id="rId66" Type="http://schemas.openxmlformats.org/officeDocument/2006/relationships/hyperlink" Target="https://mediathek.fnr.de/guide-to-biogas-from-production-to-use.html" TargetMode="External"/><Relationship Id="rId87" Type="http://schemas.openxmlformats.org/officeDocument/2006/relationships/hyperlink" Target="https://www.gov.uk/government/publications/methods-of-calculating-greenhouse-gas-emissions" TargetMode="External"/><Relationship Id="rId110" Type="http://schemas.openxmlformats.org/officeDocument/2006/relationships/hyperlink" Target="https://www.biograce.net/biograce2/content/ghgcalculationtool_electricityheatingcooling/overview" TargetMode="External"/><Relationship Id="rId115" Type="http://schemas.openxmlformats.org/officeDocument/2006/relationships/hyperlink" Target="https://www.biograce.net/biograce2/content/ghgcalculationtool_electricityheatingcooling/overview" TargetMode="External"/><Relationship Id="rId131" Type="http://schemas.openxmlformats.org/officeDocument/2006/relationships/hyperlink" Target="https://www.gov.uk/government/collections/government-conversion-factors-for-company-reporting" TargetMode="External"/><Relationship Id="rId136" Type="http://schemas.openxmlformats.org/officeDocument/2006/relationships/hyperlink" Target="https://ahdb.org.uk/nutrient-management-guide-rb209" TargetMode="External"/><Relationship Id="rId157" Type="http://schemas.openxmlformats.org/officeDocument/2006/relationships/hyperlink" Target="https://www.biograce.net/content/ghgcalculationtools/recognisedtool" TargetMode="External"/><Relationship Id="rId178" Type="http://schemas.openxmlformats.org/officeDocument/2006/relationships/table" Target="../tables/table46.xml"/><Relationship Id="rId61" Type="http://schemas.openxmlformats.org/officeDocument/2006/relationships/hyperlink" Target="https://mediathek.fnr.de/guide-to-biogas-from-production-to-use.html" TargetMode="External"/><Relationship Id="rId82" Type="http://schemas.openxmlformats.org/officeDocument/2006/relationships/hyperlink" Target="https://mediathek.fnr.de/guide-to-biogas-from-production-to-use.html" TargetMode="External"/><Relationship Id="rId152" Type="http://schemas.openxmlformats.org/officeDocument/2006/relationships/hyperlink" Target="https://www.biograce.net/biograce2/content/ghgcalculationtool_electricityheatingcooling/overview" TargetMode="External"/><Relationship Id="rId173" Type="http://schemas.openxmlformats.org/officeDocument/2006/relationships/table" Target="../tables/table41.xml"/><Relationship Id="rId194" Type="http://schemas.openxmlformats.org/officeDocument/2006/relationships/table" Target="../tables/table62.xml"/><Relationship Id="rId199" Type="http://schemas.openxmlformats.org/officeDocument/2006/relationships/table" Target="../tables/table67.xml"/><Relationship Id="rId203" Type="http://schemas.openxmlformats.org/officeDocument/2006/relationships/table" Target="../tables/table71.xml"/><Relationship Id="rId19" Type="http://schemas.openxmlformats.org/officeDocument/2006/relationships/hyperlink" Target="https://mediathek.fnr.de/guide-to-biogas-from-production-to-use.html" TargetMode="External"/><Relationship Id="rId14" Type="http://schemas.openxmlformats.org/officeDocument/2006/relationships/hyperlink" Target="https://mediathek.fnr.de/guide-to-biogas-from-production-to-use.html" TargetMode="External"/><Relationship Id="rId30" Type="http://schemas.openxmlformats.org/officeDocument/2006/relationships/hyperlink" Target="https://mediathek.fnr.de/guide-to-biogas-from-production-to-use.html" TargetMode="External"/><Relationship Id="rId35" Type="http://schemas.openxmlformats.org/officeDocument/2006/relationships/hyperlink" Target="https://mediathek.fnr.de/guide-to-biogas-from-production-to-use.html" TargetMode="External"/><Relationship Id="rId56" Type="http://schemas.openxmlformats.org/officeDocument/2006/relationships/hyperlink" Target="https://mediathek.fnr.de/guide-to-biogas-from-production-to-use.html" TargetMode="External"/><Relationship Id="rId77" Type="http://schemas.openxmlformats.org/officeDocument/2006/relationships/hyperlink" Target="https://mediathek.fnr.de/guide-to-biogas-from-production-to-use.html" TargetMode="External"/><Relationship Id="rId100" Type="http://schemas.openxmlformats.org/officeDocument/2006/relationships/hyperlink" Target="https://www.biograce.net/biograce2/content/ghgcalculationtool_electricityheatingcooling/overview" TargetMode="External"/><Relationship Id="rId105" Type="http://schemas.openxmlformats.org/officeDocument/2006/relationships/hyperlink" Target="https://www.biograce.net/biograce2/content/ghgcalculationtool_electricityheatingcooling/overview" TargetMode="External"/><Relationship Id="rId126" Type="http://schemas.openxmlformats.org/officeDocument/2006/relationships/hyperlink" Target="https://www.biograce.net/biograce2/content/ghgcalculationtool_electricityheatingcooling/overview" TargetMode="External"/><Relationship Id="rId147" Type="http://schemas.openxmlformats.org/officeDocument/2006/relationships/hyperlink" Target="https://mediathek.fnr.de/guide-to-biogas-from-production-to-use.html" TargetMode="External"/><Relationship Id="rId168" Type="http://schemas.openxmlformats.org/officeDocument/2006/relationships/table" Target="../tables/table36.xml"/><Relationship Id="rId8" Type="http://schemas.openxmlformats.org/officeDocument/2006/relationships/hyperlink" Target="http://dx.doi.org/10.2790/27486" TargetMode="External"/><Relationship Id="rId51" Type="http://schemas.openxmlformats.org/officeDocument/2006/relationships/hyperlink" Target="https://mediathek.fnr.de/guide-to-biogas-from-production-to-use.html" TargetMode="External"/><Relationship Id="rId72" Type="http://schemas.openxmlformats.org/officeDocument/2006/relationships/hyperlink" Target="https://mediathek.fnr.de/guide-to-biogas-from-production-to-use.html" TargetMode="External"/><Relationship Id="rId93" Type="http://schemas.openxmlformats.org/officeDocument/2006/relationships/hyperlink" Target="https://www.biograce.net/biograce2/content/ghgcalculationtool_electricityheatingcooling/overview" TargetMode="External"/><Relationship Id="rId98" Type="http://schemas.openxmlformats.org/officeDocument/2006/relationships/hyperlink" Target="https://www.biograce.net/biograce2/content/ghgcalculationtool_electricityheatingcooling/overview" TargetMode="External"/><Relationship Id="rId121" Type="http://schemas.openxmlformats.org/officeDocument/2006/relationships/hyperlink" Target="https://www.biograce.net/biograce2/content/ghgcalculationtool_electricityheatingcooling/overview" TargetMode="External"/><Relationship Id="rId142" Type="http://schemas.openxmlformats.org/officeDocument/2006/relationships/hyperlink" Target="https://ahdb.org.uk/nutrient-management-guide-rb209" TargetMode="External"/><Relationship Id="rId163" Type="http://schemas.openxmlformats.org/officeDocument/2006/relationships/hyperlink" Target="https://www.gov.uk/government/publications/methods-of-calculating-greenhouse-gas-emissions" TargetMode="External"/><Relationship Id="rId184" Type="http://schemas.openxmlformats.org/officeDocument/2006/relationships/table" Target="../tables/table52.xml"/><Relationship Id="rId189" Type="http://schemas.openxmlformats.org/officeDocument/2006/relationships/table" Target="../tables/table57.xml"/><Relationship Id="rId3" Type="http://schemas.openxmlformats.org/officeDocument/2006/relationships/hyperlink" Target="https://ahdb.org.uk/nutrient-management-guide-rb209" TargetMode="External"/><Relationship Id="rId25" Type="http://schemas.openxmlformats.org/officeDocument/2006/relationships/hyperlink" Target="https://mediathek.fnr.de/guide-to-biogas-from-production-to-use.html" TargetMode="External"/><Relationship Id="rId46" Type="http://schemas.openxmlformats.org/officeDocument/2006/relationships/hyperlink" Target="https://mediathek.fnr.de/guide-to-biogas-from-production-to-use.html" TargetMode="External"/><Relationship Id="rId67" Type="http://schemas.openxmlformats.org/officeDocument/2006/relationships/hyperlink" Target="https://mediathek.fnr.de/guide-to-biogas-from-production-to-use.html" TargetMode="External"/><Relationship Id="rId116" Type="http://schemas.openxmlformats.org/officeDocument/2006/relationships/hyperlink" Target="https://www.biograce.net/biograce2/content/ghgcalculationtool_electricityheatingcooling/overview" TargetMode="External"/><Relationship Id="rId137" Type="http://schemas.openxmlformats.org/officeDocument/2006/relationships/hyperlink" Target="https://ahdb.org.uk/nutrient-management-guide-rb209" TargetMode="External"/><Relationship Id="rId158" Type="http://schemas.openxmlformats.org/officeDocument/2006/relationships/hyperlink" Target="http://www.engineeringtoolbox.com/gas-density-d_158.html" TargetMode="External"/><Relationship Id="rId20" Type="http://schemas.openxmlformats.org/officeDocument/2006/relationships/hyperlink" Target="https://mediathek.fnr.de/guide-to-biogas-from-production-to-use.html" TargetMode="External"/><Relationship Id="rId41" Type="http://schemas.openxmlformats.org/officeDocument/2006/relationships/hyperlink" Target="https://mediathek.fnr.de/guide-to-biogas-from-production-to-use.html" TargetMode="External"/><Relationship Id="rId62" Type="http://schemas.openxmlformats.org/officeDocument/2006/relationships/hyperlink" Target="https://mediathek.fnr.de/guide-to-biogas-from-production-to-use.html" TargetMode="External"/><Relationship Id="rId83" Type="http://schemas.openxmlformats.org/officeDocument/2006/relationships/hyperlink" Target="https://mediathek.fnr.de/guide-to-biogas-from-production-to-use.html" TargetMode="External"/><Relationship Id="rId88" Type="http://schemas.openxmlformats.org/officeDocument/2006/relationships/hyperlink" Target="https://www.biograce.net/biograce2/content/ghgcalculationtool_electricityheatingcooling/overview" TargetMode="External"/><Relationship Id="rId111" Type="http://schemas.openxmlformats.org/officeDocument/2006/relationships/hyperlink" Target="https://www.biograce.net/biograce2/content/ghgcalculationtool_electricityheatingcooling/overview" TargetMode="External"/><Relationship Id="rId132" Type="http://schemas.openxmlformats.org/officeDocument/2006/relationships/hyperlink" Target="https://www.gov.uk/government/collections/government-conversion-factors-for-company-reporting" TargetMode="External"/><Relationship Id="rId153" Type="http://schemas.openxmlformats.org/officeDocument/2006/relationships/hyperlink" Target="https://www.biograce.net/biograce2/content/ghgcalculationtool_electricityheatingcooling/overview" TargetMode="External"/><Relationship Id="rId174" Type="http://schemas.openxmlformats.org/officeDocument/2006/relationships/table" Target="../tables/table42.xml"/><Relationship Id="rId179" Type="http://schemas.openxmlformats.org/officeDocument/2006/relationships/table" Target="../tables/table47.xml"/><Relationship Id="rId195" Type="http://schemas.openxmlformats.org/officeDocument/2006/relationships/table" Target="../tables/table63.xml"/><Relationship Id="rId190" Type="http://schemas.openxmlformats.org/officeDocument/2006/relationships/table" Target="../tables/table58.xml"/><Relationship Id="rId204" Type="http://schemas.openxmlformats.org/officeDocument/2006/relationships/table" Target="../tables/table72.xml"/><Relationship Id="rId15" Type="http://schemas.openxmlformats.org/officeDocument/2006/relationships/hyperlink" Target="https://mediathek.fnr.de/guide-to-biogas-from-production-to-use.html" TargetMode="External"/><Relationship Id="rId36" Type="http://schemas.openxmlformats.org/officeDocument/2006/relationships/hyperlink" Target="https://mediathek.fnr.de/guide-to-biogas-from-production-to-use.html" TargetMode="External"/><Relationship Id="rId57" Type="http://schemas.openxmlformats.org/officeDocument/2006/relationships/hyperlink" Target="https://mediathek.fnr.de/guide-to-biogas-from-production-to-use.html" TargetMode="External"/><Relationship Id="rId106" Type="http://schemas.openxmlformats.org/officeDocument/2006/relationships/hyperlink" Target="https://www.biograce.net/biograce2/content/ghgcalculationtool_electricityheatingcooling/overview" TargetMode="External"/><Relationship Id="rId127" Type="http://schemas.openxmlformats.org/officeDocument/2006/relationships/hyperlink" Target="https://www.ofgem.gov.uk/sites/default/files/docs/2021/04/sustainability_self-reporting_guidance_final_2021.pdf" TargetMode="External"/><Relationship Id="rId10" Type="http://schemas.openxmlformats.org/officeDocument/2006/relationships/hyperlink" Target="https://www.gov.uk/government/statistics/natural-gas-chapter-4-digest-of-united-kingdom-energy-statistics-dukes" TargetMode="External"/><Relationship Id="rId31" Type="http://schemas.openxmlformats.org/officeDocument/2006/relationships/hyperlink" Target="https://mediathek.fnr.de/guide-to-biogas-from-production-to-use.html" TargetMode="External"/><Relationship Id="rId52" Type="http://schemas.openxmlformats.org/officeDocument/2006/relationships/hyperlink" Target="https://mediathek.fnr.de/guide-to-biogas-from-production-to-use.html" TargetMode="External"/><Relationship Id="rId73" Type="http://schemas.openxmlformats.org/officeDocument/2006/relationships/hyperlink" Target="https://mediathek.fnr.de/guide-to-biogas-from-production-to-use.html" TargetMode="External"/><Relationship Id="rId78" Type="http://schemas.openxmlformats.org/officeDocument/2006/relationships/hyperlink" Target="https://mediathek.fnr.de/guide-to-biogas-from-production-to-use.html" TargetMode="External"/><Relationship Id="rId94" Type="http://schemas.openxmlformats.org/officeDocument/2006/relationships/hyperlink" Target="https://www.biograce.net/biograce2/content/ghgcalculationtool_electricityheatingcooling/overview" TargetMode="External"/><Relationship Id="rId99" Type="http://schemas.openxmlformats.org/officeDocument/2006/relationships/hyperlink" Target="https://www.biograce.net/biograce2/content/ghgcalculationtool_electricityheatingcooling/overview" TargetMode="External"/><Relationship Id="rId101" Type="http://schemas.openxmlformats.org/officeDocument/2006/relationships/hyperlink" Target="https://www.biograce.net/biograce2/content/ghgcalculationtool_electricityheatingcooling/overview" TargetMode="External"/><Relationship Id="rId122" Type="http://schemas.openxmlformats.org/officeDocument/2006/relationships/hyperlink" Target="https://www.biograce.net/biograce2/content/ghgcalculationtool_electricityheatingcooling/overview" TargetMode="External"/><Relationship Id="rId143" Type="http://schemas.openxmlformats.org/officeDocument/2006/relationships/hyperlink" Target="https://ahdb.org.uk/nutrient-management-guide-rb209" TargetMode="External"/><Relationship Id="rId148" Type="http://schemas.openxmlformats.org/officeDocument/2006/relationships/hyperlink" Target="https://mediathek.fnr.de/guide-to-biogas-from-production-to-use.html" TargetMode="External"/><Relationship Id="rId164" Type="http://schemas.openxmlformats.org/officeDocument/2006/relationships/hyperlink" Target="https://www.gov.uk/government/publications/methods-of-calculating-greenhouse-gas-emissions" TargetMode="External"/><Relationship Id="rId169" Type="http://schemas.openxmlformats.org/officeDocument/2006/relationships/table" Target="../tables/table37.xml"/><Relationship Id="rId185" Type="http://schemas.openxmlformats.org/officeDocument/2006/relationships/table" Target="../tables/table53.xml"/><Relationship Id="rId4" Type="http://schemas.openxmlformats.org/officeDocument/2006/relationships/hyperlink" Target="http://www2.nationalgrid.com/UK/Industry-information/Gas-transmission-operational-data/calorific-value-description/" TargetMode="External"/><Relationship Id="rId9" Type="http://schemas.openxmlformats.org/officeDocument/2006/relationships/hyperlink" Target="http://dx.doi.org/10.2790/27486" TargetMode="External"/><Relationship Id="rId180" Type="http://schemas.openxmlformats.org/officeDocument/2006/relationships/table" Target="../tables/table48.xml"/><Relationship Id="rId26" Type="http://schemas.openxmlformats.org/officeDocument/2006/relationships/hyperlink" Target="https://mediathek.fnr.de/guide-to-biogas-from-production-to-use.html" TargetMode="External"/><Relationship Id="rId47" Type="http://schemas.openxmlformats.org/officeDocument/2006/relationships/hyperlink" Target="https://mediathek.fnr.de/guide-to-biogas-from-production-to-use.html" TargetMode="External"/><Relationship Id="rId68" Type="http://schemas.openxmlformats.org/officeDocument/2006/relationships/hyperlink" Target="https://mediathek.fnr.de/guide-to-biogas-from-production-to-use.html" TargetMode="External"/><Relationship Id="rId89" Type="http://schemas.openxmlformats.org/officeDocument/2006/relationships/hyperlink" Target="https://www.biograce.net/biograce2/content/ghgcalculationtool_electricityheatingcooling/overview" TargetMode="External"/><Relationship Id="rId112" Type="http://schemas.openxmlformats.org/officeDocument/2006/relationships/hyperlink" Target="https://www.biograce.net/biograce2/content/ghgcalculationtool_electricityheatingcooling/overview" TargetMode="External"/><Relationship Id="rId133" Type="http://schemas.openxmlformats.org/officeDocument/2006/relationships/hyperlink" Target="https://www.gov.uk/government/collections/government-conversion-factors-for-company-reporting" TargetMode="External"/><Relationship Id="rId154" Type="http://schemas.openxmlformats.org/officeDocument/2006/relationships/hyperlink" Target="https://www.biograce.net/biograce2/content/ghgcalculationtool_electricityheatingcooling/overview" TargetMode="External"/><Relationship Id="rId175" Type="http://schemas.openxmlformats.org/officeDocument/2006/relationships/table" Target="../tables/table43.xml"/><Relationship Id="rId196" Type="http://schemas.openxmlformats.org/officeDocument/2006/relationships/table" Target="../tables/table64.xml"/><Relationship Id="rId200" Type="http://schemas.openxmlformats.org/officeDocument/2006/relationships/table" Target="../tables/table68.xml"/></Relationships>
</file>

<file path=xl/worksheets/_rels/sheet16.xml.rels><?xml version="1.0" encoding="UTF-8" standalone="yes"?>
<Relationships xmlns="http://schemas.openxmlformats.org/package/2006/relationships"><Relationship Id="rId2" Type="http://schemas.openxmlformats.org/officeDocument/2006/relationships/table" Target="../tables/table74.xml"/><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Q38"/>
  <sheetViews>
    <sheetView tabSelected="1" zoomScaleNormal="100" workbookViewId="0">
      <selection activeCell="S19" sqref="S19"/>
    </sheetView>
  </sheetViews>
  <sheetFormatPr defaultColWidth="9.109375" defaultRowHeight="14.4" x14ac:dyDescent="0.3"/>
  <cols>
    <col min="1" max="1" width="5.6640625" style="198" customWidth="1"/>
    <col min="2" max="2" width="9" style="198" customWidth="1"/>
    <col min="3" max="13" width="9.109375" style="198"/>
    <col min="14" max="14" width="9.109375" style="198" customWidth="1"/>
    <col min="15" max="17" width="9.109375" style="198"/>
    <col min="18" max="18" width="2.6640625" style="198" customWidth="1"/>
    <col min="19" max="16384" width="9.109375" style="198"/>
  </cols>
  <sheetData>
    <row r="1" spans="1:17" s="158" customFormat="1" ht="24.75" customHeight="1" x14ac:dyDescent="0.4">
      <c r="A1" s="159"/>
      <c r="B1" s="159"/>
      <c r="C1" s="159"/>
    </row>
    <row r="2" spans="1:17" ht="24.75" customHeight="1" x14ac:dyDescent="0.3">
      <c r="J2"/>
    </row>
    <row r="3" spans="1:17" ht="24.75" customHeight="1" x14ac:dyDescent="0.3"/>
    <row r="4" spans="1:17" s="199" customFormat="1" ht="23.25" customHeight="1" x14ac:dyDescent="0.3"/>
    <row r="5" spans="1:17" s="157" customFormat="1" x14ac:dyDescent="0.3"/>
    <row r="6" spans="1:17" s="157" customFormat="1" ht="16.8" x14ac:dyDescent="0.3">
      <c r="B6" s="707" t="s">
        <v>0</v>
      </c>
      <c r="C6" s="707"/>
      <c r="D6" s="707"/>
      <c r="E6" s="707"/>
      <c r="F6" s="707"/>
      <c r="G6" s="707"/>
      <c r="H6" s="707"/>
      <c r="I6" s="707"/>
      <c r="J6" s="707"/>
      <c r="K6" s="707"/>
      <c r="L6" s="707"/>
      <c r="M6" s="707"/>
      <c r="N6" s="707"/>
      <c r="O6" s="707"/>
      <c r="P6" s="707"/>
      <c r="Q6" s="707"/>
    </row>
    <row r="7" spans="1:17" s="157" customFormat="1" ht="54" customHeight="1" x14ac:dyDescent="0.3">
      <c r="B7" s="705" t="s">
        <v>1</v>
      </c>
      <c r="C7" s="705"/>
      <c r="D7" s="705"/>
      <c r="E7" s="705"/>
      <c r="F7" s="705"/>
      <c r="G7" s="705"/>
      <c r="H7" s="705"/>
      <c r="I7" s="705"/>
      <c r="J7" s="705"/>
      <c r="K7" s="705"/>
      <c r="L7" s="705"/>
      <c r="M7" s="705"/>
      <c r="N7" s="705"/>
      <c r="O7" s="705"/>
      <c r="P7" s="705"/>
      <c r="Q7" s="705"/>
    </row>
    <row r="8" spans="1:17" s="157" customFormat="1" ht="16.8" x14ac:dyDescent="0.3">
      <c r="B8" s="707" t="s">
        <v>2</v>
      </c>
      <c r="C8" s="707"/>
      <c r="D8" s="707"/>
      <c r="E8" s="707"/>
      <c r="F8" s="707"/>
      <c r="G8" s="707"/>
      <c r="H8" s="707"/>
      <c r="I8" s="707"/>
      <c r="J8" s="707"/>
      <c r="K8" s="707"/>
      <c r="L8" s="707"/>
      <c r="M8" s="707"/>
      <c r="N8" s="707"/>
      <c r="O8" s="707"/>
      <c r="P8" s="707"/>
      <c r="Q8" s="707"/>
    </row>
    <row r="9" spans="1:17" s="157" customFormat="1" ht="18" customHeight="1" x14ac:dyDescent="0.3">
      <c r="B9" s="705" t="s">
        <v>3</v>
      </c>
      <c r="C9" s="705"/>
      <c r="D9" s="705"/>
      <c r="E9" s="705"/>
      <c r="F9" s="705"/>
      <c r="G9" s="705"/>
      <c r="H9" s="705"/>
      <c r="I9" s="705"/>
      <c r="J9" s="705"/>
      <c r="K9" s="705"/>
      <c r="L9" s="705"/>
      <c r="M9" s="705"/>
      <c r="N9" s="705"/>
      <c r="O9" s="705"/>
      <c r="P9" s="705"/>
      <c r="Q9" s="705"/>
    </row>
    <row r="10" spans="1:17" s="157" customFormat="1" ht="19.5" customHeight="1" x14ac:dyDescent="0.3">
      <c r="B10" s="705" t="s">
        <v>4</v>
      </c>
      <c r="C10" s="706"/>
      <c r="D10" s="706"/>
      <c r="E10" s="706"/>
      <c r="F10" s="706"/>
      <c r="G10" s="706"/>
      <c r="H10" s="706"/>
      <c r="I10" s="706"/>
      <c r="J10" s="706"/>
      <c r="K10" s="706"/>
      <c r="L10" s="706"/>
      <c r="M10" s="706"/>
      <c r="N10" s="706"/>
      <c r="O10" s="706"/>
      <c r="P10" s="706"/>
      <c r="Q10" s="706"/>
    </row>
    <row r="11" spans="1:17" s="157" customFormat="1" ht="19.5" customHeight="1" x14ac:dyDescent="0.3">
      <c r="B11" s="705" t="s">
        <v>5</v>
      </c>
      <c r="C11" s="706"/>
      <c r="D11" s="706"/>
      <c r="E11" s="706"/>
      <c r="F11" s="706"/>
      <c r="G11" s="706"/>
      <c r="H11" s="706"/>
      <c r="I11" s="706"/>
      <c r="J11" s="706"/>
      <c r="K11" s="706"/>
      <c r="L11" s="706"/>
      <c r="M11" s="706"/>
      <c r="N11" s="706"/>
      <c r="O11" s="706"/>
      <c r="P11" s="706"/>
      <c r="Q11" s="706"/>
    </row>
    <row r="12" spans="1:17" s="157" customFormat="1" ht="32.25" customHeight="1" x14ac:dyDescent="0.3">
      <c r="B12" s="705" t="s">
        <v>6</v>
      </c>
      <c r="C12" s="706"/>
      <c r="D12" s="706"/>
      <c r="E12" s="706"/>
      <c r="F12" s="706"/>
      <c r="G12" s="706"/>
      <c r="H12" s="706"/>
      <c r="I12" s="706"/>
      <c r="J12" s="706"/>
      <c r="K12" s="706"/>
      <c r="L12" s="706"/>
      <c r="M12" s="706"/>
      <c r="N12" s="706"/>
      <c r="O12" s="706"/>
      <c r="P12" s="706"/>
      <c r="Q12" s="706"/>
    </row>
    <row r="13" spans="1:17" s="157" customFormat="1" ht="33" customHeight="1" x14ac:dyDescent="0.3">
      <c r="B13" s="705" t="s">
        <v>7</v>
      </c>
      <c r="C13" s="706"/>
      <c r="D13" s="706"/>
      <c r="E13" s="706"/>
      <c r="F13" s="706"/>
      <c r="G13" s="706"/>
      <c r="H13" s="706"/>
      <c r="I13" s="706"/>
      <c r="J13" s="706"/>
      <c r="K13" s="706"/>
      <c r="L13" s="706"/>
      <c r="M13" s="706"/>
      <c r="N13" s="706"/>
      <c r="O13" s="706"/>
      <c r="P13" s="706"/>
      <c r="Q13" s="706"/>
    </row>
    <row r="14" spans="1:17" s="157" customFormat="1" ht="30.75" customHeight="1" x14ac:dyDescent="0.3">
      <c r="B14" s="705" t="s">
        <v>8</v>
      </c>
      <c r="C14" s="706"/>
      <c r="D14" s="706"/>
      <c r="E14" s="706"/>
      <c r="F14" s="706"/>
      <c r="G14" s="706"/>
      <c r="H14" s="706"/>
      <c r="I14" s="706"/>
      <c r="J14" s="706"/>
      <c r="K14" s="706"/>
      <c r="L14" s="706"/>
      <c r="M14" s="706"/>
      <c r="N14" s="706"/>
      <c r="O14" s="706"/>
      <c r="P14" s="706"/>
      <c r="Q14" s="706"/>
    </row>
    <row r="15" spans="1:17" s="157" customFormat="1" ht="31.5" customHeight="1" x14ac:dyDescent="0.3">
      <c r="B15" s="705" t="s">
        <v>9</v>
      </c>
      <c r="C15" s="706"/>
      <c r="D15" s="706"/>
      <c r="E15" s="706"/>
      <c r="F15" s="706"/>
      <c r="G15" s="706"/>
      <c r="H15" s="706"/>
      <c r="I15" s="706"/>
      <c r="J15" s="706"/>
      <c r="K15" s="706"/>
      <c r="L15" s="706"/>
      <c r="M15" s="706"/>
      <c r="N15" s="706"/>
      <c r="O15" s="706"/>
      <c r="P15" s="706"/>
      <c r="Q15" s="706"/>
    </row>
    <row r="16" spans="1:17" s="157" customFormat="1" ht="24.9" customHeight="1" x14ac:dyDescent="0.3">
      <c r="B16" s="705" t="s">
        <v>10</v>
      </c>
      <c r="C16" s="706"/>
      <c r="D16" s="706"/>
      <c r="E16" s="706"/>
      <c r="F16" s="706"/>
      <c r="G16" s="706"/>
      <c r="H16" s="706"/>
      <c r="I16" s="706"/>
      <c r="J16" s="706"/>
      <c r="K16" s="706"/>
      <c r="L16" s="706"/>
      <c r="M16" s="706"/>
      <c r="N16" s="706"/>
      <c r="O16" s="706"/>
      <c r="P16" s="706"/>
      <c r="Q16" s="706"/>
    </row>
    <row r="17" spans="2:17" s="157" customFormat="1" ht="16.8" x14ac:dyDescent="0.3">
      <c r="B17" s="707" t="s">
        <v>11</v>
      </c>
      <c r="C17" s="707"/>
      <c r="D17" s="707"/>
      <c r="E17" s="707"/>
      <c r="F17" s="707"/>
      <c r="G17" s="707"/>
      <c r="H17" s="707"/>
      <c r="I17" s="707"/>
      <c r="J17" s="707"/>
      <c r="K17" s="707"/>
      <c r="L17" s="707"/>
      <c r="M17" s="707"/>
      <c r="N17" s="707"/>
      <c r="O17" s="707"/>
      <c r="P17" s="707"/>
      <c r="Q17" s="707"/>
    </row>
    <row r="18" spans="2:17" s="157" customFormat="1" ht="19.5" customHeight="1" x14ac:dyDescent="0.3">
      <c r="B18" s="708" t="s">
        <v>12</v>
      </c>
      <c r="C18" s="709"/>
      <c r="D18" s="709"/>
      <c r="E18" s="709"/>
      <c r="F18" s="709"/>
      <c r="G18" s="709"/>
      <c r="H18" s="709"/>
      <c r="I18" s="709"/>
      <c r="J18" s="709"/>
      <c r="K18" s="709"/>
      <c r="L18" s="709"/>
      <c r="M18" s="709"/>
      <c r="N18" s="453"/>
      <c r="O18" s="453"/>
      <c r="P18" s="453"/>
      <c r="Q18" s="453"/>
    </row>
    <row r="19" spans="2:17" s="157" customFormat="1" ht="19.5" customHeight="1" x14ac:dyDescent="0.3">
      <c r="B19" s="710" t="s">
        <v>750</v>
      </c>
      <c r="C19" s="710"/>
      <c r="D19" s="710"/>
      <c r="E19" s="710"/>
      <c r="F19" s="710"/>
      <c r="G19" s="710"/>
      <c r="H19" s="710"/>
      <c r="I19" s="710"/>
      <c r="J19" s="710"/>
      <c r="K19" s="710"/>
      <c r="L19" s="710"/>
      <c r="M19" s="710"/>
      <c r="N19" s="710"/>
      <c r="O19" s="710"/>
      <c r="P19" s="710"/>
      <c r="Q19" s="710"/>
    </row>
    <row r="20" spans="2:17" s="157" customFormat="1" ht="60" customHeight="1" x14ac:dyDescent="0.3">
      <c r="B20" s="705" t="s">
        <v>13</v>
      </c>
      <c r="C20" s="705"/>
      <c r="D20" s="705"/>
      <c r="E20" s="705"/>
      <c r="F20" s="705"/>
      <c r="G20" s="705"/>
      <c r="H20" s="705"/>
      <c r="I20" s="705"/>
      <c r="J20" s="705"/>
      <c r="K20" s="705"/>
      <c r="L20" s="705"/>
      <c r="M20" s="705"/>
      <c r="N20" s="705"/>
      <c r="O20" s="705"/>
      <c r="P20" s="705"/>
      <c r="Q20" s="705"/>
    </row>
    <row r="21" spans="2:17" s="157" customFormat="1" ht="60" customHeight="1" x14ac:dyDescent="0.3">
      <c r="B21" s="705" t="s">
        <v>14</v>
      </c>
      <c r="C21" s="705"/>
      <c r="D21" s="705"/>
      <c r="E21" s="705"/>
      <c r="F21" s="705"/>
      <c r="G21" s="705"/>
      <c r="H21" s="705"/>
      <c r="I21" s="705"/>
      <c r="J21" s="705"/>
      <c r="K21" s="705"/>
      <c r="L21" s="705"/>
      <c r="M21" s="705"/>
      <c r="N21" s="705"/>
      <c r="O21" s="705"/>
      <c r="P21" s="705"/>
      <c r="Q21" s="705"/>
    </row>
    <row r="22" spans="2:17" s="157" customFormat="1" ht="33" customHeight="1" x14ac:dyDescent="0.3">
      <c r="B22" s="705" t="s">
        <v>15</v>
      </c>
      <c r="C22" s="705"/>
      <c r="D22" s="705"/>
      <c r="E22" s="705"/>
      <c r="F22" s="705"/>
      <c r="G22" s="705"/>
      <c r="H22" s="705"/>
      <c r="I22" s="705"/>
      <c r="J22" s="705"/>
      <c r="K22" s="705"/>
      <c r="L22" s="705"/>
      <c r="M22" s="705"/>
      <c r="N22" s="705"/>
      <c r="O22" s="705"/>
      <c r="P22" s="705"/>
      <c r="Q22" s="705"/>
    </row>
    <row r="23" spans="2:17" s="157" customFormat="1" ht="33" customHeight="1" x14ac:dyDescent="0.3">
      <c r="B23" s="705" t="s">
        <v>16</v>
      </c>
      <c r="C23" s="705"/>
      <c r="D23" s="705"/>
      <c r="E23" s="705"/>
      <c r="F23" s="705"/>
      <c r="G23" s="705"/>
      <c r="H23" s="705"/>
      <c r="I23" s="705"/>
      <c r="J23" s="705"/>
      <c r="K23" s="705"/>
      <c r="L23" s="705"/>
      <c r="M23" s="705"/>
      <c r="N23" s="705"/>
      <c r="O23" s="705"/>
      <c r="P23" s="705"/>
      <c r="Q23" s="705"/>
    </row>
    <row r="24" spans="2:17" s="157" customFormat="1" ht="32.25" customHeight="1" x14ac:dyDescent="0.3">
      <c r="B24" s="705" t="s">
        <v>17</v>
      </c>
      <c r="C24" s="705"/>
      <c r="D24" s="705"/>
      <c r="E24" s="705"/>
      <c r="F24" s="705"/>
      <c r="G24" s="705"/>
      <c r="H24" s="705"/>
      <c r="I24" s="705"/>
      <c r="J24" s="705"/>
      <c r="K24" s="705"/>
      <c r="L24" s="705"/>
      <c r="M24" s="705"/>
      <c r="N24" s="705"/>
      <c r="O24" s="705"/>
      <c r="P24" s="705"/>
      <c r="Q24" s="705"/>
    </row>
    <row r="25" spans="2:17" s="157" customFormat="1" ht="36" customHeight="1" x14ac:dyDescent="0.3">
      <c r="B25" s="705" t="s">
        <v>747</v>
      </c>
      <c r="C25" s="705"/>
      <c r="D25" s="705"/>
      <c r="E25" s="705"/>
      <c r="F25" s="705"/>
      <c r="G25" s="705"/>
      <c r="H25" s="705"/>
      <c r="I25" s="705"/>
      <c r="J25" s="705"/>
      <c r="K25" s="705"/>
      <c r="L25" s="705"/>
      <c r="M25" s="705"/>
      <c r="N25" s="705"/>
      <c r="O25" s="705"/>
      <c r="P25" s="705"/>
      <c r="Q25" s="705"/>
    </row>
    <row r="26" spans="2:17" s="157" customFormat="1" ht="15" x14ac:dyDescent="0.35">
      <c r="B26" s="205" t="s">
        <v>18</v>
      </c>
    </row>
    <row r="27" spans="2:17" s="157" customFormat="1" ht="61.5" customHeight="1" x14ac:dyDescent="0.3">
      <c r="B27" s="705" t="s">
        <v>19</v>
      </c>
      <c r="C27" s="705"/>
      <c r="D27" s="705"/>
      <c r="E27" s="705"/>
      <c r="F27" s="705"/>
      <c r="G27" s="705"/>
      <c r="H27" s="705"/>
      <c r="I27" s="705"/>
      <c r="J27" s="705"/>
      <c r="K27" s="705"/>
      <c r="L27" s="705"/>
      <c r="M27" s="705"/>
      <c r="N27" s="705"/>
      <c r="O27" s="705"/>
      <c r="P27" s="705"/>
      <c r="Q27" s="705"/>
    </row>
    <row r="28" spans="2:17" s="113" customFormat="1" ht="16.8" x14ac:dyDescent="0.4"/>
    <row r="29" spans="2:17" s="190" customFormat="1" ht="3" customHeight="1" x14ac:dyDescent="0.35"/>
    <row r="30" spans="2:17" s="1" customFormat="1" ht="20.25" customHeight="1" x14ac:dyDescent="0.35"/>
    <row r="31" spans="2:17" s="1" customFormat="1" ht="15" x14ac:dyDescent="0.35">
      <c r="B31" s="259" t="s">
        <v>20</v>
      </c>
      <c r="E31" s="100"/>
      <c r="F31" s="100" t="s">
        <v>21</v>
      </c>
      <c r="G31" s="100" t="s">
        <v>22</v>
      </c>
      <c r="I31" s="259"/>
      <c r="K31" s="259"/>
      <c r="O31" s="100"/>
      <c r="P31" s="100"/>
    </row>
    <row r="32" spans="2:17" s="1" customFormat="1" ht="14.4" customHeight="1" x14ac:dyDescent="0.35">
      <c r="B32" s="100" t="s">
        <v>23</v>
      </c>
      <c r="E32" s="100"/>
      <c r="F32" s="100" t="s">
        <v>24</v>
      </c>
      <c r="G32" s="204" t="s">
        <v>25</v>
      </c>
      <c r="O32" s="100"/>
      <c r="P32" s="204"/>
    </row>
    <row r="33" spans="2:16" s="1" customFormat="1" ht="15" x14ac:dyDescent="0.35">
      <c r="B33" s="100"/>
      <c r="C33" s="202"/>
      <c r="E33" s="100"/>
      <c r="F33" s="100" t="s">
        <v>26</v>
      </c>
      <c r="G33" s="202" t="s">
        <v>27</v>
      </c>
      <c r="O33" s="100"/>
      <c r="P33" s="203"/>
    </row>
    <row r="34" spans="2:16" s="1" customFormat="1" ht="15" x14ac:dyDescent="0.35">
      <c r="B34" s="100"/>
      <c r="C34" s="203"/>
      <c r="E34" s="100"/>
      <c r="F34" s="100" t="s">
        <v>28</v>
      </c>
      <c r="G34" s="203" t="s">
        <v>29</v>
      </c>
    </row>
    <row r="35" spans="2:16" s="1" customFormat="1" ht="11.25" customHeight="1" x14ac:dyDescent="0.35">
      <c r="B35" s="2"/>
      <c r="C35" s="3"/>
      <c r="E35" s="2"/>
    </row>
    <row r="36" spans="2:16" s="200" customFormat="1" ht="3.75" customHeight="1" thickBot="1" x14ac:dyDescent="0.45"/>
    <row r="37" spans="2:16" s="158" customFormat="1" ht="16.8" x14ac:dyDescent="0.4"/>
    <row r="38" spans="2:16" s="158" customFormat="1" ht="16.8" x14ac:dyDescent="0.4"/>
  </sheetData>
  <sheetProtection algorithmName="SHA-512" hashValue="UG9MAx2IZiHIvF+8k+tMsIWprl41VB3Rf+PWTvC/Mr/BOBwLOW6lt45jsGFSFN3dEGqxnznYrggfd1QuKBzzpw==" saltValue="w16gGm1L72J4fXNsRFN24Q==" spinCount="100000" sheet="1" objects="1" scenarios="1"/>
  <mergeCells count="21">
    <mergeCell ref="B23:Q23"/>
    <mergeCell ref="B27:Q27"/>
    <mergeCell ref="B6:Q6"/>
    <mergeCell ref="B20:Q20"/>
    <mergeCell ref="B7:Q7"/>
    <mergeCell ref="B24:Q24"/>
    <mergeCell ref="B25:Q25"/>
    <mergeCell ref="B21:Q21"/>
    <mergeCell ref="B22:Q22"/>
    <mergeCell ref="B18:M18"/>
    <mergeCell ref="B19:Q19"/>
    <mergeCell ref="B17:Q17"/>
    <mergeCell ref="B15:Q15"/>
    <mergeCell ref="B16:Q16"/>
    <mergeCell ref="B11:Q11"/>
    <mergeCell ref="B8:Q8"/>
    <mergeCell ref="B9:Q9"/>
    <mergeCell ref="B12:Q12"/>
    <mergeCell ref="B13:Q13"/>
    <mergeCell ref="B14:Q14"/>
    <mergeCell ref="B10:Q10"/>
  </mergeCells>
  <hyperlinks>
    <hyperlink ref="G33" r:id="rId1" display="https://www.ofgem.gov.uk/publications-and-updates/draft-guidance-documents-non-domestic-rhi-sustainability-requirements-coming-force-5-october-2015" xr:uid="{00000000-0004-0000-0000-000001000000}"/>
    <hyperlink ref="B18" r:id="rId2" display="Green Gas Support Scheme (GGSS) guidance https://www.ofgem.gov.uk/publications/green-gas-support-scheme-guidance " xr:uid="{E56D06E9-0C04-4FDF-AD4A-4EE5A31543F4}"/>
    <hyperlink ref="B19:Q19" r:id="rId3" display="https://www.gov.uk/government/publications/methods-of-calculating-greenhouse-gas-emissions" xr:uid="{03E97C21-0935-45CA-A582-0716F3509DF9}"/>
  </hyperlinks>
  <pageMargins left="0.7" right="0.7" top="0.75" bottom="0.75" header="0.3" footer="0.3"/>
  <pageSetup orientation="portrait" r:id="rId4"/>
  <headerFooter>
    <oddHeader>&amp;C&amp;"Calibri"&amp;10&amp;K000000 OFFICIAL&amp;1#_x000D_</oddHeader>
    <oddFooter>&amp;C_x000D_&amp;1#&amp;"Calibri"&amp;10&amp;K000000 OFFICIAL</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110"/>
  <sheetViews>
    <sheetView zoomScale="80" zoomScaleNormal="80" workbookViewId="0">
      <selection activeCell="B20" sqref="B20:H20"/>
    </sheetView>
  </sheetViews>
  <sheetFormatPr defaultColWidth="9.109375" defaultRowHeight="16.8" x14ac:dyDescent="0.4"/>
  <cols>
    <col min="1" max="1" width="3.5546875" style="158" customWidth="1"/>
    <col min="2" max="2" width="21.5546875" style="158" customWidth="1"/>
    <col min="3" max="3" width="10.5546875" style="158" customWidth="1"/>
    <col min="4" max="4" width="10.88671875" style="158" bestFit="1" customWidth="1"/>
    <col min="5" max="5" width="10.109375" style="158" customWidth="1"/>
    <col min="6" max="6" width="11.109375" style="158" customWidth="1"/>
    <col min="7" max="7" width="9.109375" style="158" customWidth="1"/>
    <col min="8" max="8" width="9.88671875" style="158" bestFit="1" customWidth="1"/>
    <col min="9" max="9" width="11.88671875" style="158" customWidth="1"/>
    <col min="10" max="10" width="10.88671875" style="158" customWidth="1"/>
    <col min="11" max="11" width="10.33203125" style="158" customWidth="1"/>
    <col min="12" max="12" width="11.88671875" style="158" customWidth="1"/>
    <col min="13" max="13" width="3.6640625" style="158" customWidth="1"/>
    <col min="14" max="14" width="25.88671875" style="158" customWidth="1"/>
    <col min="15" max="15" width="13.109375" style="158" customWidth="1"/>
    <col min="16" max="16" width="14.88671875" style="158" customWidth="1"/>
    <col min="17" max="17" width="15.5546875" style="158" customWidth="1"/>
    <col min="18" max="18" width="3.6640625" style="158" customWidth="1"/>
    <col min="19" max="19" width="27.88671875" style="158" customWidth="1"/>
    <col min="20" max="20" width="22" style="158" customWidth="1"/>
    <col min="21" max="21" width="3.44140625" style="158" customWidth="1"/>
    <col min="22" max="22" width="24.88671875" style="158" customWidth="1"/>
    <col min="23" max="23" width="13.33203125" style="158" customWidth="1"/>
    <col min="24" max="16384" width="9.109375" style="158"/>
  </cols>
  <sheetData>
    <row r="1" spans="1:13" ht="24.75" customHeight="1" x14ac:dyDescent="0.4">
      <c r="A1" s="159"/>
      <c r="B1" s="159"/>
    </row>
    <row r="2" spans="1:13" ht="24.75" customHeight="1" x14ac:dyDescent="0.4">
      <c r="A2" s="159"/>
      <c r="B2" s="159"/>
    </row>
    <row r="3" spans="1:13" ht="24.75" customHeight="1" x14ac:dyDescent="0.4">
      <c r="A3" s="159"/>
      <c r="B3" s="159"/>
    </row>
    <row r="4" spans="1:13" s="194" customFormat="1" ht="23.25" customHeight="1" x14ac:dyDescent="0.4">
      <c r="A4" s="188"/>
      <c r="B4" s="189"/>
      <c r="C4" s="191"/>
      <c r="D4" s="192"/>
      <c r="E4" s="192"/>
      <c r="F4" s="192"/>
      <c r="G4" s="193"/>
    </row>
    <row r="5" spans="1:13" s="4" customFormat="1" x14ac:dyDescent="0.4">
      <c r="A5" s="7"/>
      <c r="B5" s="693"/>
      <c r="C5" s="5"/>
    </row>
    <row r="6" spans="1:13" s="4" customFormat="1" ht="34.5" customHeight="1" x14ac:dyDescent="0.4">
      <c r="A6" s="7"/>
      <c r="B6" s="728" t="s">
        <v>30</v>
      </c>
      <c r="C6" s="728"/>
      <c r="D6" s="728"/>
      <c r="E6" s="728"/>
      <c r="F6" s="728"/>
      <c r="G6" s="728"/>
      <c r="H6" s="728"/>
      <c r="I6" s="728"/>
      <c r="J6" s="728"/>
      <c r="K6" s="728"/>
      <c r="L6" s="728"/>
      <c r="M6" s="728"/>
    </row>
    <row r="7" spans="1:13" s="4" customFormat="1" x14ac:dyDescent="0.4">
      <c r="A7" s="7"/>
      <c r="B7" s="694"/>
      <c r="C7" s="5"/>
    </row>
    <row r="8" spans="1:13" s="4" customFormat="1" ht="16.5" customHeight="1" x14ac:dyDescent="0.4">
      <c r="A8" s="7"/>
      <c r="B8" s="160" t="s">
        <v>31</v>
      </c>
      <c r="C8" s="712"/>
      <c r="D8" s="713"/>
      <c r="I8" s="716" t="s">
        <v>32</v>
      </c>
      <c r="J8" s="123"/>
      <c r="K8" s="123"/>
      <c r="L8" s="124"/>
    </row>
    <row r="9" spans="1:13" s="4" customFormat="1" ht="16.5" customHeight="1" x14ac:dyDescent="0.4">
      <c r="A9" s="7"/>
      <c r="B9" s="160" t="s">
        <v>33</v>
      </c>
      <c r="C9" s="714"/>
      <c r="D9" s="715"/>
      <c r="I9" s="717"/>
      <c r="J9" s="119"/>
      <c r="K9" s="126" t="s">
        <v>34</v>
      </c>
      <c r="L9" s="112"/>
    </row>
    <row r="10" spans="1:13" s="4" customFormat="1" ht="16.5" customHeight="1" x14ac:dyDescent="0.4">
      <c r="A10" s="7"/>
      <c r="B10" s="6"/>
      <c r="C10" s="5"/>
      <c r="I10" s="717"/>
      <c r="J10" s="118"/>
      <c r="K10" s="126" t="s">
        <v>35</v>
      </c>
      <c r="L10" s="112"/>
    </row>
    <row r="11" spans="1:13" s="4" customFormat="1" ht="16.5" customHeight="1" x14ac:dyDescent="0.4">
      <c r="A11" s="7"/>
      <c r="C11" s="5"/>
      <c r="I11" s="717"/>
      <c r="J11" s="120"/>
      <c r="K11" s="126" t="s">
        <v>36</v>
      </c>
      <c r="L11" s="112"/>
    </row>
    <row r="12" spans="1:13" s="4" customFormat="1" ht="16.5" customHeight="1" x14ac:dyDescent="0.4">
      <c r="A12" s="7"/>
      <c r="B12" s="6"/>
      <c r="C12" s="5"/>
      <c r="I12" s="717"/>
      <c r="J12" s="109"/>
      <c r="K12" s="126" t="s">
        <v>37</v>
      </c>
      <c r="L12" s="112"/>
    </row>
    <row r="13" spans="1:13" s="4" customFormat="1" ht="16.5" customHeight="1" x14ac:dyDescent="0.4">
      <c r="A13" s="7"/>
      <c r="B13" s="6"/>
      <c r="C13" s="5"/>
      <c r="I13" s="717"/>
      <c r="J13" s="110"/>
      <c r="K13" s="126" t="s">
        <v>38</v>
      </c>
      <c r="L13" s="112"/>
    </row>
    <row r="14" spans="1:13" s="4" customFormat="1" ht="16.5" customHeight="1" x14ac:dyDescent="0.4">
      <c r="A14" s="7"/>
      <c r="B14" s="6"/>
      <c r="C14" s="5"/>
      <c r="I14" s="717"/>
      <c r="J14" s="125"/>
      <c r="K14" s="126" t="s">
        <v>39</v>
      </c>
      <c r="L14" s="112"/>
    </row>
    <row r="15" spans="1:13" s="4" customFormat="1" ht="16.5" customHeight="1" x14ac:dyDescent="0.4">
      <c r="A15" s="7"/>
      <c r="B15" s="6"/>
      <c r="C15" s="356"/>
      <c r="I15" s="717"/>
      <c r="J15" s="121"/>
      <c r="K15" s="126" t="s">
        <v>40</v>
      </c>
      <c r="L15" s="112"/>
    </row>
    <row r="16" spans="1:13" s="4" customFormat="1" ht="16.5" customHeight="1" x14ac:dyDescent="0.4">
      <c r="A16" s="7"/>
      <c r="B16" s="6"/>
      <c r="C16" s="5"/>
      <c r="I16" s="717"/>
      <c r="J16" s="122"/>
      <c r="K16" s="126" t="s">
        <v>41</v>
      </c>
      <c r="L16" s="112"/>
    </row>
    <row r="17" spans="1:24" s="4" customFormat="1" ht="16.5" customHeight="1" x14ac:dyDescent="0.4">
      <c r="A17" s="7"/>
      <c r="B17" s="6"/>
      <c r="C17" s="5"/>
      <c r="I17" s="718"/>
      <c r="J17" s="113"/>
      <c r="K17" s="113"/>
      <c r="L17" s="114"/>
      <c r="N17" s="722" t="s">
        <v>42</v>
      </c>
      <c r="O17" s="723"/>
      <c r="P17" s="723"/>
      <c r="Q17" s="724"/>
      <c r="R17" s="15"/>
    </row>
    <row r="18" spans="1:24" s="4" customFormat="1" x14ac:dyDescent="0.4">
      <c r="N18" s="732" t="s">
        <v>43</v>
      </c>
      <c r="O18" s="733"/>
      <c r="P18" s="366" t="s">
        <v>44</v>
      </c>
      <c r="Q18" s="477">
        <f>W27</f>
        <v>0</v>
      </c>
    </row>
    <row r="19" spans="1:24" s="4" customFormat="1" x14ac:dyDescent="0.4"/>
    <row r="20" spans="1:24" s="4" customFormat="1" x14ac:dyDescent="0.4">
      <c r="B20" s="737"/>
      <c r="C20" s="737"/>
      <c r="D20" s="737"/>
      <c r="E20" s="737"/>
      <c r="F20" s="737"/>
      <c r="G20" s="737"/>
      <c r="H20" s="737"/>
      <c r="I20" s="357"/>
      <c r="J20" s="357"/>
      <c r="K20" s="357"/>
      <c r="L20" s="357"/>
      <c r="N20" s="722" t="s">
        <v>45</v>
      </c>
      <c r="O20" s="723"/>
      <c r="P20" s="723"/>
      <c r="Q20" s="724"/>
      <c r="R20" s="15"/>
      <c r="S20" s="737"/>
      <c r="T20" s="737"/>
    </row>
    <row r="21" spans="1:24" s="14" customFormat="1" ht="35.25" customHeight="1" x14ac:dyDescent="0.4">
      <c r="C21" s="351"/>
      <c r="D21" s="351"/>
      <c r="E21" s="351"/>
      <c r="F21" s="351"/>
      <c r="G21" s="351"/>
      <c r="H21" s="352"/>
      <c r="I21" s="352"/>
      <c r="J21" s="352"/>
      <c r="K21" s="352"/>
      <c r="L21" s="352"/>
      <c r="N21" s="344" t="s">
        <v>46</v>
      </c>
      <c r="O21" s="345" t="s">
        <v>47</v>
      </c>
      <c r="P21" s="344" t="s">
        <v>48</v>
      </c>
      <c r="Q21" s="344" t="s">
        <v>49</v>
      </c>
      <c r="S21" s="356"/>
      <c r="T21" s="356"/>
    </row>
    <row r="22" spans="1:24" s="4" customFormat="1" x14ac:dyDescent="0.4">
      <c r="B22" s="353"/>
      <c r="C22" s="354"/>
      <c r="D22" s="354"/>
      <c r="E22" s="354"/>
      <c r="F22" s="354"/>
      <c r="G22" s="354"/>
      <c r="H22" s="355"/>
      <c r="I22" s="355"/>
      <c r="J22" s="355"/>
      <c r="K22" s="355"/>
      <c r="L22" s="355"/>
      <c r="N22" s="343" t="s">
        <v>50</v>
      </c>
      <c r="O22" s="341">
        <f>SUM(O32:O41)</f>
        <v>0</v>
      </c>
      <c r="P22" s="374" t="e">
        <f>Biogas_produced[[#This Row],[Apportioned biogas (m3)]]/('Digestion &amp; outputs'!$D$11/'Reference values'!$D$42)</f>
        <v>#DIV/0!</v>
      </c>
      <c r="Q22" s="374" t="str">
        <f>IFERROR(Biogas_produced[[#This Row],[Apportioned biogas (m3)]]/(SUM(O$22:O$24)), "")</f>
        <v/>
      </c>
      <c r="S22" s="353"/>
      <c r="T22" s="354"/>
    </row>
    <row r="23" spans="1:24" s="4" customFormat="1" x14ac:dyDescent="0.4">
      <c r="B23" s="353"/>
      <c r="C23" s="354"/>
      <c r="D23" s="354"/>
      <c r="E23" s="354"/>
      <c r="F23" s="354"/>
      <c r="G23" s="354"/>
      <c r="H23" s="355"/>
      <c r="I23" s="355"/>
      <c r="J23" s="355"/>
      <c r="K23" s="355"/>
      <c r="L23" s="355"/>
      <c r="N23" s="346" t="s">
        <v>51</v>
      </c>
      <c r="O23" s="342">
        <f>SUM(O46:O60)</f>
        <v>0</v>
      </c>
      <c r="P23" s="375" t="e">
        <f>Biogas_produced[[#This Row],[Apportioned biogas (m3)]]/('Digestion &amp; outputs'!$D$11/'Reference values'!$D$42)</f>
        <v>#DIV/0!</v>
      </c>
      <c r="Q23" s="455" t="str">
        <f>IFERROR(Biogas_produced[[#This Row],[Apportioned biogas (m3)]]/(SUM(O$22:O$24)), "")</f>
        <v/>
      </c>
      <c r="S23" s="353"/>
      <c r="T23" s="354"/>
    </row>
    <row r="24" spans="1:24" s="4" customFormat="1" x14ac:dyDescent="0.4">
      <c r="B24" s="353"/>
      <c r="C24" s="354"/>
      <c r="D24" s="354"/>
      <c r="E24" s="354"/>
      <c r="F24" s="354"/>
      <c r="G24" s="354"/>
      <c r="H24" s="355"/>
      <c r="I24" s="355"/>
      <c r="J24" s="355"/>
      <c r="K24" s="355"/>
      <c r="L24" s="355"/>
      <c r="N24" s="346" t="s">
        <v>52</v>
      </c>
      <c r="O24" s="342">
        <f>SUM(O65:O89) + SUM(O94:O98)</f>
        <v>0</v>
      </c>
      <c r="P24" s="375" t="e">
        <f>Biogas_produced[[#This Row],[Apportioned biogas (m3)]]/('Digestion &amp; outputs'!$D$11/'Reference values'!$D$42)</f>
        <v>#DIV/0!</v>
      </c>
      <c r="Q24" s="374" t="str">
        <f>IFERROR(Biogas_produced[[#This Row],[Apportioned biogas (m3)]]/(SUM(O$22:O$24)), "")</f>
        <v/>
      </c>
      <c r="S24" s="353"/>
      <c r="T24" s="354"/>
    </row>
    <row r="25" spans="1:24" s="4" customFormat="1" ht="14.4" customHeight="1" x14ac:dyDescent="0.4">
      <c r="B25" s="353"/>
      <c r="C25" s="354"/>
      <c r="D25" s="354"/>
      <c r="E25" s="354"/>
      <c r="F25" s="354"/>
      <c r="G25" s="354"/>
      <c r="H25" s="355"/>
      <c r="I25" s="355"/>
      <c r="J25" s="355"/>
      <c r="K25" s="355"/>
      <c r="L25" s="355"/>
      <c r="N25" s="415" t="s">
        <v>53</v>
      </c>
      <c r="O25" s="416">
        <f>SUM(O103:O107)</f>
        <v>0</v>
      </c>
      <c r="P25" s="375" t="e">
        <f>Biogas_produced[[#This Row],[Apportioned biogas (m3)]]/('Digestion &amp; outputs'!$D$11/'Reference values'!$D$42)</f>
        <v>#DIV/0!</v>
      </c>
      <c r="Q25" s="478" t="str">
        <f>IFERROR(IF(Biogas_produced[[#This Row],[Apportioned biogas (m3)]]&gt;0, "NA", ""), "")</f>
        <v/>
      </c>
      <c r="S25" s="353"/>
      <c r="T25" s="354"/>
    </row>
    <row r="26" spans="1:24" s="4" customFormat="1" ht="14.4" customHeight="1" x14ac:dyDescent="0.4">
      <c r="B26" s="353"/>
      <c r="C26" s="354"/>
      <c r="D26" s="354"/>
      <c r="E26" s="354"/>
      <c r="F26" s="354"/>
      <c r="G26" s="354"/>
      <c r="H26" s="355"/>
      <c r="I26" s="355"/>
      <c r="J26" s="355"/>
      <c r="K26" s="355"/>
      <c r="L26" s="355"/>
      <c r="N26" s="157"/>
      <c r="O26" s="157"/>
      <c r="P26" s="157"/>
      <c r="Q26" s="157"/>
      <c r="S26" s="353"/>
      <c r="T26" s="354"/>
      <c r="V26" s="719" t="s">
        <v>54</v>
      </c>
      <c r="W26" s="720"/>
      <c r="X26" s="365"/>
    </row>
    <row r="27" spans="1:24" s="4" customFormat="1" x14ac:dyDescent="0.4">
      <c r="B27" s="353"/>
      <c r="C27" s="354"/>
      <c r="D27" s="354"/>
      <c r="E27" s="354"/>
      <c r="F27" s="354"/>
      <c r="G27" s="354"/>
      <c r="H27" s="381"/>
      <c r="I27" s="381"/>
      <c r="J27" s="381"/>
      <c r="K27" s="381"/>
      <c r="L27" s="381"/>
      <c r="N27" s="738"/>
      <c r="O27" s="738"/>
      <c r="P27" s="455"/>
      <c r="Q27" s="455"/>
      <c r="S27" s="380"/>
      <c r="T27" s="354"/>
      <c r="V27" s="450" t="s">
        <v>55</v>
      </c>
      <c r="W27" s="452">
        <f>SUM(W32:W41,W46:W60,W65:W89,W94:W98)</f>
        <v>0</v>
      </c>
    </row>
    <row r="28" spans="1:24" s="4" customFormat="1" ht="14.4" customHeight="1" thickBot="1" x14ac:dyDescent="0.45">
      <c r="B28" s="349"/>
      <c r="C28" s="350"/>
      <c r="D28" s="350"/>
      <c r="E28" s="350"/>
      <c r="F28" s="350"/>
      <c r="G28" s="350"/>
      <c r="H28" s="350"/>
      <c r="I28" s="350"/>
      <c r="J28" s="350"/>
      <c r="K28" s="350"/>
      <c r="L28" s="350"/>
      <c r="M28" s="350"/>
      <c r="N28" s="350"/>
      <c r="O28" s="350"/>
      <c r="P28" s="350"/>
      <c r="Q28" s="350"/>
      <c r="R28" s="350"/>
      <c r="S28" s="350"/>
      <c r="T28" s="350"/>
      <c r="U28" s="350"/>
      <c r="V28" s="350"/>
      <c r="W28" s="350"/>
    </row>
    <row r="29" spans="1:24" s="4" customFormat="1" ht="17.399999999999999" thickTop="1" x14ac:dyDescent="0.4">
      <c r="Q29" s="456"/>
    </row>
    <row r="30" spans="1:24" s="4" customFormat="1" x14ac:dyDescent="0.4">
      <c r="B30" s="734" t="s">
        <v>56</v>
      </c>
      <c r="C30" s="735"/>
      <c r="D30" s="735"/>
      <c r="E30" s="735"/>
      <c r="F30" s="735"/>
      <c r="G30" s="735"/>
      <c r="H30" s="735"/>
      <c r="I30" s="735"/>
      <c r="J30" s="735"/>
      <c r="K30" s="735"/>
      <c r="L30" s="736"/>
      <c r="N30" s="734" t="s">
        <v>57</v>
      </c>
      <c r="O30" s="735"/>
      <c r="P30" s="735"/>
      <c r="Q30" s="736"/>
      <c r="R30" s="457"/>
      <c r="S30" s="721" t="s">
        <v>58</v>
      </c>
      <c r="T30" s="721"/>
      <c r="V30" s="711" t="s">
        <v>59</v>
      </c>
      <c r="W30" s="711"/>
    </row>
    <row r="31" spans="1:24" s="14" customFormat="1" ht="35.25" customHeight="1" x14ac:dyDescent="0.4">
      <c r="B31" s="467" t="s">
        <v>60</v>
      </c>
      <c r="C31" s="564" t="s">
        <v>61</v>
      </c>
      <c r="D31" s="564" t="s">
        <v>62</v>
      </c>
      <c r="E31" s="564" t="s">
        <v>63</v>
      </c>
      <c r="F31" s="564" t="s">
        <v>64</v>
      </c>
      <c r="G31" s="564" t="s">
        <v>65</v>
      </c>
      <c r="H31" s="564" t="s">
        <v>66</v>
      </c>
      <c r="I31" s="564" t="s">
        <v>67</v>
      </c>
      <c r="J31" s="565" t="s">
        <v>68</v>
      </c>
      <c r="K31" s="565" t="s">
        <v>69</v>
      </c>
      <c r="L31" s="566" t="s">
        <v>70</v>
      </c>
      <c r="N31" s="228" t="s">
        <v>60</v>
      </c>
      <c r="O31" s="571" t="s">
        <v>47</v>
      </c>
      <c r="P31" s="479" t="s">
        <v>48</v>
      </c>
      <c r="Q31" s="479" t="s">
        <v>49</v>
      </c>
      <c r="R31" s="379"/>
      <c r="S31" s="228" t="s">
        <v>60</v>
      </c>
      <c r="T31" s="228" t="s">
        <v>71</v>
      </c>
      <c r="V31" s="468" t="s">
        <v>60</v>
      </c>
      <c r="W31" s="481" t="s">
        <v>72</v>
      </c>
    </row>
    <row r="32" spans="1:24" s="4" customFormat="1" x14ac:dyDescent="0.4">
      <c r="B32" s="506" t="str">
        <f>IF(Feedstocks!D11&gt;0,Feedstocks!C11,"")</f>
        <v/>
      </c>
      <c r="C32" s="507" t="str">
        <f>IFERROR(IF(Feedstocks!D11&gt;0,('Cultivation and harvesting'!K12 + 'Transport 1'!$J$12 + 'Feedstock conversion'!$J$12)/'Digestion &amp; outputs'!$K$104,""),"0.00")</f>
        <v/>
      </c>
      <c r="D32" s="507" t="str">
        <f>IFERROR(IF(Feedstocks!D11&gt;0,'Transport 2'!$J$12/'Digestion &amp; outputs'!$K$104,""),"0.00")</f>
        <v/>
      </c>
      <c r="E32" s="507" t="str">
        <f>IFERROR('Land-use change'!M12/'Digestion &amp; outputs'!$K$104, "")</f>
        <v/>
      </c>
      <c r="F32" s="507" t="str">
        <f>IFERROR('Soil carbon'!M12/'Digestion &amp; outputs'!$K$104,"")</f>
        <v/>
      </c>
      <c r="G32" s="507" t="str">
        <f>IF(Feedstocks!D11&gt;0,('Digestion &amp; outputs'!$K$16 + 'Final conversion'!$J$12)/'Digestion &amp; outputs'!$K$104,"")</f>
        <v/>
      </c>
      <c r="H32" s="507" t="str">
        <f>IFERROR(IF(Feedstocks!D11&gt;0,0,""),"")</f>
        <v/>
      </c>
      <c r="I32" s="508" t="str">
        <f>IF(Feedstocks!D11&gt;0,'Biomethane transport'!$J$12,"")</f>
        <v/>
      </c>
      <c r="J32" s="508" t="str">
        <f>IF(Feedstocks!D11&gt;0, 'Carbon capture'!$J$12, "")</f>
        <v/>
      </c>
      <c r="K32" s="509" t="str">
        <f>IF(Feedstocks!D11&gt;0, 'Carbon capture'!$J$27, "")</f>
        <v/>
      </c>
      <c r="L32" s="567" t="str">
        <f>IF(Feedstocks!E11&gt;0,(Pathway_emissions_products[[#This Row],[eec]]+Pathway_emissions_products[[#This Row],[etd,feedstock]]+Pathway_emissions_products[[#This Row],[el]]-Pathway_emissions_products[[#This Row],[esca]]+Pathway_emissions_products[[#This Row],[ep]]+Pathway_emissions_products[[#This Row],[etd,product]]+Pathway_emissions_products[[#This Row],[eu]]-Pathway_emissions_products[[#This Row],[eccs]]-Pathway_emissions_products[[#This Row],[eccr]]),"")</f>
        <v/>
      </c>
      <c r="N32" s="347" t="str">
        <f>Summary!$B32</f>
        <v/>
      </c>
      <c r="O32" s="342" t="str">
        <f>IFERROR(('Digestion &amp; outputs'!G16*'Digestion &amp; outputs'!D16)/'Reference values'!$D$42, "")</f>
        <v/>
      </c>
      <c r="P32" s="375" t="str">
        <f>IFERROR(Biogas_produced_products[[#This Row],[Apportioned biogas (m3)]]/('Digestion &amp; outputs'!$D$11/'Reference values'!$D$42), "")</f>
        <v/>
      </c>
      <c r="Q32" s="455" t="str">
        <f>IFERROR(Biogas_produced_products[[#This Row],[Apportioned biogas (m3)]]/SUM($O$22:$O$24), "")</f>
        <v/>
      </c>
      <c r="R32" s="398"/>
      <c r="S32" s="335" t="str">
        <f>Summary!$B32</f>
        <v/>
      </c>
      <c r="T32" s="224" t="str">
        <f>IFERROR(IF('Digestion &amp; outputs'!$E$106=0," ",IF(Feedstocks!D11&gt;0,L32, ""))," ")</f>
        <v/>
      </c>
      <c r="V32" s="471" t="str">
        <f>Summary!$B32</f>
        <v/>
      </c>
      <c r="W32" s="472" t="str">
        <f>IF(Feedstocks!D11&gt;0, Final_emissions_crops[[#This Row],[Biomethane Injection (gCO2eq/MJbiomethane)]]*Biogas_produced_products[[#This Row],[Biogas as a % incl. ineligible]], "")</f>
        <v/>
      </c>
    </row>
    <row r="33" spans="2:23" s="4" customFormat="1" x14ac:dyDescent="0.4">
      <c r="B33" s="506" t="str">
        <f>IF(Feedstocks!D12&gt;0,Feedstocks!C12,"")</f>
        <v/>
      </c>
      <c r="C33" s="507" t="str">
        <f>IFERROR(IF(Feedstocks!D12&gt;0,('Cultivation and harvesting'!K112 + 'Transport 1'!$J$62 + 'Feedstock conversion'!$J$62)/'Digestion &amp; outputs'!$K$104,""),"0.00")</f>
        <v/>
      </c>
      <c r="D33" s="507" t="str">
        <f>IFERROR(IF(Feedstocks!D12&gt;0,'Transport 2'!$J$62/'Digestion &amp; outputs'!$K$104,""),"0.00")</f>
        <v/>
      </c>
      <c r="E33" s="507" t="str">
        <f>IFERROR('Land-use change'!M13/'Digestion &amp; outputs'!$K$104, "")</f>
        <v/>
      </c>
      <c r="F33" s="507" t="str">
        <f>IFERROR('Soil carbon'!M13/'Digestion &amp; outputs'!$K$104,"")</f>
        <v/>
      </c>
      <c r="G33" s="507" t="str">
        <f>IF(Feedstocks!D12&gt;0,('Digestion &amp; outputs'!$K$16 + 'Final conversion'!$J$12)/'Digestion &amp; outputs'!$K$104,"")</f>
        <v/>
      </c>
      <c r="H33" s="507" t="str">
        <f>IFERROR(IF(Feedstocks!D12&gt;0,0,""),"")</f>
        <v/>
      </c>
      <c r="I33" s="508" t="str">
        <f>IF(Feedstocks!D12&gt;0,'Biomethane transport'!$J$12,"")</f>
        <v/>
      </c>
      <c r="J33" s="508" t="str">
        <f>IF(Feedstocks!D12&gt;0, 'Carbon capture'!$J$12, "")</f>
        <v/>
      </c>
      <c r="K33" s="509" t="str">
        <f>IF(Feedstocks!D12&gt;0, 'Carbon capture'!$J$27, "")</f>
        <v/>
      </c>
      <c r="L33" s="567" t="str">
        <f>IF(Feedstocks!E12&gt;0,(Pathway_emissions_products[[#This Row],[eec]]+Pathway_emissions_products[[#This Row],[etd,feedstock]]+Pathway_emissions_products[[#This Row],[el]]-Pathway_emissions_products[[#This Row],[esca]]+Pathway_emissions_products[[#This Row],[ep]]+Pathway_emissions_products[[#This Row],[etd,product]]+Pathway_emissions_products[[#This Row],[eu]]-Pathway_emissions_products[[#This Row],[eccs]]-Pathway_emissions_products[[#This Row],[eccr]]),"")</f>
        <v/>
      </c>
      <c r="N33" s="348" t="str">
        <f>Summary!$B33</f>
        <v/>
      </c>
      <c r="O33" s="342" t="str">
        <f>IFERROR(('Digestion &amp; outputs'!G17*'Digestion &amp; outputs'!D17)/'Reference values'!$D$42, "")</f>
        <v/>
      </c>
      <c r="P33" s="375" t="str">
        <f>IFERROR(Biogas_produced_products[[#This Row],[Apportioned biogas (m3)]]/('Digestion &amp; outputs'!$D$11/'Reference values'!$D$42), "")</f>
        <v/>
      </c>
      <c r="Q33" s="455" t="str">
        <f>IFERROR(Biogas_produced_products[[#This Row],[Apportioned biogas (m3)]]/SUM($O$22:$O$24), "")</f>
        <v/>
      </c>
      <c r="R33" s="398"/>
      <c r="S33" s="335" t="str">
        <f>Summary!$B33</f>
        <v/>
      </c>
      <c r="T33" s="224" t="str">
        <f>IFERROR(IF('Digestion &amp; outputs'!$E$106=0," ",IF(Feedstocks!D12&gt;0,L33, ""))," ")</f>
        <v/>
      </c>
      <c r="V33" s="471" t="str">
        <f>Summary!$B33</f>
        <v/>
      </c>
      <c r="W33" s="472" t="str">
        <f>IF(Feedstocks!D12&gt;0, Final_emissions_crops[[#This Row],[Biomethane Injection (gCO2eq/MJbiomethane)]]*Biogas_produced_products[[#This Row],[Biogas as a % incl. ineligible]], "")</f>
        <v/>
      </c>
    </row>
    <row r="34" spans="2:23" s="4" customFormat="1" x14ac:dyDescent="0.4">
      <c r="B34" s="506" t="str">
        <f>IF(Feedstocks!D13&gt;0,Feedstocks!C13,"")</f>
        <v/>
      </c>
      <c r="C34" s="507" t="str">
        <f>IFERROR(IF(Feedstocks!D13&gt;0,('Cultivation and harvesting'!K212 + 'Transport 1'!$J$112 + 'Feedstock conversion'!$J$112)/'Digestion &amp; outputs'!$K$104,""),"0.00")</f>
        <v/>
      </c>
      <c r="D34" s="507" t="str">
        <f>IFERROR(IF(Feedstocks!D13&gt;0,'Transport 2'!$J$112/'Digestion &amp; outputs'!$K$104,""),"0.00")</f>
        <v/>
      </c>
      <c r="E34" s="507" t="str">
        <f>IFERROR('Land-use change'!M14/'Digestion &amp; outputs'!$K$104, "")</f>
        <v/>
      </c>
      <c r="F34" s="507" t="str">
        <f>IFERROR('Soil carbon'!M14/'Digestion &amp; outputs'!$K$104,"")</f>
        <v/>
      </c>
      <c r="G34" s="507" t="str">
        <f>IF(Feedstocks!D13&gt;0,('Digestion &amp; outputs'!$K$16 + 'Final conversion'!$J$12)/'Digestion &amp; outputs'!$K$104,"")</f>
        <v/>
      </c>
      <c r="H34" s="507" t="str">
        <f>IFERROR(IF(Feedstocks!D13&gt;0,0,""),"")</f>
        <v/>
      </c>
      <c r="I34" s="508" t="str">
        <f>IF(Feedstocks!D13&gt;0,'Biomethane transport'!$J$12,"")</f>
        <v/>
      </c>
      <c r="J34" s="508" t="str">
        <f>IF(Feedstocks!D13&gt;0, 'Carbon capture'!$J$12, "")</f>
        <v/>
      </c>
      <c r="K34" s="509" t="str">
        <f>IF(Feedstocks!D13&gt;0, 'Carbon capture'!$J$27, "")</f>
        <v/>
      </c>
      <c r="L34" s="567" t="str">
        <f>IF(Feedstocks!E13&gt;0,(Pathway_emissions_products[[#This Row],[eec]]+Pathway_emissions_products[[#This Row],[etd,feedstock]]+Pathway_emissions_products[[#This Row],[el]]-Pathway_emissions_products[[#This Row],[esca]]+Pathway_emissions_products[[#This Row],[ep]]+Pathway_emissions_products[[#This Row],[etd,product]]+Pathway_emissions_products[[#This Row],[eu]]-Pathway_emissions_products[[#This Row],[eccs]]-Pathway_emissions_products[[#This Row],[eccr]]),"")</f>
        <v/>
      </c>
      <c r="N34" s="347" t="str">
        <f>Summary!$B34</f>
        <v/>
      </c>
      <c r="O34" s="342" t="str">
        <f>IFERROR(('Digestion &amp; outputs'!G18*'Digestion &amp; outputs'!D18)/'Reference values'!$D$42, "")</f>
        <v/>
      </c>
      <c r="P34" s="375" t="str">
        <f>IFERROR(Biogas_produced_products[[#This Row],[Apportioned biogas (m3)]]/('Digestion &amp; outputs'!$D$11/'Reference values'!$D$42), "")</f>
        <v/>
      </c>
      <c r="Q34" s="455" t="str">
        <f>IFERROR(Biogas_produced_products[[#This Row],[Apportioned biogas (m3)]]/SUM($O$22:$O$24), "")</f>
        <v/>
      </c>
      <c r="R34" s="398"/>
      <c r="S34" s="335" t="str">
        <f>Summary!$B34</f>
        <v/>
      </c>
      <c r="T34" s="224" t="str">
        <f>IFERROR(IF('Digestion &amp; outputs'!$E$106=0," ",IF(Feedstocks!D13&gt;0,L34, ""))," ")</f>
        <v/>
      </c>
      <c r="V34" s="471" t="str">
        <f>Summary!$B34</f>
        <v/>
      </c>
      <c r="W34" s="472" t="str">
        <f>IF(Feedstocks!D13&gt;0, Final_emissions_crops[[#This Row],[Biomethane Injection (gCO2eq/MJbiomethane)]]*Biogas_produced_products[[#This Row],[Biogas as a % incl. ineligible]], "")</f>
        <v/>
      </c>
    </row>
    <row r="35" spans="2:23" s="4" customFormat="1" x14ac:dyDescent="0.4">
      <c r="B35" s="506" t="str">
        <f>IF(Feedstocks!D14&gt;0,Feedstocks!C14,"")</f>
        <v/>
      </c>
      <c r="C35" s="507" t="str">
        <f>IFERROR(IF(Feedstocks!D14&gt;0,('Cultivation and harvesting'!K312 + 'Transport 1'!$J$162 + 'Feedstock conversion'!$J$162)/'Digestion &amp; outputs'!$K$104,""),"0.00")</f>
        <v/>
      </c>
      <c r="D35" s="507" t="str">
        <f>IFERROR(IF(Feedstocks!D14&gt;0,'Transport 2'!$J$162/'Digestion &amp; outputs'!$K$104,""),"0.00")</f>
        <v/>
      </c>
      <c r="E35" s="507" t="str">
        <f>IFERROR('Land-use change'!M15/'Digestion &amp; outputs'!$K$104, "")</f>
        <v/>
      </c>
      <c r="F35" s="507" t="str">
        <f>IFERROR('Soil carbon'!M15/'Digestion &amp; outputs'!$K$104,"")</f>
        <v/>
      </c>
      <c r="G35" s="507" t="str">
        <f>IF(Feedstocks!D14&gt;0,('Digestion &amp; outputs'!$K$16 + 'Final conversion'!$J$12)/'Digestion &amp; outputs'!$K$104,"")</f>
        <v/>
      </c>
      <c r="H35" s="507" t="str">
        <f>IFERROR(IF(Feedstocks!D14&gt;0,0,""),"")</f>
        <v/>
      </c>
      <c r="I35" s="508" t="str">
        <f>IF(Feedstocks!D14&gt;0,'Biomethane transport'!$J$12,"")</f>
        <v/>
      </c>
      <c r="J35" s="508" t="str">
        <f>IF(Feedstocks!D14&gt;0, 'Carbon capture'!$J$12, "")</f>
        <v/>
      </c>
      <c r="K35" s="509" t="str">
        <f>IF(Feedstocks!D14&gt;0, 'Carbon capture'!$J$27, "")</f>
        <v/>
      </c>
      <c r="L35" s="567" t="str">
        <f>IF(Feedstocks!E14&gt;0,(Pathway_emissions_products[[#This Row],[eec]]+Pathway_emissions_products[[#This Row],[etd,feedstock]]+Pathway_emissions_products[[#This Row],[el]]-Pathway_emissions_products[[#This Row],[esca]]+Pathway_emissions_products[[#This Row],[ep]]+Pathway_emissions_products[[#This Row],[etd,product]]+Pathway_emissions_products[[#This Row],[eu]]-Pathway_emissions_products[[#This Row],[eccs]]-Pathway_emissions_products[[#This Row],[eccr]]),"")</f>
        <v/>
      </c>
      <c r="N35" s="348" t="str">
        <f>Summary!$B35</f>
        <v/>
      </c>
      <c r="O35" s="342" t="str">
        <f>IFERROR(('Digestion &amp; outputs'!G19*'Digestion &amp; outputs'!D19)/'Reference values'!$D$42, "")</f>
        <v/>
      </c>
      <c r="P35" s="375" t="str">
        <f>IFERROR(Biogas_produced_products[[#This Row],[Apportioned biogas (m3)]]/('Digestion &amp; outputs'!$D$11/'Reference values'!$D$42), "")</f>
        <v/>
      </c>
      <c r="Q35" s="455" t="str">
        <f>IFERROR(Biogas_produced_products[[#This Row],[Apportioned biogas (m3)]]/SUM($O$22:$O$24), "")</f>
        <v/>
      </c>
      <c r="R35" s="398"/>
      <c r="S35" s="335" t="str">
        <f>Summary!$B35</f>
        <v/>
      </c>
      <c r="T35" s="224" t="str">
        <f>IFERROR(IF('Digestion &amp; outputs'!$E$106=0," ",IF(Feedstocks!D14&gt;0,L35, ""))," ")</f>
        <v/>
      </c>
      <c r="V35" s="471" t="str">
        <f>Summary!$B35</f>
        <v/>
      </c>
      <c r="W35" s="472" t="str">
        <f>IF(Feedstocks!D14&gt;0, Final_emissions_crops[[#This Row],[Biomethane Injection (gCO2eq/MJbiomethane)]]*Biogas_produced_products[[#This Row],[Biogas as a % incl. ineligible]], "")</f>
        <v/>
      </c>
    </row>
    <row r="36" spans="2:23" s="4" customFormat="1" x14ac:dyDescent="0.4">
      <c r="B36" s="506" t="str">
        <f>IF(Feedstocks!D15&gt;0,Feedstocks!C15,"")</f>
        <v/>
      </c>
      <c r="C36" s="507" t="str">
        <f>IFERROR(IF(Feedstocks!D15&gt;0,('Cultivation and harvesting'!K412 + 'Transport 1'!$J$212 + 'Feedstock conversion'!$J$212)/'Digestion &amp; outputs'!$K$104,""),"0.00")</f>
        <v/>
      </c>
      <c r="D36" s="507" t="str">
        <f>IFERROR(IF(Feedstocks!D15&gt;0,'Transport 2'!$J$212/'Digestion &amp; outputs'!$K$104,""),"0.00")</f>
        <v/>
      </c>
      <c r="E36" s="507" t="str">
        <f>IFERROR('Land-use change'!M16/'Digestion &amp; outputs'!$K$104, "")</f>
        <v/>
      </c>
      <c r="F36" s="507" t="str">
        <f>IFERROR('Soil carbon'!M16/'Digestion &amp; outputs'!$K$104,"")</f>
        <v/>
      </c>
      <c r="G36" s="507" t="str">
        <f>IF(Feedstocks!D15&gt;0,('Digestion &amp; outputs'!$K$16 + 'Final conversion'!$J$12)/'Digestion &amp; outputs'!$K$104,"")</f>
        <v/>
      </c>
      <c r="H36" s="507" t="str">
        <f>IFERROR(IF(Feedstocks!D15&gt;0,0,""),"")</f>
        <v/>
      </c>
      <c r="I36" s="508" t="str">
        <f>IF(Feedstocks!D15&gt;0,'Biomethane transport'!$J$12,"")</f>
        <v/>
      </c>
      <c r="J36" s="508" t="str">
        <f>IF(Feedstocks!D15&gt;0, 'Carbon capture'!$J$12, "")</f>
        <v/>
      </c>
      <c r="K36" s="509" t="str">
        <f>IF(Feedstocks!D15&gt;0, 'Carbon capture'!$J$27, "")</f>
        <v/>
      </c>
      <c r="L36" s="567" t="str">
        <f>IF(Feedstocks!E15&gt;0,(Pathway_emissions_products[[#This Row],[eec]]+Pathway_emissions_products[[#This Row],[etd,feedstock]]+Pathway_emissions_products[[#This Row],[el]]-Pathway_emissions_products[[#This Row],[esca]]+Pathway_emissions_products[[#This Row],[ep]]+Pathway_emissions_products[[#This Row],[etd,product]]+Pathway_emissions_products[[#This Row],[eu]]-Pathway_emissions_products[[#This Row],[eccs]]-Pathway_emissions_products[[#This Row],[eccr]]),"")</f>
        <v/>
      </c>
      <c r="N36" s="347" t="str">
        <f>Summary!$B36</f>
        <v/>
      </c>
      <c r="O36" s="342" t="str">
        <f>IFERROR(('Digestion &amp; outputs'!G20*'Digestion &amp; outputs'!D20)/'Reference values'!$D$42, "")</f>
        <v/>
      </c>
      <c r="P36" s="375" t="str">
        <f>IFERROR(Biogas_produced_products[[#This Row],[Apportioned biogas (m3)]]/('Digestion &amp; outputs'!$D$11/'Reference values'!$D$42), "")</f>
        <v/>
      </c>
      <c r="Q36" s="455" t="str">
        <f>IFERROR(Biogas_produced_products[[#This Row],[Apportioned biogas (m3)]]/SUM($O$22:$O$24), "")</f>
        <v/>
      </c>
      <c r="R36" s="398"/>
      <c r="S36" s="335" t="str">
        <f>Summary!$B36</f>
        <v/>
      </c>
      <c r="T36" s="224" t="str">
        <f>IFERROR(IF('Digestion &amp; outputs'!$E$106=0," ",IF(Feedstocks!D15&gt;0,L36, ""))," ")</f>
        <v/>
      </c>
      <c r="V36" s="471" t="str">
        <f>Summary!$B36</f>
        <v/>
      </c>
      <c r="W36" s="472" t="str">
        <f>IF(Feedstocks!D15&gt;0, Final_emissions_crops[[#This Row],[Biomethane Injection (gCO2eq/MJbiomethane)]]*Biogas_produced_products[[#This Row],[Biogas as a % incl. ineligible]], "")</f>
        <v/>
      </c>
    </row>
    <row r="37" spans="2:23" s="4" customFormat="1" x14ac:dyDescent="0.4">
      <c r="B37" s="506" t="str">
        <f>IF(Feedstocks!D16&gt;0,Feedstocks!C16,"")</f>
        <v/>
      </c>
      <c r="C37" s="507" t="str">
        <f>IFERROR(IF(Feedstocks!D16&gt;0,('Cultivation and harvesting'!K512 + 'Transport 1'!$J$262 + 'Feedstock conversion'!$J$262)/'Digestion &amp; outputs'!$K$104,""),"0.00")</f>
        <v/>
      </c>
      <c r="D37" s="507" t="str">
        <f>IFERROR(IF(Feedstocks!D16&gt;0,'Transport 2'!$J$262/'Digestion &amp; outputs'!$K$104,""),"0.00")</f>
        <v/>
      </c>
      <c r="E37" s="507" t="str">
        <f>IFERROR('Land-use change'!M17/'Digestion &amp; outputs'!$K$104, "")</f>
        <v/>
      </c>
      <c r="F37" s="507" t="str">
        <f>IFERROR('Soil carbon'!M17/'Digestion &amp; outputs'!$K$104,"")</f>
        <v/>
      </c>
      <c r="G37" s="507" t="str">
        <f>IF(Feedstocks!D16&gt;0,('Digestion &amp; outputs'!$K$16 + 'Final conversion'!$J$12)/'Digestion &amp; outputs'!$K$104,"")</f>
        <v/>
      </c>
      <c r="H37" s="507" t="str">
        <f>IFERROR(IF(Feedstocks!D16&gt;0,0,""),"")</f>
        <v/>
      </c>
      <c r="I37" s="508" t="str">
        <f>IF(Feedstocks!D16&gt;0,'Biomethane transport'!$J$12,"")</f>
        <v/>
      </c>
      <c r="J37" s="508" t="str">
        <f>IF(Feedstocks!D16&gt;0, 'Carbon capture'!$J$12, "")</f>
        <v/>
      </c>
      <c r="K37" s="509" t="str">
        <f>IF(Feedstocks!D16&gt;0, 'Carbon capture'!$J$27, "")</f>
        <v/>
      </c>
      <c r="L37" s="567" t="str">
        <f>IF(Feedstocks!E16&gt;0,(Pathway_emissions_products[[#This Row],[eec]]+Pathway_emissions_products[[#This Row],[etd,feedstock]]+Pathway_emissions_products[[#This Row],[el]]-Pathway_emissions_products[[#This Row],[esca]]+Pathway_emissions_products[[#This Row],[ep]]+Pathway_emissions_products[[#This Row],[etd,product]]+Pathway_emissions_products[[#This Row],[eu]]-Pathway_emissions_products[[#This Row],[eccs]]-Pathway_emissions_products[[#This Row],[eccr]]),"")</f>
        <v/>
      </c>
      <c r="N37" s="348" t="str">
        <f>Summary!$B37</f>
        <v/>
      </c>
      <c r="O37" s="342" t="str">
        <f>IFERROR(('Digestion &amp; outputs'!G21*'Digestion &amp; outputs'!D21)/'Reference values'!$D$42, "")</f>
        <v/>
      </c>
      <c r="P37" s="375" t="str">
        <f>IFERROR(Biogas_produced_products[[#This Row],[Apportioned biogas (m3)]]/('Digestion &amp; outputs'!$D$11/'Reference values'!$D$42), "")</f>
        <v/>
      </c>
      <c r="Q37" s="455" t="str">
        <f>IFERROR(Biogas_produced_products[[#This Row],[Apportioned biogas (m3)]]/SUM($O$22:$O$24), "")</f>
        <v/>
      </c>
      <c r="R37" s="398"/>
      <c r="S37" s="335" t="str">
        <f>Summary!$B37</f>
        <v/>
      </c>
      <c r="T37" s="224" t="str">
        <f>IFERROR(IF('Digestion &amp; outputs'!$E$106=0," ",IF(Feedstocks!D16&gt;0,L37, ""))," ")</f>
        <v/>
      </c>
      <c r="V37" s="471" t="str">
        <f>Summary!$B37</f>
        <v/>
      </c>
      <c r="W37" s="472" t="str">
        <f>IF(Feedstocks!D16&gt;0, Final_emissions_crops[[#This Row],[Biomethane Injection (gCO2eq/MJbiomethane)]]*Biogas_produced_products[[#This Row],[Biogas as a % incl. ineligible]], "")</f>
        <v/>
      </c>
    </row>
    <row r="38" spans="2:23" s="4" customFormat="1" x14ac:dyDescent="0.4">
      <c r="B38" s="506" t="str">
        <f>IF(Feedstocks!D17&gt;0,Feedstocks!C17,"")</f>
        <v/>
      </c>
      <c r="C38" s="507" t="str">
        <f>IFERROR(IF(Feedstocks!D17&gt;0,('Cultivation and harvesting'!K612 + 'Transport 1'!$J$312 + 'Feedstock conversion'!$J$312)/'Digestion &amp; outputs'!$K$104,""),"0.00")</f>
        <v/>
      </c>
      <c r="D38" s="507" t="str">
        <f>IFERROR(IF(Feedstocks!D17&gt;0,'Transport 2'!$J$312/'Digestion &amp; outputs'!$K$104,""),"0.00")</f>
        <v/>
      </c>
      <c r="E38" s="507" t="str">
        <f>IFERROR('Land-use change'!M18/'Digestion &amp; outputs'!$K$104, "")</f>
        <v/>
      </c>
      <c r="F38" s="507" t="str">
        <f>IFERROR('Soil carbon'!M18/'Digestion &amp; outputs'!$K$104,"")</f>
        <v/>
      </c>
      <c r="G38" s="507" t="str">
        <f>IF(Feedstocks!D17&gt;0,('Digestion &amp; outputs'!$K$16 + 'Final conversion'!$J$12)/'Digestion &amp; outputs'!$K$104,"")</f>
        <v/>
      </c>
      <c r="H38" s="507" t="str">
        <f>IFERROR(IF(Feedstocks!D17&gt;0,0,""),"")</f>
        <v/>
      </c>
      <c r="I38" s="508" t="str">
        <f>IF(Feedstocks!D17&gt;0,'Biomethane transport'!$J$12,"")</f>
        <v/>
      </c>
      <c r="J38" s="508" t="str">
        <f>IF(Feedstocks!D17&gt;0, 'Carbon capture'!$J$12, "")</f>
        <v/>
      </c>
      <c r="K38" s="509" t="str">
        <f>IF(Feedstocks!D17&gt;0, 'Carbon capture'!$J$27, "")</f>
        <v/>
      </c>
      <c r="L38" s="567" t="str">
        <f>IF(Feedstocks!E17&gt;0,(Pathway_emissions_products[[#This Row],[eec]]+Pathway_emissions_products[[#This Row],[etd,feedstock]]+Pathway_emissions_products[[#This Row],[el]]-Pathway_emissions_products[[#This Row],[esca]]+Pathway_emissions_products[[#This Row],[ep]]+Pathway_emissions_products[[#This Row],[etd,product]]+Pathway_emissions_products[[#This Row],[eu]]-Pathway_emissions_products[[#This Row],[eccs]]-Pathway_emissions_products[[#This Row],[eccr]]),"")</f>
        <v/>
      </c>
      <c r="N38" s="347" t="str">
        <f>Summary!$B38</f>
        <v/>
      </c>
      <c r="O38" s="342" t="str">
        <f>IFERROR(('Digestion &amp; outputs'!G22*'Digestion &amp; outputs'!D22)/'Reference values'!$D$42, "")</f>
        <v/>
      </c>
      <c r="P38" s="375" t="str">
        <f>IFERROR(Biogas_produced_products[[#This Row],[Apportioned biogas (m3)]]/('Digestion &amp; outputs'!$D$11/'Reference values'!$D$42), "")</f>
        <v/>
      </c>
      <c r="Q38" s="455" t="str">
        <f>IFERROR(Biogas_produced_products[[#This Row],[Apportioned biogas (m3)]]/SUM($O$22:$O$24), "")</f>
        <v/>
      </c>
      <c r="R38" s="398"/>
      <c r="S38" s="335" t="str">
        <f>Summary!$B38</f>
        <v/>
      </c>
      <c r="T38" s="224" t="str">
        <f>IFERROR(IF('Digestion &amp; outputs'!$E$106=0," ",IF(Feedstocks!D17&gt;0,L38, ""))," ")</f>
        <v/>
      </c>
      <c r="V38" s="471" t="str">
        <f>Summary!$B38</f>
        <v/>
      </c>
      <c r="W38" s="472" t="str">
        <f>IF(Feedstocks!D17&gt;0, Final_emissions_crops[[#This Row],[Biomethane Injection (gCO2eq/MJbiomethane)]]*Biogas_produced_products[[#This Row],[Biogas as a % incl. ineligible]], "")</f>
        <v/>
      </c>
    </row>
    <row r="39" spans="2:23" s="4" customFormat="1" x14ac:dyDescent="0.4">
      <c r="B39" s="506" t="str">
        <f>IF(Feedstocks!D18&gt;0,Feedstocks!C18,"")</f>
        <v/>
      </c>
      <c r="C39" s="507" t="str">
        <f>IFERROR(IF(Feedstocks!D18&gt;0,('Cultivation and harvesting'!K712 + 'Transport 1'!$J$362 + 'Feedstock conversion'!$J$362)/'Digestion &amp; outputs'!$K$104,""),"0.00")</f>
        <v/>
      </c>
      <c r="D39" s="507" t="str">
        <f>IFERROR(IF(Feedstocks!D18&gt;0,'Transport 2'!$J$362/'Digestion &amp; outputs'!$K$104,""),"0.00")</f>
        <v/>
      </c>
      <c r="E39" s="507" t="str">
        <f>IFERROR('Land-use change'!M19/'Digestion &amp; outputs'!$K$104, "")</f>
        <v/>
      </c>
      <c r="F39" s="507" t="str">
        <f>IFERROR('Soil carbon'!M19/'Digestion &amp; outputs'!$K$104,"")</f>
        <v/>
      </c>
      <c r="G39" s="507" t="str">
        <f>IF(Feedstocks!D18&gt;0,('Digestion &amp; outputs'!$K$16 + 'Final conversion'!$J$12)/'Digestion &amp; outputs'!$K$104,"")</f>
        <v/>
      </c>
      <c r="H39" s="507" t="str">
        <f>IFERROR(IF(Feedstocks!D18&gt;0,0,""),"")</f>
        <v/>
      </c>
      <c r="I39" s="508" t="str">
        <f>IF(Feedstocks!D18&gt;0,'Biomethane transport'!$J$12,"")</f>
        <v/>
      </c>
      <c r="J39" s="508" t="str">
        <f>IF(Feedstocks!D18&gt;0, 'Carbon capture'!$J$12, "")</f>
        <v/>
      </c>
      <c r="K39" s="509" t="str">
        <f>IF(Feedstocks!D18&gt;0, 'Carbon capture'!$J$27, "")</f>
        <v/>
      </c>
      <c r="L39" s="567" t="str">
        <f>IF(Feedstocks!E18&gt;0,(Pathway_emissions_products[[#This Row],[eec]]+Pathway_emissions_products[[#This Row],[etd,feedstock]]+Pathway_emissions_products[[#This Row],[el]]-Pathway_emissions_products[[#This Row],[esca]]+Pathway_emissions_products[[#This Row],[ep]]+Pathway_emissions_products[[#This Row],[etd,product]]+Pathway_emissions_products[[#This Row],[eu]]-Pathway_emissions_products[[#This Row],[eccs]]-Pathway_emissions_products[[#This Row],[eccr]]),"")</f>
        <v/>
      </c>
      <c r="N39" s="348" t="str">
        <f>Summary!$B39</f>
        <v/>
      </c>
      <c r="O39" s="342" t="str">
        <f>IFERROR(('Digestion &amp; outputs'!G23*'Digestion &amp; outputs'!D23)/'Reference values'!$D$42, "")</f>
        <v/>
      </c>
      <c r="P39" s="375" t="str">
        <f>IFERROR(Biogas_produced_products[[#This Row],[Apportioned biogas (m3)]]/('Digestion &amp; outputs'!$D$11/'Reference values'!$D$42), "")</f>
        <v/>
      </c>
      <c r="Q39" s="455" t="str">
        <f>IFERROR(Biogas_produced_products[[#This Row],[Apportioned biogas (m3)]]/SUM($O$22:$O$24), "")</f>
        <v/>
      </c>
      <c r="R39" s="398"/>
      <c r="S39" s="335" t="str">
        <f>Summary!$B39</f>
        <v/>
      </c>
      <c r="T39" s="224" t="str">
        <f>IFERROR(IF('Digestion &amp; outputs'!$E$106=0," ",IF(Feedstocks!D18&gt;0,L39, ""))," ")</f>
        <v/>
      </c>
      <c r="V39" s="471" t="str">
        <f>Summary!$B39</f>
        <v/>
      </c>
      <c r="W39" s="472" t="str">
        <f>IF(Feedstocks!D18&gt;0, Final_emissions_crops[[#This Row],[Biomethane Injection (gCO2eq/MJbiomethane)]]*Biogas_produced_products[[#This Row],[Biogas as a % incl. ineligible]], "")</f>
        <v/>
      </c>
    </row>
    <row r="40" spans="2:23" s="4" customFormat="1" x14ac:dyDescent="0.4">
      <c r="B40" s="506" t="str">
        <f>IF(Feedstocks!D19&gt;0,Feedstocks!C19,"")</f>
        <v/>
      </c>
      <c r="C40" s="507" t="str">
        <f>IFERROR(IF(Feedstocks!D19&gt;0,('Cultivation and harvesting'!K812 + 'Transport 1'!$J$412 + 'Feedstock conversion'!$J$412)/'Digestion &amp; outputs'!$K$104,""),"0.00")</f>
        <v/>
      </c>
      <c r="D40" s="507" t="str">
        <f>IFERROR(IF(Feedstocks!D19&gt;0,'Transport 2'!$J$412/'Digestion &amp; outputs'!$K$104,""),"0.00")</f>
        <v/>
      </c>
      <c r="E40" s="507" t="str">
        <f>IFERROR('Land-use change'!M20/'Digestion &amp; outputs'!$K$104, "")</f>
        <v/>
      </c>
      <c r="F40" s="507" t="str">
        <f>IFERROR('Soil carbon'!M20/'Digestion &amp; outputs'!$K$104,"")</f>
        <v/>
      </c>
      <c r="G40" s="507" t="str">
        <f>IF(Feedstocks!D19&gt;0,('Digestion &amp; outputs'!$K$16 + 'Final conversion'!$J$12)/'Digestion &amp; outputs'!$K$104,"")</f>
        <v/>
      </c>
      <c r="H40" s="507" t="str">
        <f>IFERROR(IF(Feedstocks!D19&gt;0,0,""),"")</f>
        <v/>
      </c>
      <c r="I40" s="508" t="str">
        <f>IF(Feedstocks!D19&gt;0,'Biomethane transport'!$J$12,"")</f>
        <v/>
      </c>
      <c r="J40" s="508" t="str">
        <f>IF(Feedstocks!D19&gt;0, 'Carbon capture'!$J$12, "")</f>
        <v/>
      </c>
      <c r="K40" s="509" t="str">
        <f>IF(Feedstocks!D19&gt;0, 'Carbon capture'!$J$27, "")</f>
        <v/>
      </c>
      <c r="L40" s="567" t="str">
        <f>IF(Feedstocks!E19&gt;0,(Pathway_emissions_products[[#This Row],[eec]]+Pathway_emissions_products[[#This Row],[etd,feedstock]]+Pathway_emissions_products[[#This Row],[el]]-Pathway_emissions_products[[#This Row],[esca]]+Pathway_emissions_products[[#This Row],[ep]]+Pathway_emissions_products[[#This Row],[etd,product]]+Pathway_emissions_products[[#This Row],[eu]]-Pathway_emissions_products[[#This Row],[eccs]]-Pathway_emissions_products[[#This Row],[eccr]]),"")</f>
        <v/>
      </c>
      <c r="N40" s="347" t="str">
        <f>Summary!$B40</f>
        <v/>
      </c>
      <c r="O40" s="342" t="str">
        <f>IFERROR(('Digestion &amp; outputs'!G24*'Digestion &amp; outputs'!D24)/'Reference values'!$D$42, "")</f>
        <v/>
      </c>
      <c r="P40" s="375" t="str">
        <f>IFERROR(Biogas_produced_products[[#This Row],[Apportioned biogas (m3)]]/('Digestion &amp; outputs'!$D$11/'Reference values'!$D$42), "")</f>
        <v/>
      </c>
      <c r="Q40" s="455" t="str">
        <f>IFERROR(Biogas_produced_products[[#This Row],[Apportioned biogas (m3)]]/SUM($O$22:$O$24), "")</f>
        <v/>
      </c>
      <c r="R40" s="398"/>
      <c r="S40" s="335" t="str">
        <f>Summary!$B40</f>
        <v/>
      </c>
      <c r="T40" s="224" t="str">
        <f>IFERROR(IF('Digestion &amp; outputs'!$E$106=0," ",IF(Feedstocks!D19&gt;0,L40, ""))," ")</f>
        <v/>
      </c>
      <c r="V40" s="471" t="str">
        <f>Summary!$B40</f>
        <v/>
      </c>
      <c r="W40" s="472" t="str">
        <f>IF(Feedstocks!D19&gt;0, Final_emissions_crops[[#This Row],[Biomethane Injection (gCO2eq/MJbiomethane)]]*Biogas_produced_products[[#This Row],[Biogas as a % incl. ineligible]], "")</f>
        <v/>
      </c>
    </row>
    <row r="41" spans="2:23" s="4" customFormat="1" x14ac:dyDescent="0.4">
      <c r="B41" s="568" t="str">
        <f>IF(Feedstocks!D20&gt;0,Feedstocks!C20,"")</f>
        <v/>
      </c>
      <c r="C41" s="569" t="str">
        <f>IFERROR(IF(Feedstocks!D20&gt;0,('Cultivation and harvesting'!K912 + 'Transport 1'!$J$462 + 'Feedstock conversion'!$J$462)/'Digestion &amp; outputs'!$K$104,""),"0.00")</f>
        <v/>
      </c>
      <c r="D41" s="569" t="str">
        <f>IFERROR(IF(Feedstocks!D20&gt;0,'Transport 2'!$J$462/'Digestion &amp; outputs'!$K$104,""),"0.00")</f>
        <v/>
      </c>
      <c r="E41" s="507" t="str">
        <f>IFERROR('Land-use change'!M21/'Digestion &amp; outputs'!$K$104, "")</f>
        <v/>
      </c>
      <c r="F41" s="507" t="str">
        <f>IFERROR('Soil carbon'!M21/'Digestion &amp; outputs'!$K$104,"")</f>
        <v/>
      </c>
      <c r="G41" s="507" t="str">
        <f>IF(Feedstocks!D20&gt;0,('Digestion &amp; outputs'!$K$16 + 'Final conversion'!$J$12)/'Digestion &amp; outputs'!$K$104,"")</f>
        <v/>
      </c>
      <c r="H41" s="570" t="str">
        <f>IFERROR(IF(Feedstocks!D20&gt;0,0,""),"")</f>
        <v/>
      </c>
      <c r="I41" s="508" t="str">
        <f>IF(Feedstocks!D20&gt;0,'Biomethane transport'!$J$12,"")</f>
        <v/>
      </c>
      <c r="J41" s="508" t="str">
        <f>IF(Feedstocks!D20&gt;0, 'Carbon capture'!$J$12, "")</f>
        <v/>
      </c>
      <c r="K41" s="509" t="str">
        <f>IF(Feedstocks!D20&gt;0, 'Carbon capture'!$J$27, "")</f>
        <v/>
      </c>
      <c r="L41" s="567" t="str">
        <f>IF(Feedstocks!E20&gt;0,(Pathway_emissions_products[[#This Row],[eec]]+Pathway_emissions_products[[#This Row],[etd,feedstock]]+Pathway_emissions_products[[#This Row],[el]]-Pathway_emissions_products[[#This Row],[esca]]+Pathway_emissions_products[[#This Row],[ep]]+Pathway_emissions_products[[#This Row],[etd,product]]+Pathway_emissions_products[[#This Row],[eu]]-Pathway_emissions_products[[#This Row],[eccs]]-Pathway_emissions_products[[#This Row],[eccr]]),"")</f>
        <v/>
      </c>
      <c r="N41" s="348" t="str">
        <f>Summary!$B41</f>
        <v/>
      </c>
      <c r="O41" s="342" t="str">
        <f>IFERROR(('Digestion &amp; outputs'!G25*'Digestion &amp; outputs'!D25)/'Reference values'!$D$42, "")</f>
        <v/>
      </c>
      <c r="P41" s="375" t="str">
        <f>IFERROR(Biogas_produced_products[[#This Row],[Apportioned biogas (m3)]]/('Digestion &amp; outputs'!$D$11/'Reference values'!$D$42), "")</f>
        <v/>
      </c>
      <c r="Q41" s="455" t="str">
        <f>IFERROR(Biogas_produced_products[[#This Row],[Apportioned biogas (m3)]]/SUM($O$22:$O$24), "")</f>
        <v/>
      </c>
      <c r="R41" s="398"/>
      <c r="S41" s="335" t="str">
        <f>Summary!$B41</f>
        <v/>
      </c>
      <c r="T41" s="224" t="str">
        <f>IFERROR(IF('Digestion &amp; outputs'!$E$106=0," ",IF(Feedstocks!D20&gt;0,L41, ""))," ")</f>
        <v/>
      </c>
      <c r="V41" s="473" t="str">
        <f>Summary!$B41</f>
        <v/>
      </c>
      <c r="W41" s="474" t="str">
        <f>IF(Feedstocks!D20&gt;0, Final_emissions_crops[[#This Row],[Biomethane Injection (gCO2eq/MJbiomethane)]]*Biogas_produced_products[[#This Row],[Biogas as a % incl. ineligible]], "")</f>
        <v/>
      </c>
    </row>
    <row r="42" spans="2:23" s="4" customFormat="1" x14ac:dyDescent="0.4">
      <c r="B42" s="334" t="s">
        <v>73</v>
      </c>
      <c r="R42" s="399"/>
    </row>
    <row r="43" spans="2:23" s="4" customFormat="1" ht="15.6" customHeight="1" x14ac:dyDescent="0.4">
      <c r="B43" s="334"/>
      <c r="R43" s="399"/>
    </row>
    <row r="44" spans="2:23" s="4" customFormat="1" x14ac:dyDescent="0.4">
      <c r="B44" s="734" t="s">
        <v>74</v>
      </c>
      <c r="C44" s="735"/>
      <c r="D44" s="735"/>
      <c r="E44" s="735"/>
      <c r="F44" s="735"/>
      <c r="G44" s="735"/>
      <c r="H44" s="735"/>
      <c r="I44" s="735"/>
      <c r="J44" s="735"/>
      <c r="K44" s="735"/>
      <c r="L44" s="736"/>
      <c r="N44" s="734" t="s">
        <v>75</v>
      </c>
      <c r="O44" s="735"/>
      <c r="P44" s="735"/>
      <c r="Q44" s="736"/>
      <c r="R44" s="458"/>
      <c r="S44" s="721" t="s">
        <v>58</v>
      </c>
      <c r="T44" s="721"/>
      <c r="V44" s="711" t="s">
        <v>59</v>
      </c>
      <c r="W44" s="711"/>
    </row>
    <row r="45" spans="2:23" s="14" customFormat="1" ht="35.1" customHeight="1" x14ac:dyDescent="0.4">
      <c r="B45" s="467" t="s">
        <v>60</v>
      </c>
      <c r="C45" s="564" t="s">
        <v>61</v>
      </c>
      <c r="D45" s="564" t="s">
        <v>62</v>
      </c>
      <c r="E45" s="564" t="s">
        <v>63</v>
      </c>
      <c r="F45" s="564" t="s">
        <v>64</v>
      </c>
      <c r="G45" s="564" t="s">
        <v>65</v>
      </c>
      <c r="H45" s="564" t="s">
        <v>66</v>
      </c>
      <c r="I45" s="564" t="s">
        <v>67</v>
      </c>
      <c r="J45" s="565" t="s">
        <v>76</v>
      </c>
      <c r="K45" s="565" t="s">
        <v>77</v>
      </c>
      <c r="L45" s="566" t="s">
        <v>70</v>
      </c>
      <c r="N45" s="228" t="s">
        <v>60</v>
      </c>
      <c r="O45" s="571" t="s">
        <v>47</v>
      </c>
      <c r="P45" s="479" t="s">
        <v>48</v>
      </c>
      <c r="Q45" s="479" t="s">
        <v>49</v>
      </c>
      <c r="R45" s="400"/>
      <c r="S45" s="228" t="s">
        <v>60</v>
      </c>
      <c r="T45" s="228" t="s">
        <v>71</v>
      </c>
      <c r="V45" s="468" t="s">
        <v>60</v>
      </c>
      <c r="W45" s="481" t="s">
        <v>72</v>
      </c>
    </row>
    <row r="46" spans="2:23" s="4" customFormat="1" x14ac:dyDescent="0.4">
      <c r="B46" s="506" t="str">
        <f>IF(Feedstocks!$D24&gt;0,Feedstocks!C24,"")</f>
        <v/>
      </c>
      <c r="C46" s="507" t="str">
        <f>IF(Feedstocks!$D24&gt;0,"NA","")</f>
        <v/>
      </c>
      <c r="D46" s="507" t="str">
        <f>IFERROR(IF(Feedstocks!$D24&gt;0,'Transport 2'!$J$512/'Digestion &amp; outputs'!$K$104,""),"0.00")</f>
        <v/>
      </c>
      <c r="E46" s="507" t="str">
        <f>IF(Feedstocks!D24&gt;0, "NA", "")</f>
        <v/>
      </c>
      <c r="F46" s="507" t="str">
        <f>IF(Feedstocks!D24&gt;0, "NA", "")</f>
        <v/>
      </c>
      <c r="G46" s="507" t="str">
        <f>IF(Feedstocks!$D24&gt;0,('Digestion &amp; outputs'!$K$16 + 'Final conversion'!$J$12)/'Digestion &amp; outputs'!$K$104,"")</f>
        <v/>
      </c>
      <c r="H46" s="507" t="str">
        <f>IF(Feedstocks!$D24&gt;0,0,"")</f>
        <v/>
      </c>
      <c r="I46" s="508" t="str">
        <f>IF(Feedstocks!$D24&gt;0,'Biomethane transport'!$J$12,"")</f>
        <v/>
      </c>
      <c r="J46" s="508" t="str">
        <f>IF(Feedstocks!D24&gt;0, 'Carbon capture'!$J$12, "")</f>
        <v/>
      </c>
      <c r="K46" s="509" t="str">
        <f>IF(Feedstocks!D24&gt;0, 'Carbon capture'!$J$27, "")</f>
        <v/>
      </c>
      <c r="L46" s="567" t="str">
        <f>IF(Feedstocks!D24&gt;0,Pathway_emissions_residues[[#This Row],[etd,feedstock]]+Pathway_emissions_residues[[#This Row],[ep]]+Pathway_emissions_residues[[#This Row],[etd,product]]+Pathway_emissions_residues[[#This Row],[eu]]-Pathway_emissions_residues[[#This Row],[eCCS]]-Pathway_emissions_residues[[#This Row],[eCCR]], "")</f>
        <v/>
      </c>
      <c r="N46" s="348" t="str">
        <f>Summary!$B46</f>
        <v/>
      </c>
      <c r="O46" s="342" t="str">
        <f>IFERROR(('Digestion &amp; outputs'!G27*'Digestion &amp; outputs'!D27)/'Reference values'!$D$42, "")</f>
        <v/>
      </c>
      <c r="P46" s="455" t="str">
        <f>IFERROR(Biogas_produced_residues[[#This Row],[Apportioned biogas (m3)]]/('Digestion &amp; outputs'!$D$11/'Reference values'!$D$42), "")</f>
        <v/>
      </c>
      <c r="Q46" s="455" t="str">
        <f>IFERROR(Biogas_produced_residues[[#This Row],[Apportioned biogas (m3)]]/(SUM($O$22:$O$24)), "")</f>
        <v/>
      </c>
      <c r="R46" s="398"/>
      <c r="S46" s="335" t="str">
        <f>Summary!$B46</f>
        <v/>
      </c>
      <c r="T46" s="224" t="str">
        <f>IFERROR(IF('Digestion &amp; outputs'!$E$106=0," ",IF(Feedstocks!D24&gt;0,L46, ""))," ")</f>
        <v/>
      </c>
      <c r="V46" s="471" t="str">
        <f>Summary!$B46</f>
        <v/>
      </c>
      <c r="W46" s="475" t="str">
        <f>IF(Feedstocks!D24&gt;0,Final_emissions_residues[[#This Row],[Biomethane Injection (gCO2eq/MJbiomethane)]]*Biogas_produced_residues[[#This Row],[Biogas as a % incl. ineligible]], "")</f>
        <v/>
      </c>
    </row>
    <row r="47" spans="2:23" s="4" customFormat="1" x14ac:dyDescent="0.4">
      <c r="B47" s="506" t="str">
        <f>IF(Feedstocks!$D25&gt;0,Feedstocks!C25,"")</f>
        <v/>
      </c>
      <c r="C47" s="507" t="str">
        <f>IF(Feedstocks!$D25&gt;0,"NA","")</f>
        <v/>
      </c>
      <c r="D47" s="507" t="str">
        <f>IFERROR(IF(Feedstocks!$D25&gt;0,'Transport 2'!$J$562/'Digestion &amp; outputs'!$K$104,""),"0.00")</f>
        <v/>
      </c>
      <c r="E47" s="507" t="str">
        <f>IF(Feedstocks!D25&gt;0, "NA", "")</f>
        <v/>
      </c>
      <c r="F47" s="507" t="str">
        <f>IF(Feedstocks!D25&gt;0, "NA", "")</f>
        <v/>
      </c>
      <c r="G47" s="507" t="str">
        <f>IF(Feedstocks!$D25&gt;0,('Digestion &amp; outputs'!$K$16 + 'Final conversion'!$J$12)/'Digestion &amp; outputs'!$K$104,"")</f>
        <v/>
      </c>
      <c r="H47" s="507" t="str">
        <f>IF(Feedstocks!$D25&gt;0,0,"")</f>
        <v/>
      </c>
      <c r="I47" s="508" t="str">
        <f>IF(Feedstocks!$D25&gt;0,'Biomethane transport'!$J$12,"")</f>
        <v/>
      </c>
      <c r="J47" s="508" t="str">
        <f>IF(Feedstocks!D25&gt;0, 'Carbon capture'!$J$12, "")</f>
        <v/>
      </c>
      <c r="K47" s="509" t="str">
        <f>IF(Feedstocks!D25&gt;0, 'Carbon capture'!$J$27, "")</f>
        <v/>
      </c>
      <c r="L47" s="567" t="str">
        <f>IF(Feedstocks!D25&gt;0,Pathway_emissions_residues[[#This Row],[etd,feedstock]]+Pathway_emissions_residues[[#This Row],[ep]]+Pathway_emissions_residues[[#This Row],[etd,product]]+Pathway_emissions_residues[[#This Row],[eu]]-Pathway_emissions_residues[[#This Row],[eCCS]]-Pathway_emissions_residues[[#This Row],[eCCR]], "")</f>
        <v/>
      </c>
      <c r="N47" s="348" t="str">
        <f>Summary!$B47</f>
        <v/>
      </c>
      <c r="O47" s="469" t="str">
        <f>IFERROR(('Digestion &amp; outputs'!G28*'Digestion &amp; outputs'!D28)/'Reference values'!$D$42, "")</f>
        <v/>
      </c>
      <c r="P47" s="455" t="str">
        <f>IFERROR(Biogas_produced_residues[[#This Row],[Apportioned biogas (m3)]]/('Digestion &amp; outputs'!$D$11/'Reference values'!$D$42), "")</f>
        <v/>
      </c>
      <c r="Q47" s="455" t="str">
        <f>IFERROR(Biogas_produced_residues[[#This Row],[Apportioned biogas (m3)]]/(SUM($O$22:$O$24)), "")</f>
        <v/>
      </c>
      <c r="R47" s="398"/>
      <c r="S47" s="335" t="str">
        <f>Summary!$B47</f>
        <v/>
      </c>
      <c r="T47" s="224" t="str">
        <f>IFERROR(IF('Digestion &amp; outputs'!$E$106=0," ",IF(Feedstocks!D25&gt;0,L47, ""))," ")</f>
        <v/>
      </c>
      <c r="V47" s="471" t="str">
        <f>Summary!$B47</f>
        <v/>
      </c>
      <c r="W47" s="475" t="str">
        <f>IF(Feedstocks!D25&gt;0,Final_emissions_residues[[#This Row],[Biomethane Injection (gCO2eq/MJbiomethane)]]*Biogas_produced_residues[[#This Row],[Biogas as a % incl. ineligible]], "")</f>
        <v/>
      </c>
    </row>
    <row r="48" spans="2:23" s="4" customFormat="1" x14ac:dyDescent="0.4">
      <c r="B48" s="506" t="str">
        <f>IF(Feedstocks!$D26&gt;0,Feedstocks!C26,"")</f>
        <v/>
      </c>
      <c r="C48" s="507" t="str">
        <f>IF(Feedstocks!$D26&gt;0,"NA","")</f>
        <v/>
      </c>
      <c r="D48" s="507" t="str">
        <f>IFERROR(IF(Feedstocks!$D26&gt;0,'Transport 2'!$J$612/'Digestion &amp; outputs'!$K$104,""),"0.00")</f>
        <v/>
      </c>
      <c r="E48" s="507" t="str">
        <f>IF(Feedstocks!D26&gt;0, "NA", "")</f>
        <v/>
      </c>
      <c r="F48" s="507" t="str">
        <f>IF(Feedstocks!D26&gt;0, "NA", "")</f>
        <v/>
      </c>
      <c r="G48" s="507" t="str">
        <f>IF(Feedstocks!$D26&gt;0,('Digestion &amp; outputs'!$K$16 + 'Final conversion'!$J$12)/'Digestion &amp; outputs'!$K$104,"")</f>
        <v/>
      </c>
      <c r="H48" s="507" t="str">
        <f>IF(Feedstocks!$D26&gt;0,0,"")</f>
        <v/>
      </c>
      <c r="I48" s="508" t="str">
        <f>IF(Feedstocks!$D26&gt;0,'Biomethane transport'!$J$12,"")</f>
        <v/>
      </c>
      <c r="J48" s="508" t="str">
        <f>IF(Feedstocks!D26&gt;0, 'Carbon capture'!$J$12, "")</f>
        <v/>
      </c>
      <c r="K48" s="509" t="str">
        <f>IF(Feedstocks!D26&gt;0, 'Carbon capture'!$J$27, "")</f>
        <v/>
      </c>
      <c r="L48" s="567" t="str">
        <f>IF(Feedstocks!D26&gt;0,Pathway_emissions_residues[[#This Row],[etd,feedstock]]+Pathway_emissions_residues[[#This Row],[ep]]+Pathway_emissions_residues[[#This Row],[etd,product]]+Pathway_emissions_residues[[#This Row],[eu]]-Pathway_emissions_residues[[#This Row],[eCCS]]-Pathway_emissions_residues[[#This Row],[eCCR]], "")</f>
        <v/>
      </c>
      <c r="N48" s="348" t="str">
        <f>Summary!$B48</f>
        <v/>
      </c>
      <c r="O48" s="342" t="str">
        <f>IFERROR(('Digestion &amp; outputs'!G29*'Digestion &amp; outputs'!D29)/'Reference values'!$D$42, "")</f>
        <v/>
      </c>
      <c r="P48" s="455" t="str">
        <f>IFERROR(Biogas_produced_residues[[#This Row],[Apportioned biogas (m3)]]/('Digestion &amp; outputs'!$D$11/'Reference values'!$D$42), "")</f>
        <v/>
      </c>
      <c r="Q48" s="455" t="str">
        <f>IFERROR(Biogas_produced_residues[[#This Row],[Apportioned biogas (m3)]]/(SUM($O$22:$O$24)), "")</f>
        <v/>
      </c>
      <c r="R48" s="398"/>
      <c r="S48" s="335" t="str">
        <f>Summary!$B48</f>
        <v/>
      </c>
      <c r="T48" s="224" t="str">
        <f>IFERROR(IF('Digestion &amp; outputs'!$E$106=0," ",IF(Feedstocks!D26&gt;0,L48, ""))," ")</f>
        <v/>
      </c>
      <c r="V48" s="471" t="str">
        <f>Summary!$B48</f>
        <v/>
      </c>
      <c r="W48" s="475" t="str">
        <f>IF(Feedstocks!D26&gt;0,Final_emissions_residues[[#This Row],[Biomethane Injection (gCO2eq/MJbiomethane)]]*Biogas_produced_residues[[#This Row],[Biogas as a % incl. ineligible]], "")</f>
        <v/>
      </c>
    </row>
    <row r="49" spans="2:23" s="4" customFormat="1" x14ac:dyDescent="0.4">
      <c r="B49" s="506" t="str">
        <f>IF(Feedstocks!$D27&gt;0,Feedstocks!C27,"")</f>
        <v/>
      </c>
      <c r="C49" s="507" t="str">
        <f>IF(Feedstocks!$D27&gt;0,"NA","")</f>
        <v/>
      </c>
      <c r="D49" s="507" t="str">
        <f>IFERROR(IF(Feedstocks!$D27&gt;0,'Transport 2'!$J$662/'Digestion &amp; outputs'!$K$104,""),"0.00")</f>
        <v/>
      </c>
      <c r="E49" s="507" t="str">
        <f>IF(Feedstocks!D27&gt;0, "NA", "")</f>
        <v/>
      </c>
      <c r="F49" s="507" t="str">
        <f>IF(Feedstocks!D27&gt;0, "NA", "")</f>
        <v/>
      </c>
      <c r="G49" s="507" t="str">
        <f>IF(Feedstocks!$D27&gt;0,('Digestion &amp; outputs'!$K$16 + 'Final conversion'!$J$12)/'Digestion &amp; outputs'!$K$104,"")</f>
        <v/>
      </c>
      <c r="H49" s="507" t="str">
        <f>IF(Feedstocks!$D27&gt;0,0,"")</f>
        <v/>
      </c>
      <c r="I49" s="508" t="str">
        <f>IF(Feedstocks!$D27&gt;0,'Biomethane transport'!$J$12,"")</f>
        <v/>
      </c>
      <c r="J49" s="508" t="str">
        <f>IF(Feedstocks!D27&gt;0, 'Carbon capture'!$J$12, "")</f>
        <v/>
      </c>
      <c r="K49" s="509" t="str">
        <f>IF(Feedstocks!D27&gt;0, 'Carbon capture'!$J$27, "")</f>
        <v/>
      </c>
      <c r="L49" s="567" t="str">
        <f>IF(Feedstocks!D27&gt;0,Pathway_emissions_residues[[#This Row],[etd,feedstock]]+Pathway_emissions_residues[[#This Row],[ep]]+Pathway_emissions_residues[[#This Row],[etd,product]]+Pathway_emissions_residues[[#This Row],[eu]]-Pathway_emissions_residues[[#This Row],[eCCS]]-Pathway_emissions_residues[[#This Row],[eCCR]], "")</f>
        <v/>
      </c>
      <c r="N49" s="348" t="str">
        <f>Summary!$B49</f>
        <v/>
      </c>
      <c r="O49" s="469" t="str">
        <f>IFERROR(('Digestion &amp; outputs'!G30*'Digestion &amp; outputs'!D30)/'Reference values'!$D$42, "")</f>
        <v/>
      </c>
      <c r="P49" s="455" t="str">
        <f>IFERROR(Biogas_produced_residues[[#This Row],[Apportioned biogas (m3)]]/('Digestion &amp; outputs'!$D$11/'Reference values'!$D$42), "")</f>
        <v/>
      </c>
      <c r="Q49" s="455" t="str">
        <f>IFERROR(Biogas_produced_residues[[#This Row],[Apportioned biogas (m3)]]/(SUM($O$22:$O$24)), "")</f>
        <v/>
      </c>
      <c r="R49" s="398"/>
      <c r="S49" s="335" t="str">
        <f>Summary!$B49</f>
        <v/>
      </c>
      <c r="T49" s="224" t="str">
        <f>IFERROR(IF('Digestion &amp; outputs'!$E$106=0," ",IF(Feedstocks!D27&gt;0,L49, ""))," ")</f>
        <v/>
      </c>
      <c r="V49" s="471" t="str">
        <f>Summary!$B49</f>
        <v/>
      </c>
      <c r="W49" s="475" t="str">
        <f>IF(Feedstocks!D27&gt;0,Final_emissions_residues[[#This Row],[Biomethane Injection (gCO2eq/MJbiomethane)]]*Biogas_produced_residues[[#This Row],[Biogas as a % incl. ineligible]], "")</f>
        <v/>
      </c>
    </row>
    <row r="50" spans="2:23" s="4" customFormat="1" x14ac:dyDescent="0.4">
      <c r="B50" s="506" t="str">
        <f>IF(Feedstocks!$D28&gt;0,Feedstocks!C28,"")</f>
        <v/>
      </c>
      <c r="C50" s="507" t="str">
        <f>IF(Feedstocks!$D28&gt;0,"NA","")</f>
        <v/>
      </c>
      <c r="D50" s="507" t="str">
        <f>IFERROR(IF(Feedstocks!$D28&gt;0,'Transport 2'!$J$712/'Digestion &amp; outputs'!$K$104,""),"0.00")</f>
        <v/>
      </c>
      <c r="E50" s="507" t="str">
        <f>IF(Feedstocks!D28&gt;0, "NA", "")</f>
        <v/>
      </c>
      <c r="F50" s="507" t="str">
        <f>IF(Feedstocks!D28&gt;0, "NA", "")</f>
        <v/>
      </c>
      <c r="G50" s="507" t="str">
        <f>IF(Feedstocks!$D28&gt;0,('Digestion &amp; outputs'!$K$16 + 'Final conversion'!$J$12)/'Digestion &amp; outputs'!$K$104,"")</f>
        <v/>
      </c>
      <c r="H50" s="507" t="str">
        <f>IF(Feedstocks!$D28&gt;0,0,"")</f>
        <v/>
      </c>
      <c r="I50" s="508" t="str">
        <f>IF(Feedstocks!$D28&gt;0,'Biomethane transport'!$J$12,"")</f>
        <v/>
      </c>
      <c r="J50" s="508" t="str">
        <f>IF(Feedstocks!D28&gt;0, 'Carbon capture'!$J$12, "")</f>
        <v/>
      </c>
      <c r="K50" s="509" t="str">
        <f>IF(Feedstocks!D28&gt;0, 'Carbon capture'!$J$27, "")</f>
        <v/>
      </c>
      <c r="L50" s="567" t="str">
        <f>IF(Feedstocks!D28&gt;0,Pathway_emissions_residues[[#This Row],[etd,feedstock]]+Pathway_emissions_residues[[#This Row],[ep]]+Pathway_emissions_residues[[#This Row],[etd,product]]+Pathway_emissions_residues[[#This Row],[eu]]-Pathway_emissions_residues[[#This Row],[eCCS]]-Pathway_emissions_residues[[#This Row],[eCCR]], "")</f>
        <v/>
      </c>
      <c r="N50" s="348" t="str">
        <f>Summary!$B50</f>
        <v/>
      </c>
      <c r="O50" s="342" t="str">
        <f>IFERROR(('Digestion &amp; outputs'!G31*'Digestion &amp; outputs'!D31)/'Reference values'!$D$42, "")</f>
        <v/>
      </c>
      <c r="P50" s="455" t="str">
        <f>IFERROR(Biogas_produced_residues[[#This Row],[Apportioned biogas (m3)]]/('Digestion &amp; outputs'!$D$11/'Reference values'!$D$42), "")</f>
        <v/>
      </c>
      <c r="Q50" s="455" t="str">
        <f>IFERROR(Biogas_produced_residues[[#This Row],[Apportioned biogas (m3)]]/(SUM($O$22:$O$24)), "")</f>
        <v/>
      </c>
      <c r="R50" s="398"/>
      <c r="S50" s="335" t="str">
        <f>Summary!$B50</f>
        <v/>
      </c>
      <c r="T50" s="224" t="str">
        <f>IFERROR(IF('Digestion &amp; outputs'!$E$106=0," ",IF(Feedstocks!D28&gt;0,L50, ""))," ")</f>
        <v/>
      </c>
      <c r="V50" s="471" t="str">
        <f>Summary!$B50</f>
        <v/>
      </c>
      <c r="W50" s="475" t="str">
        <f>IF(Feedstocks!D28&gt;0,Final_emissions_residues[[#This Row],[Biomethane Injection (gCO2eq/MJbiomethane)]]*Biogas_produced_residues[[#This Row],[Biogas as a % incl. ineligible]], "")</f>
        <v/>
      </c>
    </row>
    <row r="51" spans="2:23" s="4" customFormat="1" x14ac:dyDescent="0.4">
      <c r="B51" s="506" t="str">
        <f>IF(Feedstocks!$D29&gt;0,Feedstocks!C29,"")</f>
        <v/>
      </c>
      <c r="C51" s="507" t="str">
        <f>IF(Feedstocks!$D29&gt;0,"NA","")</f>
        <v/>
      </c>
      <c r="D51" s="507" t="str">
        <f>IFERROR(IF(Feedstocks!$D29&gt;0,'Transport 2'!$J$762/'Digestion &amp; outputs'!$K$104,""),"0.00")</f>
        <v/>
      </c>
      <c r="E51" s="507" t="str">
        <f>IF(Feedstocks!D29&gt;0, "NA", "")</f>
        <v/>
      </c>
      <c r="F51" s="507" t="str">
        <f>IF(Feedstocks!D29&gt;0, "NA", "")</f>
        <v/>
      </c>
      <c r="G51" s="507" t="str">
        <f>IF(Feedstocks!$D29&gt;0,('Digestion &amp; outputs'!$K$16 + 'Final conversion'!$J$12)/'Digestion &amp; outputs'!$K$104,"")</f>
        <v/>
      </c>
      <c r="H51" s="507" t="str">
        <f>IF(Feedstocks!$D29&gt;0,0,"")</f>
        <v/>
      </c>
      <c r="I51" s="508" t="str">
        <f>IF(Feedstocks!$D29&gt;0,'Biomethane transport'!$J$12,"")</f>
        <v/>
      </c>
      <c r="J51" s="508" t="str">
        <f>IF(Feedstocks!D29&gt;0, 'Carbon capture'!$J$12, "")</f>
        <v/>
      </c>
      <c r="K51" s="509" t="str">
        <f>IF(Feedstocks!D29&gt;0, 'Carbon capture'!$J$27, "")</f>
        <v/>
      </c>
      <c r="L51" s="567" t="str">
        <f>IF(Feedstocks!D29&gt;0,Pathway_emissions_residues[[#This Row],[etd,feedstock]]+Pathway_emissions_residues[[#This Row],[ep]]+Pathway_emissions_residues[[#This Row],[etd,product]]+Pathway_emissions_residues[[#This Row],[eu]]-Pathway_emissions_residues[[#This Row],[eCCS]]-Pathway_emissions_residues[[#This Row],[eCCR]], "")</f>
        <v/>
      </c>
      <c r="N51" s="348" t="str">
        <f>Summary!$B51</f>
        <v/>
      </c>
      <c r="O51" s="469" t="str">
        <f>IFERROR(('Digestion &amp; outputs'!G32*'Digestion &amp; outputs'!D32)/'Reference values'!$D$42, "")</f>
        <v/>
      </c>
      <c r="P51" s="455" t="str">
        <f>IFERROR(Biogas_produced_residues[[#This Row],[Apportioned biogas (m3)]]/('Digestion &amp; outputs'!$D$11/'Reference values'!$D$42), "")</f>
        <v/>
      </c>
      <c r="Q51" s="455" t="str">
        <f>IFERROR(Biogas_produced_residues[[#This Row],[Apportioned biogas (m3)]]/(SUM($O$22:$O$24)), "")</f>
        <v/>
      </c>
      <c r="R51" s="398"/>
      <c r="S51" s="335" t="str">
        <f>Summary!$B51</f>
        <v/>
      </c>
      <c r="T51" s="224" t="str">
        <f>IFERROR(IF('Digestion &amp; outputs'!$E$106=0," ",IF(Feedstocks!D29&gt;0,L51, ""))," ")</f>
        <v/>
      </c>
      <c r="V51" s="471" t="str">
        <f>Summary!$B51</f>
        <v/>
      </c>
      <c r="W51" s="475" t="str">
        <f>IF(Feedstocks!D29&gt;0,Final_emissions_residues[[#This Row],[Biomethane Injection (gCO2eq/MJbiomethane)]]*Biogas_produced_residues[[#This Row],[Biogas as a % incl. ineligible]], "")</f>
        <v/>
      </c>
    </row>
    <row r="52" spans="2:23" s="4" customFormat="1" x14ac:dyDescent="0.4">
      <c r="B52" s="506" t="str">
        <f>IF(Feedstocks!$D30&gt;0,Feedstocks!C30,"")</f>
        <v/>
      </c>
      <c r="C52" s="507" t="str">
        <f>IF(Feedstocks!$D30&gt;0,"NA","")</f>
        <v/>
      </c>
      <c r="D52" s="507" t="str">
        <f>IFERROR(IF(Feedstocks!$D30&gt;0,'Transport 2'!$J$812/'Digestion &amp; outputs'!$K$104,""),"0.00")</f>
        <v/>
      </c>
      <c r="E52" s="507" t="str">
        <f>IF(Feedstocks!D30&gt;0, "NA", "")</f>
        <v/>
      </c>
      <c r="F52" s="507" t="str">
        <f>IF(Feedstocks!D30&gt;0, "NA", "")</f>
        <v/>
      </c>
      <c r="G52" s="507" t="str">
        <f>IF(Feedstocks!$D30&gt;0,('Digestion &amp; outputs'!$K$16 + 'Final conversion'!$J$12)/'Digestion &amp; outputs'!$K$104,"")</f>
        <v/>
      </c>
      <c r="H52" s="507" t="str">
        <f>IF(Feedstocks!$D30&gt;0,0,"")</f>
        <v/>
      </c>
      <c r="I52" s="508" t="str">
        <f>IF(Feedstocks!$D30&gt;0,'Biomethane transport'!$J$12,"")</f>
        <v/>
      </c>
      <c r="J52" s="508" t="str">
        <f>IF(Feedstocks!D30&gt;0, 'Carbon capture'!$J$12, "")</f>
        <v/>
      </c>
      <c r="K52" s="509" t="str">
        <f>IF(Feedstocks!D30&gt;0, 'Carbon capture'!$J$27, "")</f>
        <v/>
      </c>
      <c r="L52" s="567" t="str">
        <f>IF(Feedstocks!D30&gt;0,Pathway_emissions_residues[[#This Row],[etd,feedstock]]+Pathway_emissions_residues[[#This Row],[ep]]+Pathway_emissions_residues[[#This Row],[etd,product]]+Pathway_emissions_residues[[#This Row],[eu]]-Pathway_emissions_residues[[#This Row],[eCCS]]-Pathway_emissions_residues[[#This Row],[eCCR]], "")</f>
        <v/>
      </c>
      <c r="N52" s="348" t="str">
        <f>Summary!$B52</f>
        <v/>
      </c>
      <c r="O52" s="342" t="str">
        <f>IFERROR(('Digestion &amp; outputs'!G33*'Digestion &amp; outputs'!D33)/'Reference values'!$D$42, "")</f>
        <v/>
      </c>
      <c r="P52" s="455" t="str">
        <f>IFERROR(Biogas_produced_residues[[#This Row],[Apportioned biogas (m3)]]/('Digestion &amp; outputs'!$D$11/'Reference values'!$D$42), "")</f>
        <v/>
      </c>
      <c r="Q52" s="455" t="str">
        <f>IFERROR(Biogas_produced_residues[[#This Row],[Apportioned biogas (m3)]]/(SUM($O$22:$O$24)), "")</f>
        <v/>
      </c>
      <c r="R52" s="398"/>
      <c r="S52" s="335" t="str">
        <f>Summary!$B52</f>
        <v/>
      </c>
      <c r="T52" s="224" t="str">
        <f>IFERROR(IF('Digestion &amp; outputs'!$E$106=0," ",IF(Feedstocks!D30&gt;0,L52, ""))," ")</f>
        <v/>
      </c>
      <c r="V52" s="471" t="str">
        <f>Summary!$B52</f>
        <v/>
      </c>
      <c r="W52" s="475" t="str">
        <f>IF(Feedstocks!D30&gt;0,Final_emissions_residues[[#This Row],[Biomethane Injection (gCO2eq/MJbiomethane)]]*Biogas_produced_residues[[#This Row],[Biogas as a % incl. ineligible]], "")</f>
        <v/>
      </c>
    </row>
    <row r="53" spans="2:23" s="4" customFormat="1" x14ac:dyDescent="0.4">
      <c r="B53" s="506" t="str">
        <f>IF(Feedstocks!$D31&gt;0,Feedstocks!C31,"")</f>
        <v/>
      </c>
      <c r="C53" s="507" t="str">
        <f>IF(Feedstocks!$D31&gt;0,"NA","")</f>
        <v/>
      </c>
      <c r="D53" s="507" t="str">
        <f>IFERROR(IF(Feedstocks!$D31&gt;0,'Transport 2'!$J$862/'Digestion &amp; outputs'!$K$104,""),"0.00")</f>
        <v/>
      </c>
      <c r="E53" s="507" t="str">
        <f>IF(Feedstocks!D31&gt;0, "NA", "")</f>
        <v/>
      </c>
      <c r="F53" s="507" t="str">
        <f>IF(Feedstocks!D31&gt;0, "NA", "")</f>
        <v/>
      </c>
      <c r="G53" s="507" t="str">
        <f>IF(Feedstocks!$D31&gt;0,('Digestion &amp; outputs'!$K$16 + 'Final conversion'!$J$12)/'Digestion &amp; outputs'!$K$104,"")</f>
        <v/>
      </c>
      <c r="H53" s="507" t="str">
        <f>IF(Feedstocks!$D31&gt;0,0,"")</f>
        <v/>
      </c>
      <c r="I53" s="508" t="str">
        <f>IF(Feedstocks!$D31&gt;0,'Biomethane transport'!$J$12,"")</f>
        <v/>
      </c>
      <c r="J53" s="508" t="str">
        <f>IF(Feedstocks!D31&gt;0, 'Carbon capture'!$J$12, "")</f>
        <v/>
      </c>
      <c r="K53" s="509" t="str">
        <f>IF(Feedstocks!D31&gt;0, 'Carbon capture'!$J$27, "")</f>
        <v/>
      </c>
      <c r="L53" s="567" t="str">
        <f>IF(Feedstocks!D31&gt;0,Pathway_emissions_residues[[#This Row],[etd,feedstock]]+Pathway_emissions_residues[[#This Row],[ep]]+Pathway_emissions_residues[[#This Row],[etd,product]]+Pathway_emissions_residues[[#This Row],[eu]]-Pathway_emissions_residues[[#This Row],[eCCS]]-Pathway_emissions_residues[[#This Row],[eCCR]], "")</f>
        <v/>
      </c>
      <c r="N53" s="348" t="str">
        <f>Summary!$B53</f>
        <v/>
      </c>
      <c r="O53" s="469" t="str">
        <f>IFERROR(('Digestion &amp; outputs'!G34*'Digestion &amp; outputs'!D34)/'Reference values'!$D$42, "")</f>
        <v/>
      </c>
      <c r="P53" s="455" t="str">
        <f>IFERROR(Biogas_produced_residues[[#This Row],[Apportioned biogas (m3)]]/('Digestion &amp; outputs'!$D$11/'Reference values'!$D$42), "")</f>
        <v/>
      </c>
      <c r="Q53" s="455" t="str">
        <f>IFERROR(Biogas_produced_residues[[#This Row],[Apportioned biogas (m3)]]/(SUM($O$22:$O$24)), "")</f>
        <v/>
      </c>
      <c r="R53" s="398"/>
      <c r="S53" s="335" t="str">
        <f>Summary!$B53</f>
        <v/>
      </c>
      <c r="T53" s="224" t="str">
        <f>IFERROR(IF('Digestion &amp; outputs'!$E$106=0," ",IF(Feedstocks!D31&gt;0,L53, ""))," ")</f>
        <v/>
      </c>
      <c r="V53" s="471" t="str">
        <f>Summary!$B53</f>
        <v/>
      </c>
      <c r="W53" s="475" t="str">
        <f>IF(Feedstocks!D31&gt;0,Final_emissions_residues[[#This Row],[Biomethane Injection (gCO2eq/MJbiomethane)]]*Biogas_produced_residues[[#This Row],[Biogas as a % incl. ineligible]], "")</f>
        <v/>
      </c>
    </row>
    <row r="54" spans="2:23" s="4" customFormat="1" x14ac:dyDescent="0.4">
      <c r="B54" s="506" t="str">
        <f>IF(Feedstocks!$D32&gt;0,Feedstocks!C32,"")</f>
        <v/>
      </c>
      <c r="C54" s="507" t="str">
        <f>IF(Feedstocks!$D32&gt;0,"NA","")</f>
        <v/>
      </c>
      <c r="D54" s="507" t="str">
        <f>IFERROR(IF(Feedstocks!$D32&gt;0,'Transport 2'!$J$912/'Digestion &amp; outputs'!$K$104,""),"0.00")</f>
        <v/>
      </c>
      <c r="E54" s="507" t="str">
        <f>IF(Feedstocks!D32&gt;0, "NA", "")</f>
        <v/>
      </c>
      <c r="F54" s="507" t="str">
        <f>IF(Feedstocks!D32&gt;0, "NA", "")</f>
        <v/>
      </c>
      <c r="G54" s="507" t="str">
        <f>IF(Feedstocks!$D32&gt;0,('Digestion &amp; outputs'!$K$16 + 'Final conversion'!$J$12)/'Digestion &amp; outputs'!$K$104,"")</f>
        <v/>
      </c>
      <c r="H54" s="507" t="str">
        <f>IF(Feedstocks!$D32&gt;0,0,"")</f>
        <v/>
      </c>
      <c r="I54" s="508" t="str">
        <f>IF(Feedstocks!$D32&gt;0,'Biomethane transport'!$J$12,"")</f>
        <v/>
      </c>
      <c r="J54" s="508" t="str">
        <f>IF(Feedstocks!D32&gt;0, 'Carbon capture'!$J$12, "")</f>
        <v/>
      </c>
      <c r="K54" s="509" t="str">
        <f>IF(Feedstocks!D32&gt;0, 'Carbon capture'!$J$27, "")</f>
        <v/>
      </c>
      <c r="L54" s="567" t="str">
        <f>IF(Feedstocks!D32&gt;0,Pathway_emissions_residues[[#This Row],[etd,feedstock]]+Pathway_emissions_residues[[#This Row],[ep]]+Pathway_emissions_residues[[#This Row],[etd,product]]+Pathway_emissions_residues[[#This Row],[eu]]-Pathway_emissions_residues[[#This Row],[eCCS]]-Pathway_emissions_residues[[#This Row],[eCCR]], "")</f>
        <v/>
      </c>
      <c r="N54" s="348" t="str">
        <f>Summary!$B54</f>
        <v/>
      </c>
      <c r="O54" s="342" t="str">
        <f>IFERROR(('Digestion &amp; outputs'!G35*'Digestion &amp; outputs'!D35)/'Reference values'!$D$42, "")</f>
        <v/>
      </c>
      <c r="P54" s="455" t="str">
        <f>IFERROR(Biogas_produced_residues[[#This Row],[Apportioned biogas (m3)]]/('Digestion &amp; outputs'!$D$11/'Reference values'!$D$42), "")</f>
        <v/>
      </c>
      <c r="Q54" s="455" t="str">
        <f>IFERROR(Biogas_produced_residues[[#This Row],[Apportioned biogas (m3)]]/(SUM($O$22:$O$24)), "")</f>
        <v/>
      </c>
      <c r="R54" s="398"/>
      <c r="S54" s="335" t="str">
        <f>Summary!$B54</f>
        <v/>
      </c>
      <c r="T54" s="224" t="str">
        <f>IFERROR(IF('Digestion &amp; outputs'!$E$106=0," ",IF(Feedstocks!D32&gt;0,L54, ""))," ")</f>
        <v/>
      </c>
      <c r="V54" s="471" t="str">
        <f>Summary!$B54</f>
        <v/>
      </c>
      <c r="W54" s="475" t="str">
        <f>IF(Feedstocks!D32&gt;0,Final_emissions_residues[[#This Row],[Biomethane Injection (gCO2eq/MJbiomethane)]]*Biogas_produced_residues[[#This Row],[Biogas as a % incl. ineligible]], "")</f>
        <v/>
      </c>
    </row>
    <row r="55" spans="2:23" s="4" customFormat="1" x14ac:dyDescent="0.4">
      <c r="B55" s="506" t="str">
        <f>IF(Feedstocks!$D33&gt;0,Feedstocks!C33,"")</f>
        <v/>
      </c>
      <c r="C55" s="507" t="str">
        <f>IF(Feedstocks!$D33&gt;0,"NA","")</f>
        <v/>
      </c>
      <c r="D55" s="507" t="str">
        <f>IFERROR(IF(Feedstocks!$D33&gt;0,'Transport 2'!$J$962/'Digestion &amp; outputs'!$K$104,""),"0.00")</f>
        <v/>
      </c>
      <c r="E55" s="507" t="str">
        <f>IF(Feedstocks!D33&gt;0, "NA", "")</f>
        <v/>
      </c>
      <c r="F55" s="507" t="str">
        <f>IF(Feedstocks!D33&gt;0, "NA", "")</f>
        <v/>
      </c>
      <c r="G55" s="507" t="str">
        <f>IF(Feedstocks!$D33&gt;0,('Digestion &amp; outputs'!$K$16 + 'Final conversion'!$J$12)/'Digestion &amp; outputs'!$K$104,"")</f>
        <v/>
      </c>
      <c r="H55" s="507" t="str">
        <f>IF(Feedstocks!$D33&gt;0,0,"")</f>
        <v/>
      </c>
      <c r="I55" s="508" t="str">
        <f>IF(Feedstocks!$D33&gt;0,'Biomethane transport'!$J$12,"")</f>
        <v/>
      </c>
      <c r="J55" s="508" t="str">
        <f>IF(Feedstocks!D33&gt;0, 'Carbon capture'!$J$12, "")</f>
        <v/>
      </c>
      <c r="K55" s="509" t="str">
        <f>IF(Feedstocks!D33&gt;0, 'Carbon capture'!$J$27, "")</f>
        <v/>
      </c>
      <c r="L55" s="567" t="str">
        <f>IF(Feedstocks!D33&gt;0,Pathway_emissions_residues[[#This Row],[etd,feedstock]]+Pathway_emissions_residues[[#This Row],[ep]]+Pathway_emissions_residues[[#This Row],[etd,product]]+Pathway_emissions_residues[[#This Row],[eu]]-Pathway_emissions_residues[[#This Row],[eCCS]]-Pathway_emissions_residues[[#This Row],[eCCR]], "")</f>
        <v/>
      </c>
      <c r="N55" s="348" t="str">
        <f>Summary!$B55</f>
        <v/>
      </c>
      <c r="O55" s="469" t="str">
        <f>IFERROR(('Digestion &amp; outputs'!G36*'Digestion &amp; outputs'!D36)/'Reference values'!$D$42, "")</f>
        <v/>
      </c>
      <c r="P55" s="455" t="str">
        <f>IFERROR(Biogas_produced_residues[[#This Row],[Apportioned biogas (m3)]]/('Digestion &amp; outputs'!$D$11/'Reference values'!$D$42), "")</f>
        <v/>
      </c>
      <c r="Q55" s="455" t="str">
        <f>IFERROR(Biogas_produced_residues[[#This Row],[Apportioned biogas (m3)]]/(SUM($O$22:$O$24)), "")</f>
        <v/>
      </c>
      <c r="R55" s="398"/>
      <c r="S55" s="335" t="str">
        <f>Summary!$B55</f>
        <v/>
      </c>
      <c r="T55" s="224" t="str">
        <f>IFERROR(IF('Digestion &amp; outputs'!$E$106=0," ",IF(Feedstocks!D33&gt;0,L55, ""))," ")</f>
        <v/>
      </c>
      <c r="V55" s="471" t="str">
        <f>Summary!$B55</f>
        <v/>
      </c>
      <c r="W55" s="475" t="str">
        <f>IF(Feedstocks!D33&gt;0,Final_emissions_residues[[#This Row],[Biomethane Injection (gCO2eq/MJbiomethane)]]*Biogas_produced_residues[[#This Row],[Biogas as a % incl. ineligible]], "")</f>
        <v/>
      </c>
    </row>
    <row r="56" spans="2:23" s="4" customFormat="1" x14ac:dyDescent="0.4">
      <c r="B56" s="506" t="str">
        <f>IF(Feedstocks!$D34&gt;0,Feedstocks!C34,"")</f>
        <v/>
      </c>
      <c r="C56" s="507" t="str">
        <f>IF(Feedstocks!$D34&gt;0,"NA","")</f>
        <v/>
      </c>
      <c r="D56" s="507" t="str">
        <f>IFERROR(IF(Feedstocks!$D34&gt;0,'Transport 2'!$J$1012/'Digestion &amp; outputs'!$K$104,""),"0.00")</f>
        <v/>
      </c>
      <c r="E56" s="507" t="str">
        <f>IF(Feedstocks!D34&gt;0, "NA", "")</f>
        <v/>
      </c>
      <c r="F56" s="507" t="str">
        <f>IF(Feedstocks!D34&gt;0, "NA", "")</f>
        <v/>
      </c>
      <c r="G56" s="507" t="str">
        <f>IF(Feedstocks!$D34&gt;0,('Digestion &amp; outputs'!$K$16 + 'Final conversion'!$J$12)/'Digestion &amp; outputs'!$K$104,"")</f>
        <v/>
      </c>
      <c r="H56" s="507" t="str">
        <f>IF(Feedstocks!$D34&gt;0,0,"")</f>
        <v/>
      </c>
      <c r="I56" s="508" t="str">
        <f>IF(Feedstocks!$D34&gt;0,'Biomethane transport'!$J$12,"")</f>
        <v/>
      </c>
      <c r="J56" s="508" t="str">
        <f>IF(Feedstocks!D34&gt;0, 'Carbon capture'!$J$12, "")</f>
        <v/>
      </c>
      <c r="K56" s="509" t="str">
        <f>IF(Feedstocks!D34&gt;0, 'Carbon capture'!$J$27, "")</f>
        <v/>
      </c>
      <c r="L56" s="567" t="str">
        <f>IF(Feedstocks!D34&gt;0,Pathway_emissions_residues[[#This Row],[etd,feedstock]]+Pathway_emissions_residues[[#This Row],[ep]]+Pathway_emissions_residues[[#This Row],[etd,product]]+Pathway_emissions_residues[[#This Row],[eu]]-Pathway_emissions_residues[[#This Row],[eCCS]]-Pathway_emissions_residues[[#This Row],[eCCR]], "")</f>
        <v/>
      </c>
      <c r="N56" s="348" t="str">
        <f>Summary!$B56</f>
        <v/>
      </c>
      <c r="O56" s="342" t="str">
        <f>IFERROR(('Digestion &amp; outputs'!G37*'Digestion &amp; outputs'!D37)/'Reference values'!$D$42, "")</f>
        <v/>
      </c>
      <c r="P56" s="455" t="str">
        <f>IFERROR(Biogas_produced_residues[[#This Row],[Apportioned biogas (m3)]]/('Digestion &amp; outputs'!$D$11/'Reference values'!$D$42), "")</f>
        <v/>
      </c>
      <c r="Q56" s="455" t="str">
        <f>IFERROR(Biogas_produced_residues[[#This Row],[Apportioned biogas (m3)]]/(SUM($O$22:$O$24)), "")</f>
        <v/>
      </c>
      <c r="R56" s="398"/>
      <c r="S56" s="417" t="str">
        <f>Summary!$B56</f>
        <v/>
      </c>
      <c r="T56" s="224" t="str">
        <f>IFERROR(IF('Digestion &amp; outputs'!$E$106=0," ",IF(Feedstocks!D34&gt;0,L56, ""))," ")</f>
        <v/>
      </c>
      <c r="V56" s="471" t="str">
        <f>Summary!$B56</f>
        <v/>
      </c>
      <c r="W56" s="475" t="str">
        <f>IF(Feedstocks!D34&gt;0,Final_emissions_residues[[#This Row],[Biomethane Injection (gCO2eq/MJbiomethane)]]*Biogas_produced_residues[[#This Row],[Biogas as a % incl. ineligible]], "")</f>
        <v/>
      </c>
    </row>
    <row r="57" spans="2:23" s="4" customFormat="1" x14ac:dyDescent="0.4">
      <c r="B57" s="506" t="str">
        <f>IF(Feedstocks!$D35&gt;0,Feedstocks!C35,"")</f>
        <v/>
      </c>
      <c r="C57" s="507" t="str">
        <f>IF(Feedstocks!$D35&gt;0,"NA","")</f>
        <v/>
      </c>
      <c r="D57" s="507" t="str">
        <f>IFERROR(IF(Feedstocks!$D35&gt;0,'Transport 2'!$J$1062/'Digestion &amp; outputs'!$K$104,""),"0.00")</f>
        <v/>
      </c>
      <c r="E57" s="507" t="str">
        <f>IF(Feedstocks!D35&gt;0, "NA", "")</f>
        <v/>
      </c>
      <c r="F57" s="507" t="str">
        <f>IF(Feedstocks!D35&gt;0, "NA", "")</f>
        <v/>
      </c>
      <c r="G57" s="507" t="str">
        <f>IF(Feedstocks!$D35&gt;0,('Digestion &amp; outputs'!$K$16 + 'Final conversion'!$J$12)/'Digestion &amp; outputs'!$K$104,"")</f>
        <v/>
      </c>
      <c r="H57" s="507" t="str">
        <f>IF(Feedstocks!$D35&gt;0,0,"")</f>
        <v/>
      </c>
      <c r="I57" s="508" t="str">
        <f>IF(Feedstocks!$D35&gt;0,'Biomethane transport'!$J$12,"")</f>
        <v/>
      </c>
      <c r="J57" s="508" t="str">
        <f>IF(Feedstocks!D35&gt;0, 'Carbon capture'!$J$12, "")</f>
        <v/>
      </c>
      <c r="K57" s="509" t="str">
        <f>IF(Feedstocks!D35&gt;0, 'Carbon capture'!$J$27, "")</f>
        <v/>
      </c>
      <c r="L57" s="567" t="str">
        <f>IF(Feedstocks!D35&gt;0,Pathway_emissions_residues[[#This Row],[etd,feedstock]]+Pathway_emissions_residues[[#This Row],[ep]]+Pathway_emissions_residues[[#This Row],[etd,product]]+Pathway_emissions_residues[[#This Row],[eu]]-Pathway_emissions_residues[[#This Row],[eCCS]]-Pathway_emissions_residues[[#This Row],[eCCR]], "")</f>
        <v/>
      </c>
      <c r="N57" s="348" t="str">
        <f>Summary!$B57</f>
        <v/>
      </c>
      <c r="O57" s="470" t="str">
        <f>IFERROR(('Digestion &amp; outputs'!G38*'Digestion &amp; outputs'!D38)/'Reference values'!$D$42, "")</f>
        <v/>
      </c>
      <c r="P57" s="455" t="str">
        <f>IFERROR(Biogas_produced_residues[[#This Row],[Apportioned biogas (m3)]]/('Digestion &amp; outputs'!$D$11/'Reference values'!$D$42), "")</f>
        <v/>
      </c>
      <c r="Q57" s="455" t="str">
        <f>IFERROR(Biogas_produced_residues[[#This Row],[Apportioned biogas (m3)]]/(SUM($O$22:$O$24)), "")</f>
        <v/>
      </c>
      <c r="R57" s="398"/>
      <c r="S57" s="417" t="str">
        <f>Summary!$B57</f>
        <v/>
      </c>
      <c r="T57" s="224" t="str">
        <f>IFERROR(IF('Digestion &amp; outputs'!$E$106=0," ",IF(Feedstocks!D35&gt;0,L57, ""))," ")</f>
        <v/>
      </c>
      <c r="V57" s="471" t="str">
        <f>Summary!$B57</f>
        <v/>
      </c>
      <c r="W57" s="475" t="str">
        <f>IF(Feedstocks!D35&gt;0,Final_emissions_residues[[#This Row],[Biomethane Injection (gCO2eq/MJbiomethane)]]*Biogas_produced_residues[[#This Row],[Biogas as a % incl. ineligible]], "")</f>
        <v/>
      </c>
    </row>
    <row r="58" spans="2:23" s="4" customFormat="1" x14ac:dyDescent="0.4">
      <c r="B58" s="506" t="str">
        <f>IF(Feedstocks!$D36&gt;0,Feedstocks!C36,"")</f>
        <v/>
      </c>
      <c r="C58" s="507" t="str">
        <f>IF(Feedstocks!$D36&gt;0,"NA","")</f>
        <v/>
      </c>
      <c r="D58" s="507" t="str">
        <f>IFERROR(IF(Feedstocks!$D36&gt;0,'Transport 2'!$J$1112/'Digestion &amp; outputs'!$K$104,""),"0.00")</f>
        <v/>
      </c>
      <c r="E58" s="507" t="str">
        <f>IF(Feedstocks!D36&gt;0, "NA", "")</f>
        <v/>
      </c>
      <c r="F58" s="507" t="str">
        <f>IF(Feedstocks!D36&gt;0, "NA", "")</f>
        <v/>
      </c>
      <c r="G58" s="507" t="str">
        <f>IF(Feedstocks!$D36&gt;0,('Digestion &amp; outputs'!$K$16 + 'Final conversion'!$J$12)/'Digestion &amp; outputs'!$K$104,"")</f>
        <v/>
      </c>
      <c r="H58" s="507" t="str">
        <f>IF(Feedstocks!$D36&gt;0,0,"")</f>
        <v/>
      </c>
      <c r="I58" s="508" t="str">
        <f>IF(Feedstocks!$D36&gt;0,'Biomethane transport'!$J$12,"")</f>
        <v/>
      </c>
      <c r="J58" s="508" t="str">
        <f>IF(Feedstocks!D36&gt;0, 'Carbon capture'!$J$12, "")</f>
        <v/>
      </c>
      <c r="K58" s="509" t="str">
        <f>IF(Feedstocks!D36&gt;0, 'Carbon capture'!$J$27, "")</f>
        <v/>
      </c>
      <c r="L58" s="567" t="str">
        <f>IF(Feedstocks!D36&gt;0,Pathway_emissions_residues[[#This Row],[etd,feedstock]]+Pathway_emissions_residues[[#This Row],[ep]]+Pathway_emissions_residues[[#This Row],[etd,product]]+Pathway_emissions_residues[[#This Row],[eu]]-Pathway_emissions_residues[[#This Row],[eCCS]]-Pathway_emissions_residues[[#This Row],[eCCR]], "")</f>
        <v/>
      </c>
      <c r="N58" s="348" t="str">
        <f>Summary!$B58</f>
        <v/>
      </c>
      <c r="O58" s="470" t="str">
        <f>IFERROR(('Digestion &amp; outputs'!G39*'Digestion &amp; outputs'!D39)/'Reference values'!$D$42, "")</f>
        <v/>
      </c>
      <c r="P58" s="455" t="str">
        <f>IFERROR(Biogas_produced_residues[[#This Row],[Apportioned biogas (m3)]]/('Digestion &amp; outputs'!$D$11/'Reference values'!$D$42), "")</f>
        <v/>
      </c>
      <c r="Q58" s="455" t="str">
        <f>IFERROR(Biogas_produced_residues[[#This Row],[Apportioned biogas (m3)]]/(SUM($O$22:$O$24)), "")</f>
        <v/>
      </c>
      <c r="R58" s="398"/>
      <c r="S58" s="417" t="str">
        <f>Summary!$B58</f>
        <v/>
      </c>
      <c r="T58" s="224" t="str">
        <f>IFERROR(IF('Digestion &amp; outputs'!$E$106=0," ",IF(Feedstocks!D36&gt;0,L58, ""))," ")</f>
        <v/>
      </c>
      <c r="V58" s="471" t="str">
        <f>Summary!$B58</f>
        <v/>
      </c>
      <c r="W58" s="475" t="str">
        <f>IF(Feedstocks!D36&gt;0,Final_emissions_residues[[#This Row],[Biomethane Injection (gCO2eq/MJbiomethane)]]*Biogas_produced_residues[[#This Row],[Biogas as a % incl. ineligible]], "")</f>
        <v/>
      </c>
    </row>
    <row r="59" spans="2:23" s="4" customFormat="1" x14ac:dyDescent="0.4">
      <c r="B59" s="506" t="str">
        <f>IF(Feedstocks!$D37&gt;0,Feedstocks!C37,"")</f>
        <v/>
      </c>
      <c r="C59" s="507" t="str">
        <f>IF(Feedstocks!$D37&gt;0,"NA","")</f>
        <v/>
      </c>
      <c r="D59" s="507" t="str">
        <f>IFERROR(IF(Feedstocks!$D37&gt;0,'Transport 2'!$J$1162/'Digestion &amp; outputs'!$K$104,""),"0.00")</f>
        <v/>
      </c>
      <c r="E59" s="507" t="str">
        <f>IF(Feedstocks!D37&gt;0, "NA", "")</f>
        <v/>
      </c>
      <c r="F59" s="507" t="str">
        <f>IF(Feedstocks!D37&gt;0, "NA", "")</f>
        <v/>
      </c>
      <c r="G59" s="507" t="str">
        <f>IF(Feedstocks!$D37&gt;0,('Digestion &amp; outputs'!$K$16 + 'Final conversion'!$J$12)/'Digestion &amp; outputs'!$K$104,"")</f>
        <v/>
      </c>
      <c r="H59" s="507" t="str">
        <f>IF(Feedstocks!$D37&gt;0,0,"")</f>
        <v/>
      </c>
      <c r="I59" s="508" t="str">
        <f>IF(Feedstocks!$D37&gt;0,'Biomethane transport'!$J$12,"")</f>
        <v/>
      </c>
      <c r="J59" s="508" t="str">
        <f>IF(Feedstocks!D37&gt;0, 'Carbon capture'!$J$12, "")</f>
        <v/>
      </c>
      <c r="K59" s="509" t="str">
        <f>IF(Feedstocks!D37&gt;0, 'Carbon capture'!$J$27, "")</f>
        <v/>
      </c>
      <c r="L59" s="567" t="str">
        <f>IF(Feedstocks!D37&gt;0,Pathway_emissions_residues[[#This Row],[etd,feedstock]]+Pathway_emissions_residues[[#This Row],[ep]]+Pathway_emissions_residues[[#This Row],[etd,product]]+Pathway_emissions_residues[[#This Row],[eu]]-Pathway_emissions_residues[[#This Row],[eCCS]]-Pathway_emissions_residues[[#This Row],[eCCR]], "")</f>
        <v/>
      </c>
      <c r="N59" s="348" t="str">
        <f>Summary!$B59</f>
        <v/>
      </c>
      <c r="O59" s="470" t="str">
        <f>IFERROR(('Digestion &amp; outputs'!G40*'Digestion &amp; outputs'!D40)/'Reference values'!$D$42, "")</f>
        <v/>
      </c>
      <c r="P59" s="455" t="str">
        <f>IFERROR(Biogas_produced_residues[[#This Row],[Apportioned biogas (m3)]]/('Digestion &amp; outputs'!$D$11/'Reference values'!$D$42), "")</f>
        <v/>
      </c>
      <c r="Q59" s="455" t="str">
        <f>IFERROR(Biogas_produced_residues[[#This Row],[Apportioned biogas (m3)]]/(SUM($O$22:$O$24)), "")</f>
        <v/>
      </c>
      <c r="R59" s="398"/>
      <c r="S59" s="417" t="str">
        <f>Summary!$B59</f>
        <v/>
      </c>
      <c r="T59" s="224" t="str">
        <f>IFERROR(IF('Digestion &amp; outputs'!$E$106=0," ",IF(Feedstocks!D37&gt;0,L59, ""))," ")</f>
        <v/>
      </c>
      <c r="V59" s="471" t="str">
        <f>Summary!$B59</f>
        <v/>
      </c>
      <c r="W59" s="475" t="str">
        <f>IF(Feedstocks!D37&gt;0,Final_emissions_residues[[#This Row],[Biomethane Injection (gCO2eq/MJbiomethane)]]*Biogas_produced_residues[[#This Row],[Biogas as a % incl. ineligible]], "")</f>
        <v/>
      </c>
    </row>
    <row r="60" spans="2:23" s="4" customFormat="1" x14ac:dyDescent="0.4">
      <c r="B60" s="572" t="str">
        <f>IF(Feedstocks!$D38&gt;0,Feedstocks!C38,"")</f>
        <v/>
      </c>
      <c r="C60" s="573" t="str">
        <f>IF(Feedstocks!$D38&gt;0,"NA","")</f>
        <v/>
      </c>
      <c r="D60" s="573" t="str">
        <f>IFERROR(IF(Feedstocks!$D38&gt;0,'Transport 2'!$J$1212/'Digestion &amp; outputs'!$K$104,""),"0.00")</f>
        <v/>
      </c>
      <c r="E60" s="570" t="str">
        <f>IF(Feedstocks!D38&gt;0, "NA", "")</f>
        <v/>
      </c>
      <c r="F60" s="573" t="str">
        <f>IF(Feedstocks!D38&gt;0, "NA", "")</f>
        <v/>
      </c>
      <c r="G60" s="507" t="str">
        <f>IF(Feedstocks!$D38&gt;0,('Digestion &amp; outputs'!$K$16 + 'Final conversion'!$J$12)/'Digestion &amp; outputs'!$K$104,"")</f>
        <v/>
      </c>
      <c r="H60" s="570" t="str">
        <f>IF(Feedstocks!$D38&gt;0,0,"")</f>
        <v/>
      </c>
      <c r="I60" s="508" t="str">
        <f>IF(Feedstocks!$D38&gt;0,'Biomethane transport'!$J$12,"")</f>
        <v/>
      </c>
      <c r="J60" s="508" t="str">
        <f>IF(Feedstocks!D38&gt;0, 'Carbon capture'!$J$12, "")</f>
        <v/>
      </c>
      <c r="K60" s="509" t="str">
        <f>IF(Feedstocks!D38&gt;0, 'Carbon capture'!$J$27, "")</f>
        <v/>
      </c>
      <c r="L60" s="567" t="str">
        <f>IF(Feedstocks!D38&gt;0,Pathway_emissions_residues[[#This Row],[etd,feedstock]]+Pathway_emissions_residues[[#This Row],[ep]]+Pathway_emissions_residues[[#This Row],[etd,product]]+Pathway_emissions_residues[[#This Row],[eu]]-Pathway_emissions_residues[[#This Row],[eCCS]]-Pathway_emissions_residues[[#This Row],[eCCR]], "")</f>
        <v/>
      </c>
      <c r="N60" s="348" t="str">
        <f>Summary!$B60</f>
        <v/>
      </c>
      <c r="O60" s="470" t="str">
        <f>IFERROR(('Digestion &amp; outputs'!G41*'Digestion &amp; outputs'!D41)/'Reference values'!$D$42, "")</f>
        <v/>
      </c>
      <c r="P60" s="455" t="str">
        <f>IFERROR(Biogas_produced_residues[[#This Row],[Apportioned biogas (m3)]]/('Digestion &amp; outputs'!$D$11/'Reference values'!$D$42), "")</f>
        <v/>
      </c>
      <c r="Q60" s="455" t="str">
        <f>IFERROR(Biogas_produced_residues[[#This Row],[Apportioned biogas (m3)]]/(SUM($O$22:$O$24)), "")</f>
        <v/>
      </c>
      <c r="R60" s="398"/>
      <c r="S60" s="417" t="str">
        <f>Summary!$B60</f>
        <v/>
      </c>
      <c r="T60" s="224" t="str">
        <f>IFERROR(IF('Digestion &amp; outputs'!$E$106=0," ",IF(Feedstocks!D38&gt;0,L60, ""))," ")</f>
        <v/>
      </c>
      <c r="V60" s="473" t="str">
        <f>Summary!$B60</f>
        <v/>
      </c>
      <c r="W60" s="476" t="str">
        <f>IF(Feedstocks!D38&gt;0,Final_emissions_residues[[#This Row],[Biomethane Injection (gCO2eq/MJbiomethane)]]*Biogas_produced_residues[[#This Row],[Biogas as a % incl. ineligible]], "")</f>
        <v/>
      </c>
    </row>
    <row r="61" spans="2:23" s="4" customFormat="1" x14ac:dyDescent="0.4">
      <c r="B61" s="334" t="s">
        <v>73</v>
      </c>
      <c r="R61" s="399"/>
      <c r="W61" s="451"/>
    </row>
    <row r="62" spans="2:23" s="4" customFormat="1" ht="15.6" customHeight="1" x14ac:dyDescent="0.4">
      <c r="B62" s="334"/>
      <c r="R62" s="399"/>
    </row>
    <row r="63" spans="2:23" s="4" customFormat="1" x14ac:dyDescent="0.4">
      <c r="B63" s="734" t="s">
        <v>78</v>
      </c>
      <c r="C63" s="735"/>
      <c r="D63" s="735"/>
      <c r="E63" s="735"/>
      <c r="F63" s="735"/>
      <c r="G63" s="735"/>
      <c r="H63" s="735"/>
      <c r="I63" s="735"/>
      <c r="J63" s="735"/>
      <c r="K63" s="735"/>
      <c r="L63" s="736"/>
      <c r="N63" s="734" t="s">
        <v>79</v>
      </c>
      <c r="O63" s="735"/>
      <c r="P63" s="735"/>
      <c r="Q63" s="736"/>
      <c r="R63" s="458"/>
      <c r="S63" s="721" t="s">
        <v>58</v>
      </c>
      <c r="T63" s="721"/>
      <c r="V63" s="711" t="s">
        <v>59</v>
      </c>
      <c r="W63" s="711"/>
    </row>
    <row r="64" spans="2:23" s="14" customFormat="1" ht="35.1" customHeight="1" x14ac:dyDescent="0.4">
      <c r="B64" s="467" t="s">
        <v>60</v>
      </c>
      <c r="C64" s="564" t="s">
        <v>61</v>
      </c>
      <c r="D64" s="564" t="s">
        <v>62</v>
      </c>
      <c r="E64" s="564" t="s">
        <v>63</v>
      </c>
      <c r="F64" s="564" t="s">
        <v>64</v>
      </c>
      <c r="G64" s="564" t="s">
        <v>65</v>
      </c>
      <c r="H64" s="564" t="s">
        <v>66</v>
      </c>
      <c r="I64" s="564" t="s">
        <v>67</v>
      </c>
      <c r="J64" s="565" t="s">
        <v>76</v>
      </c>
      <c r="K64" s="565" t="s">
        <v>77</v>
      </c>
      <c r="L64" s="574" t="s">
        <v>70</v>
      </c>
      <c r="N64" s="228" t="s">
        <v>60</v>
      </c>
      <c r="O64" s="571" t="s">
        <v>47</v>
      </c>
      <c r="P64" s="479" t="s">
        <v>48</v>
      </c>
      <c r="Q64" s="479" t="s">
        <v>49</v>
      </c>
      <c r="R64" s="400"/>
      <c r="S64" s="228" t="s">
        <v>60</v>
      </c>
      <c r="T64" s="479" t="s">
        <v>71</v>
      </c>
      <c r="V64" s="468" t="s">
        <v>60</v>
      </c>
      <c r="W64" s="481" t="s">
        <v>72</v>
      </c>
    </row>
    <row r="65" spans="2:23" s="4" customFormat="1" x14ac:dyDescent="0.4">
      <c r="B65" s="506" t="str">
        <f>IF(Feedstocks!$D42&gt;0,Feedstocks!C42,"")</f>
        <v/>
      </c>
      <c r="C65" s="507" t="str">
        <f>IF(Feedstocks!$D42&gt;0, "NA", "")</f>
        <v/>
      </c>
      <c r="D65" s="507" t="str">
        <f>IF(Feedstocks!$D42&gt;0, 'Transport 2'!J1262/'Digestion &amp; outputs'!$K$104, "")</f>
        <v/>
      </c>
      <c r="E65" s="507" t="str">
        <f>IF(Feedstocks!D42&gt;0, "NA", "")</f>
        <v/>
      </c>
      <c r="F65" s="507" t="str">
        <f>IF(Feedstocks!D42&gt;0, "NA", "")</f>
        <v/>
      </c>
      <c r="G65" s="507" t="str">
        <f>IF(Feedstocks!$D42&gt;0, ('Digestion &amp; outputs'!$K$16 + 'Final conversion'!$J$12)/'Digestion &amp; outputs'!$K$104, "")</f>
        <v/>
      </c>
      <c r="H65" s="507" t="str">
        <f>IF(Feedstocks!$D42&gt;0, 0, "")</f>
        <v/>
      </c>
      <c r="I65" s="507" t="str">
        <f>IF(Feedstocks!$D42&gt;0, 'Biomethane transport'!$J$12, "")</f>
        <v/>
      </c>
      <c r="J65" s="509" t="str">
        <f>IF(Feedstocks!D42&gt;0, 'Carbon capture'!$J$12, "")</f>
        <v/>
      </c>
      <c r="K65" s="509" t="str">
        <f>IF(Feedstocks!D42&gt;0, 'Carbon capture'!$J$27, "")</f>
        <v/>
      </c>
      <c r="L65" s="575" t="str">
        <f>IF(Feedstocks!E42&gt;0,Pathway_emissions_wastes[[#This Row],[etd,feedstock]]+Pathway_emissions_wastes[[#This Row],[ep]]+Pathway_emissions_wastes[[#This Row],[etd,product]]+Pathway_emissions_wastes[[#This Row],[eu]]-Pathway_emissions_wastes[[#This Row],[eCCS]]-Pathway_emissions_wastes[[#This Row],[eCCR]],"")</f>
        <v/>
      </c>
      <c r="N65" s="348" t="str">
        <f>Summary!$B65</f>
        <v/>
      </c>
      <c r="O65" s="342" t="str">
        <f>IFERROR(('Digestion &amp; outputs'!G43*'Digestion &amp; outputs'!D43)/'Reference values'!$D$42, "")</f>
        <v/>
      </c>
      <c r="P65" s="455" t="str">
        <f>IFERROR(Biogas_produced_waste[[#This Row],[Apportioned biogas (m3)]]/('Digestion &amp; outputs'!$D$11/'Reference values'!$D$42), "")</f>
        <v/>
      </c>
      <c r="Q65" s="455" t="str">
        <f>IFERROR(Biogas_produced_waste[[#This Row],[Apportioned biogas (m3)]]/(SUM($O$22:$O$24)), "")</f>
        <v/>
      </c>
      <c r="R65" s="398"/>
      <c r="S65" s="335" t="str">
        <f>IF(Feedstocks!D42&gt;0,Feedstocks!C42,"")</f>
        <v/>
      </c>
      <c r="T65" s="224" t="str">
        <f>IFERROR(IF('Digestion &amp; outputs'!$E$106=0," ",IF(Feedstocks!D42&gt;0,L65, ""))," ")</f>
        <v/>
      </c>
      <c r="V65" s="471" t="str">
        <f>Summary!$B65</f>
        <v/>
      </c>
      <c r="W65" s="475" t="str">
        <f>IF(Feedstocks!D42&gt;0, Final_emissions_waste[[#This Row],[Biomethane Injection (gCO2eq/MJbiomethane)]]*Biogas_produced_waste[[#This Row],[Biogas as a % incl. ineligible]], "")</f>
        <v/>
      </c>
    </row>
    <row r="66" spans="2:23" s="4" customFormat="1" x14ac:dyDescent="0.4">
      <c r="B66" s="506" t="str">
        <f>IF(Feedstocks!$D43&gt;0,Feedstocks!C43,"")</f>
        <v/>
      </c>
      <c r="C66" s="507" t="str">
        <f>IF(Feedstocks!$D43&gt;0, "NA", "")</f>
        <v/>
      </c>
      <c r="D66" s="507" t="str">
        <f>IF(Feedstocks!$D43&gt;0, 'Transport 2'!J1312/'Digestion &amp; outputs'!$K$104, "")</f>
        <v/>
      </c>
      <c r="E66" s="507" t="str">
        <f>IF(Feedstocks!D43&gt;0, "NA", "")</f>
        <v/>
      </c>
      <c r="F66" s="507" t="str">
        <f>IF(Feedstocks!D43&gt;0, "NA", "")</f>
        <v/>
      </c>
      <c r="G66" s="507" t="str">
        <f>IF(Feedstocks!$D43&gt;0, ('Digestion &amp; outputs'!$K$16 + 'Final conversion'!$J$12)/'Digestion &amp; outputs'!$K$104, "")</f>
        <v/>
      </c>
      <c r="H66" s="507" t="str">
        <f>IF(Feedstocks!$D43&gt;0, 0, "")</f>
        <v/>
      </c>
      <c r="I66" s="507" t="str">
        <f>IF(Feedstocks!$D43&gt;0, 'Biomethane transport'!$J$12, "")</f>
        <v/>
      </c>
      <c r="J66" s="509" t="str">
        <f>IF(Feedstocks!D43&gt;0, 'Carbon capture'!$J$12, "")</f>
        <v/>
      </c>
      <c r="K66" s="509" t="str">
        <f>IF(Feedstocks!D43&gt;0, 'Carbon capture'!$J$27, "")</f>
        <v/>
      </c>
      <c r="L66" s="575" t="str">
        <f>IF(Feedstocks!E43&gt;0,Pathway_emissions_wastes[[#This Row],[etd,feedstock]]+Pathway_emissions_wastes[[#This Row],[ep]]+Pathway_emissions_wastes[[#This Row],[etd,product]]+Pathway_emissions_wastes[[#This Row],[eu]]-Pathway_emissions_wastes[[#This Row],[eCCS]]-Pathway_emissions_wastes[[#This Row],[eCCR]],"")</f>
        <v/>
      </c>
      <c r="N66" s="348" t="str">
        <f>Summary!$B66</f>
        <v/>
      </c>
      <c r="O66" s="342" t="str">
        <f>IFERROR(('Digestion &amp; outputs'!G44*'Digestion &amp; outputs'!D44)/'Reference values'!$D$42, "")</f>
        <v/>
      </c>
      <c r="P66" s="455" t="str">
        <f>IFERROR(Biogas_produced_waste[[#This Row],[Apportioned biogas (m3)]]/('Digestion &amp; outputs'!$D$11/'Reference values'!$D$42), "")</f>
        <v/>
      </c>
      <c r="Q66" s="455" t="str">
        <f>IFERROR(Biogas_produced_waste[[#This Row],[Apportioned biogas (m3)]]/(SUM($O$22:$O$24)), "")</f>
        <v/>
      </c>
      <c r="R66" s="398"/>
      <c r="S66" s="335" t="str">
        <f>IF(Feedstocks!D43&gt;0,Feedstocks!C43,"")</f>
        <v/>
      </c>
      <c r="T66" s="224" t="str">
        <f>IFERROR(IF('Digestion &amp; outputs'!$E$106=0," ",IF(Feedstocks!D43&gt;0,L66, ""))," ")</f>
        <v/>
      </c>
      <c r="V66" s="471" t="str">
        <f>Summary!$B66</f>
        <v/>
      </c>
      <c r="W66" s="475" t="str">
        <f>IF(Feedstocks!D43&gt;0, Final_emissions_waste[[#This Row],[Biomethane Injection (gCO2eq/MJbiomethane)]]*Biogas_produced_waste[[#This Row],[Biogas as a % incl. ineligible]], "")</f>
        <v/>
      </c>
    </row>
    <row r="67" spans="2:23" s="4" customFormat="1" x14ac:dyDescent="0.4">
      <c r="B67" s="506" t="str">
        <f>IF(Feedstocks!$D44&gt;0,Feedstocks!C44,"")</f>
        <v/>
      </c>
      <c r="C67" s="507" t="str">
        <f>IF(Feedstocks!$D44&gt;0, "NA", "")</f>
        <v/>
      </c>
      <c r="D67" s="507" t="str">
        <f>IF(Feedstocks!$D44&gt;0, 'Transport 2'!J1362/'Digestion &amp; outputs'!$K$104, "")</f>
        <v/>
      </c>
      <c r="E67" s="507" t="str">
        <f>IF(Feedstocks!D44&gt;0, "NA", "")</f>
        <v/>
      </c>
      <c r="F67" s="507" t="str">
        <f>IF(Feedstocks!D44&gt;0, "NA", "")</f>
        <v/>
      </c>
      <c r="G67" s="507" t="str">
        <f>IF(Feedstocks!$D44&gt;0, ('Digestion &amp; outputs'!$K$16 + 'Final conversion'!$J$12)/'Digestion &amp; outputs'!$K$104, "")</f>
        <v/>
      </c>
      <c r="H67" s="507" t="str">
        <f>IF(Feedstocks!$D44&gt;0, 0, "")</f>
        <v/>
      </c>
      <c r="I67" s="507" t="str">
        <f>IF(Feedstocks!$D44&gt;0, 'Biomethane transport'!$J$12, "")</f>
        <v/>
      </c>
      <c r="J67" s="509" t="str">
        <f>IF(Feedstocks!D44&gt;0, 'Carbon capture'!$J$12, "")</f>
        <v/>
      </c>
      <c r="K67" s="509" t="str">
        <f>IF(Feedstocks!D44&gt;0, 'Carbon capture'!$J$27, "")</f>
        <v/>
      </c>
      <c r="L67" s="575" t="str">
        <f>IF(Feedstocks!E44&gt;0,Pathway_emissions_wastes[[#This Row],[etd,feedstock]]+Pathway_emissions_wastes[[#This Row],[ep]]+Pathway_emissions_wastes[[#This Row],[etd,product]]+Pathway_emissions_wastes[[#This Row],[eu]]-Pathway_emissions_wastes[[#This Row],[eCCS]]-Pathway_emissions_wastes[[#This Row],[eCCR]],"")</f>
        <v/>
      </c>
      <c r="N67" s="348" t="str">
        <f>Summary!$B67</f>
        <v/>
      </c>
      <c r="O67" s="342" t="str">
        <f>IFERROR(('Digestion &amp; outputs'!G45*'Digestion &amp; outputs'!D45)/'Reference values'!$D$42, "")</f>
        <v/>
      </c>
      <c r="P67" s="455" t="str">
        <f>IFERROR(Biogas_produced_waste[[#This Row],[Apportioned biogas (m3)]]/('Digestion &amp; outputs'!$D$11/'Reference values'!$D$42), "")</f>
        <v/>
      </c>
      <c r="Q67" s="455" t="str">
        <f>IFERROR(Biogas_produced_waste[[#This Row],[Apportioned biogas (m3)]]/(SUM($O$22:$O$24)), "")</f>
        <v/>
      </c>
      <c r="R67" s="398"/>
      <c r="S67" s="335" t="str">
        <f>IF(Feedstocks!D44&gt;0,Feedstocks!C44,"")</f>
        <v/>
      </c>
      <c r="T67" s="224" t="str">
        <f>IFERROR(IF('Digestion &amp; outputs'!$E$106=0," ",IF(Feedstocks!D44&gt;0,L67, ""))," ")</f>
        <v/>
      </c>
      <c r="V67" s="471" t="str">
        <f>Summary!$B67</f>
        <v/>
      </c>
      <c r="W67" s="475" t="str">
        <f>IF(Feedstocks!D44&gt;0, Final_emissions_waste[[#This Row],[Biomethane Injection (gCO2eq/MJbiomethane)]]*Biogas_produced_waste[[#This Row],[Biogas as a % incl. ineligible]], "")</f>
        <v/>
      </c>
    </row>
    <row r="68" spans="2:23" s="4" customFormat="1" x14ac:dyDescent="0.4">
      <c r="B68" s="506" t="str">
        <f>IF(Feedstocks!$D45&gt;0,Feedstocks!C45,"")</f>
        <v/>
      </c>
      <c r="C68" s="507" t="str">
        <f>IF(Feedstocks!$D45&gt;0, "NA", "")</f>
        <v/>
      </c>
      <c r="D68" s="507" t="str">
        <f>IF(Feedstocks!$D45&gt;0, 'Transport 2'!J1412/'Digestion &amp; outputs'!$K$104, "")</f>
        <v/>
      </c>
      <c r="E68" s="507" t="str">
        <f>IF(Feedstocks!D45&gt;0, "NA", "")</f>
        <v/>
      </c>
      <c r="F68" s="507" t="str">
        <f>IF(Feedstocks!D45&gt;0, "NA", "")</f>
        <v/>
      </c>
      <c r="G68" s="507" t="str">
        <f>IF(Feedstocks!$D45&gt;0, ('Digestion &amp; outputs'!$K$16 + 'Final conversion'!$J$12)/'Digestion &amp; outputs'!$K$104, "")</f>
        <v/>
      </c>
      <c r="H68" s="507" t="str">
        <f>IF(Feedstocks!$D45&gt;0, 0, "")</f>
        <v/>
      </c>
      <c r="I68" s="507" t="str">
        <f>IF(Feedstocks!$D45&gt;0, 'Biomethane transport'!$J$12, "")</f>
        <v/>
      </c>
      <c r="J68" s="509" t="str">
        <f>IF(Feedstocks!D45&gt;0, 'Carbon capture'!$J$12, "")</f>
        <v/>
      </c>
      <c r="K68" s="509" t="str">
        <f>IF(Feedstocks!D45&gt;0, 'Carbon capture'!$J$27, "")</f>
        <v/>
      </c>
      <c r="L68" s="575" t="str">
        <f>IF(Feedstocks!E45&gt;0,Pathway_emissions_wastes[[#This Row],[etd,feedstock]]+Pathway_emissions_wastes[[#This Row],[ep]]+Pathway_emissions_wastes[[#This Row],[etd,product]]+Pathway_emissions_wastes[[#This Row],[eu]]-Pathway_emissions_wastes[[#This Row],[eCCS]]-Pathway_emissions_wastes[[#This Row],[eCCR]],"")</f>
        <v/>
      </c>
      <c r="N68" s="348" t="str">
        <f>Summary!$B68</f>
        <v/>
      </c>
      <c r="O68" s="342" t="str">
        <f>IFERROR(('Digestion &amp; outputs'!G46*'Digestion &amp; outputs'!D46)/'Reference values'!$D$42, "")</f>
        <v/>
      </c>
      <c r="P68" s="455" t="str">
        <f>IFERROR(Biogas_produced_waste[[#This Row],[Apportioned biogas (m3)]]/('Digestion &amp; outputs'!$D$11/'Reference values'!$D$42), "")</f>
        <v/>
      </c>
      <c r="Q68" s="455" t="str">
        <f>IFERROR(Biogas_produced_waste[[#This Row],[Apportioned biogas (m3)]]/(SUM($O$22:$O$24)), "")</f>
        <v/>
      </c>
      <c r="R68" s="398"/>
      <c r="S68" s="335" t="str">
        <f>IF(Feedstocks!D45&gt;0,Feedstocks!C45,"")</f>
        <v/>
      </c>
      <c r="T68" s="224" t="str">
        <f>IFERROR(IF('Digestion &amp; outputs'!$E$106=0," ",IF(Feedstocks!D45&gt;0,L68, ""))," ")</f>
        <v/>
      </c>
      <c r="V68" s="471" t="str">
        <f>Summary!$B68</f>
        <v/>
      </c>
      <c r="W68" s="475" t="str">
        <f>IF(Feedstocks!D45&gt;0, Final_emissions_waste[[#This Row],[Biomethane Injection (gCO2eq/MJbiomethane)]]*Biogas_produced_waste[[#This Row],[Biogas as a % incl. ineligible]], "")</f>
        <v/>
      </c>
    </row>
    <row r="69" spans="2:23" s="4" customFormat="1" x14ac:dyDescent="0.4">
      <c r="B69" s="506" t="str">
        <f>IF(Feedstocks!$D46&gt;0,Feedstocks!C46,"")</f>
        <v/>
      </c>
      <c r="C69" s="507" t="str">
        <f>IF(Feedstocks!$D46&gt;0, "NA", "")</f>
        <v/>
      </c>
      <c r="D69" s="507" t="str">
        <f>IF(Feedstocks!$D46&gt;0, 'Transport 2'!J1462/'Digestion &amp; outputs'!$K$104, "")</f>
        <v/>
      </c>
      <c r="E69" s="507" t="str">
        <f>IF(Feedstocks!D46&gt;0, "NA", "")</f>
        <v/>
      </c>
      <c r="F69" s="507" t="str">
        <f>IF(Feedstocks!D46&gt;0, "NA", "")</f>
        <v/>
      </c>
      <c r="G69" s="507" t="str">
        <f>IF(Feedstocks!$D46&gt;0, ('Digestion &amp; outputs'!$K$16 + 'Final conversion'!$J$12)/'Digestion &amp; outputs'!$K$104, "")</f>
        <v/>
      </c>
      <c r="H69" s="507" t="str">
        <f>IF(Feedstocks!$D46&gt;0, 0, "")</f>
        <v/>
      </c>
      <c r="I69" s="507" t="str">
        <f>IF(Feedstocks!$D46&gt;0, 'Biomethane transport'!$J$12, "")</f>
        <v/>
      </c>
      <c r="J69" s="509" t="str">
        <f>IF(Feedstocks!D46&gt;0, 'Carbon capture'!$J$12, "")</f>
        <v/>
      </c>
      <c r="K69" s="509" t="str">
        <f>IF(Feedstocks!D46&gt;0, 'Carbon capture'!$J$27, "")</f>
        <v/>
      </c>
      <c r="L69" s="575" t="str">
        <f>IF(Feedstocks!E46&gt;0,Pathway_emissions_wastes[[#This Row],[etd,feedstock]]+Pathway_emissions_wastes[[#This Row],[ep]]+Pathway_emissions_wastes[[#This Row],[etd,product]]+Pathway_emissions_wastes[[#This Row],[eu]]-Pathway_emissions_wastes[[#This Row],[eCCS]]-Pathway_emissions_wastes[[#This Row],[eCCR]],"")</f>
        <v/>
      </c>
      <c r="N69" s="348" t="str">
        <f>Summary!$B69</f>
        <v/>
      </c>
      <c r="O69" s="342" t="str">
        <f>IFERROR(('Digestion &amp; outputs'!G47*'Digestion &amp; outputs'!D47)/'Reference values'!$D$42, "")</f>
        <v/>
      </c>
      <c r="P69" s="455" t="str">
        <f>IFERROR(Biogas_produced_waste[[#This Row],[Apportioned biogas (m3)]]/('Digestion &amp; outputs'!$D$11/'Reference values'!$D$42), "")</f>
        <v/>
      </c>
      <c r="Q69" s="455" t="str">
        <f>IFERROR(Biogas_produced_waste[[#This Row],[Apportioned biogas (m3)]]/(SUM($O$22:$O$24)), "")</f>
        <v/>
      </c>
      <c r="R69" s="398"/>
      <c r="S69" s="335" t="str">
        <f>IF(Feedstocks!D46&gt;0,Feedstocks!C46,"")</f>
        <v/>
      </c>
      <c r="T69" s="224" t="str">
        <f>IFERROR(IF('Digestion &amp; outputs'!$E$106=0," ",IF(Feedstocks!D46&gt;0,L69, ""))," ")</f>
        <v/>
      </c>
      <c r="V69" s="471" t="str">
        <f>Summary!$B69</f>
        <v/>
      </c>
      <c r="W69" s="475" t="str">
        <f>IF(Feedstocks!D46&gt;0, Final_emissions_waste[[#This Row],[Biomethane Injection (gCO2eq/MJbiomethane)]]*Biogas_produced_waste[[#This Row],[Biogas as a % incl. ineligible]], "")</f>
        <v/>
      </c>
    </row>
    <row r="70" spans="2:23" s="4" customFormat="1" x14ac:dyDescent="0.4">
      <c r="B70" s="506" t="str">
        <f>IF(Feedstocks!$D47&gt;0,Feedstocks!C47,"")</f>
        <v/>
      </c>
      <c r="C70" s="507" t="str">
        <f>IF(Feedstocks!$D47&gt;0, "NA", "")</f>
        <v/>
      </c>
      <c r="D70" s="507" t="str">
        <f>IF(Feedstocks!$D47&gt;0, 'Transport 2'!J1512/'Digestion &amp; outputs'!$K$104, "")</f>
        <v/>
      </c>
      <c r="E70" s="507" t="str">
        <f>IF(Feedstocks!D47&gt;0, "NA", "")</f>
        <v/>
      </c>
      <c r="F70" s="507" t="str">
        <f>IF(Feedstocks!D47&gt;0, "NA", "")</f>
        <v/>
      </c>
      <c r="G70" s="507" t="str">
        <f>IF(Feedstocks!$D47&gt;0, ('Digestion &amp; outputs'!$K$16 + 'Final conversion'!$J$12)/'Digestion &amp; outputs'!$K$104, "")</f>
        <v/>
      </c>
      <c r="H70" s="507" t="str">
        <f>IF(Feedstocks!$D47&gt;0, 0, "")</f>
        <v/>
      </c>
      <c r="I70" s="507" t="str">
        <f>IF(Feedstocks!$D47&gt;0, 'Biomethane transport'!$J$12, "")</f>
        <v/>
      </c>
      <c r="J70" s="509" t="str">
        <f>IF(Feedstocks!D47&gt;0, 'Carbon capture'!$J$12, "")</f>
        <v/>
      </c>
      <c r="K70" s="509" t="str">
        <f>IF(Feedstocks!D47&gt;0, 'Carbon capture'!$J$27, "")</f>
        <v/>
      </c>
      <c r="L70" s="575" t="str">
        <f>IF(Feedstocks!E47&gt;0,Pathway_emissions_wastes[[#This Row],[etd,feedstock]]+Pathway_emissions_wastes[[#This Row],[ep]]+Pathway_emissions_wastes[[#This Row],[etd,product]]+Pathway_emissions_wastes[[#This Row],[eu]]-Pathway_emissions_wastes[[#This Row],[eCCS]]-Pathway_emissions_wastes[[#This Row],[eCCR]],"")</f>
        <v/>
      </c>
      <c r="N70" s="348" t="str">
        <f>Summary!$B70</f>
        <v/>
      </c>
      <c r="O70" s="342" t="str">
        <f>IFERROR(('Digestion &amp; outputs'!G48*'Digestion &amp; outputs'!D48)/'Reference values'!$D$42, "")</f>
        <v/>
      </c>
      <c r="P70" s="455" t="str">
        <f>IFERROR(Biogas_produced_waste[[#This Row],[Apportioned biogas (m3)]]/('Digestion &amp; outputs'!$D$11/'Reference values'!$D$42), "")</f>
        <v/>
      </c>
      <c r="Q70" s="455" t="str">
        <f>IFERROR(Biogas_produced_waste[[#This Row],[Apportioned biogas (m3)]]/(SUM($O$22:$O$24)), "")</f>
        <v/>
      </c>
      <c r="R70" s="398"/>
      <c r="S70" s="335" t="str">
        <f>IF(Feedstocks!D47&gt;0,Feedstocks!C47,"")</f>
        <v/>
      </c>
      <c r="T70" s="224" t="str">
        <f>IFERROR(IF('Digestion &amp; outputs'!$E$106=0," ",IF(Feedstocks!D47&gt;0,L70, ""))," ")</f>
        <v/>
      </c>
      <c r="V70" s="471" t="str">
        <f>Summary!$B70</f>
        <v/>
      </c>
      <c r="W70" s="475" t="str">
        <f>IF(Feedstocks!D47&gt;0, Final_emissions_waste[[#This Row],[Biomethane Injection (gCO2eq/MJbiomethane)]]*Biogas_produced_waste[[#This Row],[Biogas as a % incl. ineligible]], "")</f>
        <v/>
      </c>
    </row>
    <row r="71" spans="2:23" s="4" customFormat="1" x14ac:dyDescent="0.4">
      <c r="B71" s="506" t="str">
        <f>IF(Feedstocks!$D48&gt;0,Feedstocks!C48,"")</f>
        <v/>
      </c>
      <c r="C71" s="507" t="str">
        <f>IF(Feedstocks!$D48&gt;0, "NA", "")</f>
        <v/>
      </c>
      <c r="D71" s="507" t="str">
        <f>IF(Feedstocks!$D48&gt;0, 'Transport 2'!J1562/'Digestion &amp; outputs'!$K$104, "")</f>
        <v/>
      </c>
      <c r="E71" s="507" t="str">
        <f>IF(Feedstocks!D48&gt;0, "NA", "")</f>
        <v/>
      </c>
      <c r="F71" s="507" t="str">
        <f>IF(Feedstocks!D48&gt;0, "NA", "")</f>
        <v/>
      </c>
      <c r="G71" s="507" t="str">
        <f>IF(Feedstocks!$D48&gt;0, ('Digestion &amp; outputs'!$K$16 + 'Final conversion'!$J$12)/'Digestion &amp; outputs'!$K$104, "")</f>
        <v/>
      </c>
      <c r="H71" s="507" t="str">
        <f>IF(Feedstocks!$D48&gt;0, 0, "")</f>
        <v/>
      </c>
      <c r="I71" s="507" t="str">
        <f>IF(Feedstocks!$D48&gt;0, 'Biomethane transport'!$J$12, "")</f>
        <v/>
      </c>
      <c r="J71" s="509" t="str">
        <f>IF(Feedstocks!D48&gt;0, 'Carbon capture'!$J$12, "")</f>
        <v/>
      </c>
      <c r="K71" s="509" t="str">
        <f>IF(Feedstocks!D48&gt;0, 'Carbon capture'!$J$27, "")</f>
        <v/>
      </c>
      <c r="L71" s="575" t="str">
        <f>IF(Feedstocks!E48&gt;0,Pathway_emissions_wastes[[#This Row],[etd,feedstock]]+Pathway_emissions_wastes[[#This Row],[ep]]+Pathway_emissions_wastes[[#This Row],[etd,product]]+Pathway_emissions_wastes[[#This Row],[eu]]-Pathway_emissions_wastes[[#This Row],[eCCS]]-Pathway_emissions_wastes[[#This Row],[eCCR]],"")</f>
        <v/>
      </c>
      <c r="N71" s="348" t="str">
        <f>Summary!$B71</f>
        <v/>
      </c>
      <c r="O71" s="342" t="str">
        <f>IFERROR(('Digestion &amp; outputs'!G49*'Digestion &amp; outputs'!D49)/'Reference values'!$D$42, "")</f>
        <v/>
      </c>
      <c r="P71" s="455" t="str">
        <f>IFERROR(Biogas_produced_waste[[#This Row],[Apportioned biogas (m3)]]/('Digestion &amp; outputs'!$D$11/'Reference values'!$D$42), "")</f>
        <v/>
      </c>
      <c r="Q71" s="455" t="str">
        <f>IFERROR(Biogas_produced_waste[[#This Row],[Apportioned biogas (m3)]]/(SUM($O$22:$O$24)), "")</f>
        <v/>
      </c>
      <c r="R71" s="398"/>
      <c r="S71" s="335" t="str">
        <f>IF(Feedstocks!D48&gt;0,Feedstocks!C48,"")</f>
        <v/>
      </c>
      <c r="T71" s="224" t="str">
        <f>IFERROR(IF('Digestion &amp; outputs'!$E$106=0," ",IF(Feedstocks!D48&gt;0,L71, ""))," ")</f>
        <v/>
      </c>
      <c r="V71" s="471" t="str">
        <f>Summary!$B71</f>
        <v/>
      </c>
      <c r="W71" s="475" t="str">
        <f>IF(Feedstocks!D48&gt;0, Final_emissions_waste[[#This Row],[Biomethane Injection (gCO2eq/MJbiomethane)]]*Biogas_produced_waste[[#This Row],[Biogas as a % incl. ineligible]], "")</f>
        <v/>
      </c>
    </row>
    <row r="72" spans="2:23" s="4" customFormat="1" x14ac:dyDescent="0.4">
      <c r="B72" s="506" t="str">
        <f>IF(Feedstocks!$D49&gt;0,Feedstocks!C49,"")</f>
        <v/>
      </c>
      <c r="C72" s="507" t="str">
        <f>IF(Feedstocks!$D49&gt;0, "NA", "")</f>
        <v/>
      </c>
      <c r="D72" s="507" t="str">
        <f>IF(Feedstocks!$D49&gt;0, 'Transport 2'!J1612/'Digestion &amp; outputs'!$K$104, "")</f>
        <v/>
      </c>
      <c r="E72" s="507" t="str">
        <f>IF(Feedstocks!D49&gt;0, "NA", "")</f>
        <v/>
      </c>
      <c r="F72" s="507" t="str">
        <f>IF(Feedstocks!D49&gt;0, "NA", "")</f>
        <v/>
      </c>
      <c r="G72" s="507" t="str">
        <f>IF(Feedstocks!$D49&gt;0, ('Digestion &amp; outputs'!$K$16 + 'Final conversion'!$J$12)/'Digestion &amp; outputs'!$K$104, "")</f>
        <v/>
      </c>
      <c r="H72" s="507" t="str">
        <f>IF(Feedstocks!$D49&gt;0, 0, "")</f>
        <v/>
      </c>
      <c r="I72" s="507" t="str">
        <f>IF(Feedstocks!$D49&gt;0, 'Biomethane transport'!$J$12, "")</f>
        <v/>
      </c>
      <c r="J72" s="509" t="str">
        <f>IF(Feedstocks!D49&gt;0, 'Carbon capture'!$J$12, "")</f>
        <v/>
      </c>
      <c r="K72" s="509" t="str">
        <f>IF(Feedstocks!D49&gt;0, 'Carbon capture'!$J$27, "")</f>
        <v/>
      </c>
      <c r="L72" s="575" t="str">
        <f>IF(Feedstocks!E49&gt;0,Pathway_emissions_wastes[[#This Row],[etd,feedstock]]+Pathway_emissions_wastes[[#This Row],[ep]]+Pathway_emissions_wastes[[#This Row],[etd,product]]+Pathway_emissions_wastes[[#This Row],[eu]]-Pathway_emissions_wastes[[#This Row],[eCCS]]-Pathway_emissions_wastes[[#This Row],[eCCR]],"")</f>
        <v/>
      </c>
      <c r="N72" s="348" t="str">
        <f>Summary!$B72</f>
        <v/>
      </c>
      <c r="O72" s="342" t="str">
        <f>IFERROR(('Digestion &amp; outputs'!G50*'Digestion &amp; outputs'!D50)/'Reference values'!$D$42, "")</f>
        <v/>
      </c>
      <c r="P72" s="455" t="str">
        <f>IFERROR(Biogas_produced_waste[[#This Row],[Apportioned biogas (m3)]]/('Digestion &amp; outputs'!$D$11/'Reference values'!$D$42), "")</f>
        <v/>
      </c>
      <c r="Q72" s="455" t="str">
        <f>IFERROR(Biogas_produced_waste[[#This Row],[Apportioned biogas (m3)]]/(SUM($O$22:$O$24)), "")</f>
        <v/>
      </c>
      <c r="R72" s="398"/>
      <c r="S72" s="335" t="str">
        <f>IF(Feedstocks!D49&gt;0,Feedstocks!C49,"")</f>
        <v/>
      </c>
      <c r="T72" s="224" t="str">
        <f>IFERROR(IF('Digestion &amp; outputs'!$E$106=0," ",IF(Feedstocks!D49&gt;0,L72, ""))," ")</f>
        <v/>
      </c>
      <c r="V72" s="471" t="str">
        <f>Summary!$B72</f>
        <v/>
      </c>
      <c r="W72" s="475" t="str">
        <f>IF(Feedstocks!D49&gt;0, Final_emissions_waste[[#This Row],[Biomethane Injection (gCO2eq/MJbiomethane)]]*Biogas_produced_waste[[#This Row],[Biogas as a % incl. ineligible]], "")</f>
        <v/>
      </c>
    </row>
    <row r="73" spans="2:23" s="4" customFormat="1" x14ac:dyDescent="0.4">
      <c r="B73" s="506" t="str">
        <f>IF(Feedstocks!$D50&gt;0,Feedstocks!C50,"")</f>
        <v/>
      </c>
      <c r="C73" s="507" t="str">
        <f>IF(Feedstocks!$D50&gt;0, "NA", "")</f>
        <v/>
      </c>
      <c r="D73" s="507" t="str">
        <f>IF(Feedstocks!$D50&gt;0, 'Transport 2'!J1662/'Digestion &amp; outputs'!$K$104, "")</f>
        <v/>
      </c>
      <c r="E73" s="507" t="str">
        <f>IF(Feedstocks!D50&gt;0, "NA", "")</f>
        <v/>
      </c>
      <c r="F73" s="507" t="str">
        <f>IF(Feedstocks!D50&gt;0, "NA", "")</f>
        <v/>
      </c>
      <c r="G73" s="507" t="str">
        <f>IF(Feedstocks!$D50&gt;0, ('Digestion &amp; outputs'!$K$16 + 'Final conversion'!$J$12)/'Digestion &amp; outputs'!$K$104, "")</f>
        <v/>
      </c>
      <c r="H73" s="507" t="str">
        <f>IF(Feedstocks!$D50&gt;0, 0, "")</f>
        <v/>
      </c>
      <c r="I73" s="507" t="str">
        <f>IF(Feedstocks!$D50&gt;0, 'Biomethane transport'!$J$12, "")</f>
        <v/>
      </c>
      <c r="J73" s="509" t="str">
        <f>IF(Feedstocks!D50&gt;0, 'Carbon capture'!$J$12, "")</f>
        <v/>
      </c>
      <c r="K73" s="509" t="str">
        <f>IF(Feedstocks!D50&gt;0, 'Carbon capture'!$J$27, "")</f>
        <v/>
      </c>
      <c r="L73" s="575" t="str">
        <f>IF(Feedstocks!E50&gt;0,Pathway_emissions_wastes[[#This Row],[etd,feedstock]]+Pathway_emissions_wastes[[#This Row],[ep]]+Pathway_emissions_wastes[[#This Row],[etd,product]]+Pathway_emissions_wastes[[#This Row],[eu]]-Pathway_emissions_wastes[[#This Row],[eCCS]]-Pathway_emissions_wastes[[#This Row],[eCCR]],"")</f>
        <v/>
      </c>
      <c r="N73" s="348" t="str">
        <f>Summary!$B73</f>
        <v/>
      </c>
      <c r="O73" s="342" t="str">
        <f>IFERROR(('Digestion &amp; outputs'!G51*'Digestion &amp; outputs'!D51)/'Reference values'!$D$42, "")</f>
        <v/>
      </c>
      <c r="P73" s="455" t="str">
        <f>IFERROR(Biogas_produced_waste[[#This Row],[Apportioned biogas (m3)]]/('Digestion &amp; outputs'!$D$11/'Reference values'!$D$42), "")</f>
        <v/>
      </c>
      <c r="Q73" s="455" t="str">
        <f>IFERROR(Biogas_produced_waste[[#This Row],[Apportioned biogas (m3)]]/(SUM($O$22:$O$24)), "")</f>
        <v/>
      </c>
      <c r="R73" s="398"/>
      <c r="S73" s="335" t="str">
        <f>IF(Feedstocks!D50&gt;0,Feedstocks!C50,"")</f>
        <v/>
      </c>
      <c r="T73" s="224" t="str">
        <f>IFERROR(IF('Digestion &amp; outputs'!$E$106=0," ",IF(Feedstocks!D50&gt;0,L73, ""))," ")</f>
        <v/>
      </c>
      <c r="V73" s="471" t="str">
        <f>Summary!$B73</f>
        <v/>
      </c>
      <c r="W73" s="475" t="str">
        <f>IF(Feedstocks!D50&gt;0, Final_emissions_waste[[#This Row],[Biomethane Injection (gCO2eq/MJbiomethane)]]*Biogas_produced_waste[[#This Row],[Biogas as a % incl. ineligible]], "")</f>
        <v/>
      </c>
    </row>
    <row r="74" spans="2:23" s="4" customFormat="1" x14ac:dyDescent="0.4">
      <c r="B74" s="506" t="str">
        <f>IF(Feedstocks!$D51&gt;0,Feedstocks!C51,"")</f>
        <v/>
      </c>
      <c r="C74" s="507" t="str">
        <f>IF(Feedstocks!$D51&gt;0, "NA", "")</f>
        <v/>
      </c>
      <c r="D74" s="507" t="str">
        <f>IF(Feedstocks!$D51&gt;0, 'Transport 2'!J1712/'Digestion &amp; outputs'!$K$104, "")</f>
        <v/>
      </c>
      <c r="E74" s="507" t="str">
        <f>IF(Feedstocks!D51&gt;0, "NA", "")</f>
        <v/>
      </c>
      <c r="F74" s="507" t="str">
        <f>IF(Feedstocks!D51&gt;0, "NA", "")</f>
        <v/>
      </c>
      <c r="G74" s="507" t="str">
        <f>IF(Feedstocks!$D51&gt;0, ('Digestion &amp; outputs'!$K$16 + 'Final conversion'!$J$12)/'Digestion &amp; outputs'!$K$104, "")</f>
        <v/>
      </c>
      <c r="H74" s="507" t="str">
        <f>IF(Feedstocks!$D51&gt;0, 0, "")</f>
        <v/>
      </c>
      <c r="I74" s="507" t="str">
        <f>IF(Feedstocks!$D51&gt;0, 'Biomethane transport'!$J$12, "")</f>
        <v/>
      </c>
      <c r="J74" s="509" t="str">
        <f>IF(Feedstocks!D51&gt;0, 'Carbon capture'!$J$12, "")</f>
        <v/>
      </c>
      <c r="K74" s="509" t="str">
        <f>IF(Feedstocks!D51&gt;0, 'Carbon capture'!$J$27, "")</f>
        <v/>
      </c>
      <c r="L74" s="575" t="str">
        <f>IF(Feedstocks!E51&gt;0,Pathway_emissions_wastes[[#This Row],[etd,feedstock]]+Pathway_emissions_wastes[[#This Row],[ep]]+Pathway_emissions_wastes[[#This Row],[etd,product]]+Pathway_emissions_wastes[[#This Row],[eu]]-Pathway_emissions_wastes[[#This Row],[eCCS]]-Pathway_emissions_wastes[[#This Row],[eCCR]],"")</f>
        <v/>
      </c>
      <c r="N74" s="348" t="str">
        <f>Summary!$B74</f>
        <v/>
      </c>
      <c r="O74" s="342" t="str">
        <f>IFERROR(('Digestion &amp; outputs'!G52*'Digestion &amp; outputs'!D52)/'Reference values'!$D$42, "")</f>
        <v/>
      </c>
      <c r="P74" s="455" t="str">
        <f>IFERROR(Biogas_produced_waste[[#This Row],[Apportioned biogas (m3)]]/('Digestion &amp; outputs'!$D$11/'Reference values'!$D$42), "")</f>
        <v/>
      </c>
      <c r="Q74" s="455" t="str">
        <f>IFERROR(Biogas_produced_waste[[#This Row],[Apportioned biogas (m3)]]/(SUM($O$22:$O$24)), "")</f>
        <v/>
      </c>
      <c r="R74" s="398"/>
      <c r="S74" s="335" t="str">
        <f>IF(Feedstocks!D51&gt;0,Feedstocks!C51,"")</f>
        <v/>
      </c>
      <c r="T74" s="224" t="str">
        <f>IFERROR(IF('Digestion &amp; outputs'!$E$106=0," ",IF(Feedstocks!D51&gt;0,L74, ""))," ")</f>
        <v/>
      </c>
      <c r="V74" s="471" t="str">
        <f>Summary!$B74</f>
        <v/>
      </c>
      <c r="W74" s="475" t="str">
        <f>IF(Feedstocks!D51&gt;0, Final_emissions_waste[[#This Row],[Biomethane Injection (gCO2eq/MJbiomethane)]]*Biogas_produced_waste[[#This Row],[Biogas as a % incl. ineligible]], "")</f>
        <v/>
      </c>
    </row>
    <row r="75" spans="2:23" s="4" customFormat="1" x14ac:dyDescent="0.4">
      <c r="B75" s="506" t="str">
        <f>IF(Feedstocks!$D52&gt;0,Feedstocks!C52,"")</f>
        <v/>
      </c>
      <c r="C75" s="507" t="str">
        <f>IF(Feedstocks!$D52&gt;0, "NA", "")</f>
        <v/>
      </c>
      <c r="D75" s="507" t="str">
        <f>IF(Feedstocks!$D52&gt;0, 'Transport 2'!J1762/'Digestion &amp; outputs'!$K$104, "")</f>
        <v/>
      </c>
      <c r="E75" s="507" t="str">
        <f>IF(Feedstocks!D52&gt;0, "NA", "")</f>
        <v/>
      </c>
      <c r="F75" s="507" t="str">
        <f>IF(Feedstocks!D52&gt;0, "NA", "")</f>
        <v/>
      </c>
      <c r="G75" s="507" t="str">
        <f>IF(Feedstocks!$D52&gt;0, ('Digestion &amp; outputs'!$K$16 + 'Final conversion'!$J$12)/'Digestion &amp; outputs'!$K$104, "")</f>
        <v/>
      </c>
      <c r="H75" s="507" t="str">
        <f>IF(Feedstocks!$D52&gt;0, 0, "")</f>
        <v/>
      </c>
      <c r="I75" s="507" t="str">
        <f>IF(Feedstocks!$D52&gt;0, 'Biomethane transport'!$J$12, "")</f>
        <v/>
      </c>
      <c r="J75" s="509" t="str">
        <f>IF(Feedstocks!D52&gt;0, 'Carbon capture'!$J$12, "")</f>
        <v/>
      </c>
      <c r="K75" s="509" t="str">
        <f>IF(Feedstocks!D52&gt;0, 'Carbon capture'!$J$27, "")</f>
        <v/>
      </c>
      <c r="L75" s="575" t="str">
        <f>IF(Feedstocks!E52&gt;0,Pathway_emissions_wastes[[#This Row],[etd,feedstock]]+Pathway_emissions_wastes[[#This Row],[ep]]+Pathway_emissions_wastes[[#This Row],[etd,product]]+Pathway_emissions_wastes[[#This Row],[eu]]-Pathway_emissions_wastes[[#This Row],[eCCS]]-Pathway_emissions_wastes[[#This Row],[eCCR]],"")</f>
        <v/>
      </c>
      <c r="N75" s="348" t="str">
        <f>Summary!$B75</f>
        <v/>
      </c>
      <c r="O75" s="342" t="str">
        <f>IFERROR(('Digestion &amp; outputs'!G53*'Digestion &amp; outputs'!D53)/'Reference values'!$D$42, "")</f>
        <v/>
      </c>
      <c r="P75" s="455" t="str">
        <f>IFERROR(Biogas_produced_waste[[#This Row],[Apportioned biogas (m3)]]/('Digestion &amp; outputs'!$D$11/'Reference values'!$D$42), "")</f>
        <v/>
      </c>
      <c r="Q75" s="455" t="str">
        <f>IFERROR(Biogas_produced_waste[[#This Row],[Apportioned biogas (m3)]]/(SUM($O$22:$O$24)), "")</f>
        <v/>
      </c>
      <c r="R75" s="398"/>
      <c r="S75" s="335" t="str">
        <f>IF(Feedstocks!D52&gt;0,Feedstocks!C52,"")</f>
        <v/>
      </c>
      <c r="T75" s="224" t="str">
        <f>IFERROR(IF('Digestion &amp; outputs'!$E$106=0," ",IF(Feedstocks!D52&gt;0,L75, ""))," ")</f>
        <v/>
      </c>
      <c r="V75" s="471" t="str">
        <f>Summary!$B75</f>
        <v/>
      </c>
      <c r="W75" s="475" t="str">
        <f>IF(Feedstocks!D52&gt;0, Final_emissions_waste[[#This Row],[Biomethane Injection (gCO2eq/MJbiomethane)]]*Biogas_produced_waste[[#This Row],[Biogas as a % incl. ineligible]], "")</f>
        <v/>
      </c>
    </row>
    <row r="76" spans="2:23" s="4" customFormat="1" x14ac:dyDescent="0.4">
      <c r="B76" s="506" t="str">
        <f>IF(Feedstocks!$D53&gt;0,Feedstocks!C53,"")</f>
        <v/>
      </c>
      <c r="C76" s="507" t="str">
        <f>IF(Feedstocks!$D53&gt;0, "NA", "")</f>
        <v/>
      </c>
      <c r="D76" s="507" t="str">
        <f>IF(Feedstocks!$D53&gt;0, 'Transport 2'!J1812/'Digestion &amp; outputs'!$K$104, "")</f>
        <v/>
      </c>
      <c r="E76" s="507" t="str">
        <f>IF(Feedstocks!D53&gt;0, "NA", "")</f>
        <v/>
      </c>
      <c r="F76" s="507" t="str">
        <f>IF(Feedstocks!D53&gt;0, "NA", "")</f>
        <v/>
      </c>
      <c r="G76" s="507" t="str">
        <f>IF(Feedstocks!$D53&gt;0, ('Digestion &amp; outputs'!$K$16 + 'Final conversion'!$J$12)/'Digestion &amp; outputs'!$K$104, "")</f>
        <v/>
      </c>
      <c r="H76" s="507" t="str">
        <f>IF(Feedstocks!$D53&gt;0, 0, "")</f>
        <v/>
      </c>
      <c r="I76" s="507" t="str">
        <f>IF(Feedstocks!$D53&gt;0, 'Biomethane transport'!$J$12, "")</f>
        <v/>
      </c>
      <c r="J76" s="509" t="str">
        <f>IF(Feedstocks!D53&gt;0, 'Carbon capture'!$J$12, "")</f>
        <v/>
      </c>
      <c r="K76" s="509" t="str">
        <f>IF(Feedstocks!D53&gt;0, 'Carbon capture'!$J$27, "")</f>
        <v/>
      </c>
      <c r="L76" s="575" t="str">
        <f>IF(Feedstocks!E53&gt;0,Pathway_emissions_wastes[[#This Row],[etd,feedstock]]+Pathway_emissions_wastes[[#This Row],[ep]]+Pathway_emissions_wastes[[#This Row],[etd,product]]+Pathway_emissions_wastes[[#This Row],[eu]]-Pathway_emissions_wastes[[#This Row],[eCCS]]-Pathway_emissions_wastes[[#This Row],[eCCR]],"")</f>
        <v/>
      </c>
      <c r="N76" s="348" t="str">
        <f>Summary!$B76</f>
        <v/>
      </c>
      <c r="O76" s="342" t="str">
        <f>IFERROR(('Digestion &amp; outputs'!G54*'Digestion &amp; outputs'!D54)/'Reference values'!$D$42, "")</f>
        <v/>
      </c>
      <c r="P76" s="455" t="str">
        <f>IFERROR(Biogas_produced_waste[[#This Row],[Apportioned biogas (m3)]]/('Digestion &amp; outputs'!$D$11/'Reference values'!$D$42), "")</f>
        <v/>
      </c>
      <c r="Q76" s="455" t="str">
        <f>IFERROR(Biogas_produced_waste[[#This Row],[Apportioned biogas (m3)]]/(SUM($O$22:$O$24)), "")</f>
        <v/>
      </c>
      <c r="R76" s="398"/>
      <c r="S76" s="335" t="str">
        <f>IF(Feedstocks!D53&gt;0,Feedstocks!C53,"")</f>
        <v/>
      </c>
      <c r="T76" s="224" t="str">
        <f>IFERROR(IF('Digestion &amp; outputs'!$E$106=0," ",IF(Feedstocks!D53&gt;0,L76, ""))," ")</f>
        <v/>
      </c>
      <c r="V76" s="471" t="str">
        <f>Summary!$B76</f>
        <v/>
      </c>
      <c r="W76" s="475" t="str">
        <f>IF(Feedstocks!D53&gt;0, Final_emissions_waste[[#This Row],[Biomethane Injection (gCO2eq/MJbiomethane)]]*Biogas_produced_waste[[#This Row],[Biogas as a % incl. ineligible]], "")</f>
        <v/>
      </c>
    </row>
    <row r="77" spans="2:23" s="4" customFormat="1" x14ac:dyDescent="0.4">
      <c r="B77" s="506" t="str">
        <f>IF(Feedstocks!$D54&gt;0,Feedstocks!C54,"")</f>
        <v/>
      </c>
      <c r="C77" s="507" t="str">
        <f>IF(Feedstocks!$D54&gt;0, "NA", "")</f>
        <v/>
      </c>
      <c r="D77" s="507" t="str">
        <f>IF(Feedstocks!$D54&gt;0, 'Transport 2'!J1862/'Digestion &amp; outputs'!$K$104, "")</f>
        <v/>
      </c>
      <c r="E77" s="507" t="str">
        <f>IF(Feedstocks!D54&gt;0, "NA", "")</f>
        <v/>
      </c>
      <c r="F77" s="507" t="str">
        <f>IF(Feedstocks!D54&gt;0, "NA", "")</f>
        <v/>
      </c>
      <c r="G77" s="507" t="str">
        <f>IF(Feedstocks!$D54&gt;0, ('Digestion &amp; outputs'!$K$16 + 'Final conversion'!$J$12)/'Digestion &amp; outputs'!$K$104, "")</f>
        <v/>
      </c>
      <c r="H77" s="507" t="str">
        <f>IF(Feedstocks!$D54&gt;0, 0, "")</f>
        <v/>
      </c>
      <c r="I77" s="507" t="str">
        <f>IF(Feedstocks!$D54&gt;0, 'Biomethane transport'!$J$12, "")</f>
        <v/>
      </c>
      <c r="J77" s="509" t="str">
        <f>IF(Feedstocks!D54&gt;0, 'Carbon capture'!$J$12, "")</f>
        <v/>
      </c>
      <c r="K77" s="509" t="str">
        <f>IF(Feedstocks!D54&gt;0, 'Carbon capture'!$J$27, "")</f>
        <v/>
      </c>
      <c r="L77" s="575" t="str">
        <f>IF(Feedstocks!E54&gt;0,Pathway_emissions_wastes[[#This Row],[etd,feedstock]]+Pathway_emissions_wastes[[#This Row],[ep]]+Pathway_emissions_wastes[[#This Row],[etd,product]]+Pathway_emissions_wastes[[#This Row],[eu]]-Pathway_emissions_wastes[[#This Row],[eCCS]]-Pathway_emissions_wastes[[#This Row],[eCCR]],"")</f>
        <v/>
      </c>
      <c r="N77" s="348" t="str">
        <f>Summary!$B77</f>
        <v/>
      </c>
      <c r="O77" s="342" t="str">
        <f>IFERROR(('Digestion &amp; outputs'!G55*'Digestion &amp; outputs'!D55)/'Reference values'!$D$42, "")</f>
        <v/>
      </c>
      <c r="P77" s="455" t="str">
        <f>IFERROR(Biogas_produced_waste[[#This Row],[Apportioned biogas (m3)]]/('Digestion &amp; outputs'!$D$11/'Reference values'!$D$42), "")</f>
        <v/>
      </c>
      <c r="Q77" s="455" t="str">
        <f>IFERROR(Biogas_produced_waste[[#This Row],[Apportioned biogas (m3)]]/(SUM($O$22:$O$24)), "")</f>
        <v/>
      </c>
      <c r="R77" s="398"/>
      <c r="S77" s="335" t="str">
        <f>IF(Feedstocks!D54&gt;0,Feedstocks!C54,"")</f>
        <v/>
      </c>
      <c r="T77" s="224" t="str">
        <f>IFERROR(IF('Digestion &amp; outputs'!$E$106=0," ",IF(Feedstocks!D54&gt;0,L77, ""))," ")</f>
        <v/>
      </c>
      <c r="V77" s="471" t="str">
        <f>Summary!$B77</f>
        <v/>
      </c>
      <c r="W77" s="475" t="str">
        <f>IF(Feedstocks!D54&gt;0, Final_emissions_waste[[#This Row],[Biomethane Injection (gCO2eq/MJbiomethane)]]*Biogas_produced_waste[[#This Row],[Biogas as a % incl. ineligible]], "")</f>
        <v/>
      </c>
    </row>
    <row r="78" spans="2:23" s="4" customFormat="1" x14ac:dyDescent="0.4">
      <c r="B78" s="506" t="str">
        <f>IF(Feedstocks!$D55&gt;0,Feedstocks!C55,"")</f>
        <v/>
      </c>
      <c r="C78" s="507" t="str">
        <f>IF(Feedstocks!$D55&gt;0, "NA", "")</f>
        <v/>
      </c>
      <c r="D78" s="507" t="str">
        <f>IF(Feedstocks!$D55&gt;0, 'Transport 2'!J1912/'Digestion &amp; outputs'!$K$104, "")</f>
        <v/>
      </c>
      <c r="E78" s="507" t="str">
        <f>IF(Feedstocks!D55&gt;0, "NA", "")</f>
        <v/>
      </c>
      <c r="F78" s="507" t="str">
        <f>IF(Feedstocks!D55&gt;0, "NA", "")</f>
        <v/>
      </c>
      <c r="G78" s="507" t="str">
        <f>IF(Feedstocks!$D55&gt;0, ('Digestion &amp; outputs'!$K$16 + 'Final conversion'!$J$12)/'Digestion &amp; outputs'!$K$104, "")</f>
        <v/>
      </c>
      <c r="H78" s="507" t="str">
        <f>IF(Feedstocks!$D55&gt;0, 0, "")</f>
        <v/>
      </c>
      <c r="I78" s="507" t="str">
        <f>IF(Feedstocks!$D55&gt;0, 'Biomethane transport'!$J$12, "")</f>
        <v/>
      </c>
      <c r="J78" s="509" t="str">
        <f>IF(Feedstocks!D55&gt;0, 'Carbon capture'!$J$12, "")</f>
        <v/>
      </c>
      <c r="K78" s="509" t="str">
        <f>IF(Feedstocks!D55&gt;0, 'Carbon capture'!$J$27, "")</f>
        <v/>
      </c>
      <c r="L78" s="575" t="str">
        <f>IF(Feedstocks!E55&gt;0,Pathway_emissions_wastes[[#This Row],[etd,feedstock]]+Pathway_emissions_wastes[[#This Row],[ep]]+Pathway_emissions_wastes[[#This Row],[etd,product]]+Pathway_emissions_wastes[[#This Row],[eu]]-Pathway_emissions_wastes[[#This Row],[eCCS]]-Pathway_emissions_wastes[[#This Row],[eCCR]],"")</f>
        <v/>
      </c>
      <c r="N78" s="348" t="str">
        <f>Summary!$B78</f>
        <v/>
      </c>
      <c r="O78" s="342" t="str">
        <f>IFERROR(('Digestion &amp; outputs'!G56*'Digestion &amp; outputs'!D56)/'Reference values'!$D$42, "")</f>
        <v/>
      </c>
      <c r="P78" s="455" t="str">
        <f>IFERROR(Biogas_produced_waste[[#This Row],[Apportioned biogas (m3)]]/('Digestion &amp; outputs'!$D$11/'Reference values'!$D$42), "")</f>
        <v/>
      </c>
      <c r="Q78" s="455" t="str">
        <f>IFERROR(Biogas_produced_waste[[#This Row],[Apportioned biogas (m3)]]/(SUM($O$22:$O$24)), "")</f>
        <v/>
      </c>
      <c r="R78" s="398"/>
      <c r="S78" s="335" t="str">
        <f>IF(Feedstocks!D55&gt;0,Feedstocks!C55,"")</f>
        <v/>
      </c>
      <c r="T78" s="224" t="str">
        <f>IFERROR(IF('Digestion &amp; outputs'!$E$106=0," ",IF(Feedstocks!D55&gt;0,L78, ""))," ")</f>
        <v/>
      </c>
      <c r="V78" s="471" t="str">
        <f>Summary!$B78</f>
        <v/>
      </c>
      <c r="W78" s="475" t="str">
        <f>IF(Feedstocks!D55&gt;0, Final_emissions_waste[[#This Row],[Biomethane Injection (gCO2eq/MJbiomethane)]]*Biogas_produced_waste[[#This Row],[Biogas as a % incl. ineligible]], "")</f>
        <v/>
      </c>
    </row>
    <row r="79" spans="2:23" s="4" customFormat="1" x14ac:dyDescent="0.4">
      <c r="B79" s="506" t="str">
        <f>IF(Feedstocks!$D56&gt;0,Feedstocks!C56,"")</f>
        <v/>
      </c>
      <c r="C79" s="507" t="str">
        <f>IF(Feedstocks!$D56&gt;0, "NA", "")</f>
        <v/>
      </c>
      <c r="D79" s="507" t="str">
        <f>IF(Feedstocks!$D56&gt;0, 'Transport 2'!J1962/'Digestion &amp; outputs'!$K$104, "")</f>
        <v/>
      </c>
      <c r="E79" s="507" t="str">
        <f>IF(Feedstocks!D56&gt;0, "NA", "")</f>
        <v/>
      </c>
      <c r="F79" s="507" t="str">
        <f>IF(Feedstocks!D56&gt;0, "NA", "")</f>
        <v/>
      </c>
      <c r="G79" s="507" t="str">
        <f>IF(Feedstocks!$D56&gt;0, ('Digestion &amp; outputs'!$K$16 + 'Final conversion'!$J$12)/'Digestion &amp; outputs'!$K$104, "")</f>
        <v/>
      </c>
      <c r="H79" s="507" t="str">
        <f>IF(Feedstocks!$D56&gt;0, 0, "")</f>
        <v/>
      </c>
      <c r="I79" s="507" t="str">
        <f>IF(Feedstocks!$D56&gt;0, 'Biomethane transport'!$J$12, "")</f>
        <v/>
      </c>
      <c r="J79" s="509" t="str">
        <f>IF(Feedstocks!D56&gt;0, 'Carbon capture'!$J$12, "")</f>
        <v/>
      </c>
      <c r="K79" s="509" t="str">
        <f>IF(Feedstocks!D56&gt;0, 'Carbon capture'!$J$27, "")</f>
        <v/>
      </c>
      <c r="L79" s="575" t="str">
        <f>IF(Feedstocks!E56&gt;0,Pathway_emissions_wastes[[#This Row],[etd,feedstock]]+Pathway_emissions_wastes[[#This Row],[ep]]+Pathway_emissions_wastes[[#This Row],[etd,product]]+Pathway_emissions_wastes[[#This Row],[eu]]-Pathway_emissions_wastes[[#This Row],[eCCS]]-Pathway_emissions_wastes[[#This Row],[eCCR]],"")</f>
        <v/>
      </c>
      <c r="N79" s="348" t="str">
        <f>Summary!$B79</f>
        <v/>
      </c>
      <c r="O79" s="342" t="str">
        <f>IFERROR(('Digestion &amp; outputs'!G57*'Digestion &amp; outputs'!D57)/'Reference values'!$D$42, "")</f>
        <v/>
      </c>
      <c r="P79" s="455" t="str">
        <f>IFERROR(Biogas_produced_waste[[#This Row],[Apportioned biogas (m3)]]/('Digestion &amp; outputs'!$D$11/'Reference values'!$D$42), "")</f>
        <v/>
      </c>
      <c r="Q79" s="455" t="str">
        <f>IFERROR(Biogas_produced_waste[[#This Row],[Apportioned biogas (m3)]]/(SUM($O$22:$O$24)), "")</f>
        <v/>
      </c>
      <c r="R79" s="398"/>
      <c r="S79" s="335" t="str">
        <f>IF(Feedstocks!D56&gt;0,Feedstocks!C56,"")</f>
        <v/>
      </c>
      <c r="T79" s="224" t="str">
        <f>IFERROR(IF('Digestion &amp; outputs'!$E$106=0," ",IF(Feedstocks!D56&gt;0,L79, ""))," ")</f>
        <v/>
      </c>
      <c r="V79" s="471" t="str">
        <f>Summary!$B79</f>
        <v/>
      </c>
      <c r="W79" s="475" t="str">
        <f>IF(Feedstocks!D56&gt;0, Final_emissions_waste[[#This Row],[Biomethane Injection (gCO2eq/MJbiomethane)]]*Biogas_produced_waste[[#This Row],[Biogas as a % incl. ineligible]], "")</f>
        <v/>
      </c>
    </row>
    <row r="80" spans="2:23" s="4" customFormat="1" x14ac:dyDescent="0.4">
      <c r="B80" s="506" t="str">
        <f>IF(Feedstocks!$D57&gt;0,Feedstocks!C57,"")</f>
        <v/>
      </c>
      <c r="C80" s="507" t="str">
        <f>IF(Feedstocks!$D57&gt;0, "NA", "")</f>
        <v/>
      </c>
      <c r="D80" s="507" t="str">
        <f>IF(Feedstocks!$D57&gt;0, 'Transport 2'!J2012/'Digestion &amp; outputs'!$K$104, "")</f>
        <v/>
      </c>
      <c r="E80" s="507" t="str">
        <f>IF(Feedstocks!D57&gt;0, "NA", "")</f>
        <v/>
      </c>
      <c r="F80" s="507" t="str">
        <f>IF(Feedstocks!D57&gt;0, "NA", "")</f>
        <v/>
      </c>
      <c r="G80" s="507" t="str">
        <f>IF(Feedstocks!$D57&gt;0, ('Digestion &amp; outputs'!$K$16 + 'Final conversion'!$J$12)/'Digestion &amp; outputs'!$K$104, "")</f>
        <v/>
      </c>
      <c r="H80" s="507" t="str">
        <f>IF(Feedstocks!$D57&gt;0, 0, "")</f>
        <v/>
      </c>
      <c r="I80" s="507" t="str">
        <f>IF(Feedstocks!$D57&gt;0, 'Biomethane transport'!$J$12, "")</f>
        <v/>
      </c>
      <c r="J80" s="509" t="str">
        <f>IF(Feedstocks!D57&gt;0, 'Carbon capture'!$J$12, "")</f>
        <v/>
      </c>
      <c r="K80" s="509" t="str">
        <f>IF(Feedstocks!D57&gt;0, 'Carbon capture'!$J$27, "")</f>
        <v/>
      </c>
      <c r="L80" s="575" t="str">
        <f>IF(Feedstocks!E57&gt;0,Pathway_emissions_wastes[[#This Row],[etd,feedstock]]+Pathway_emissions_wastes[[#This Row],[ep]]+Pathway_emissions_wastes[[#This Row],[etd,product]]+Pathway_emissions_wastes[[#This Row],[eu]]-Pathway_emissions_wastes[[#This Row],[eCCS]]-Pathway_emissions_wastes[[#This Row],[eCCR]],"")</f>
        <v/>
      </c>
      <c r="N80" s="348" t="str">
        <f>Summary!$B80</f>
        <v/>
      </c>
      <c r="O80" s="342" t="str">
        <f>IFERROR(('Digestion &amp; outputs'!G58*'Digestion &amp; outputs'!D58)/'Reference values'!$D$42, "")</f>
        <v/>
      </c>
      <c r="P80" s="455" t="str">
        <f>IFERROR(Biogas_produced_waste[[#This Row],[Apportioned biogas (m3)]]/('Digestion &amp; outputs'!$D$11/'Reference values'!$D$42), "")</f>
        <v/>
      </c>
      <c r="Q80" s="455" t="str">
        <f>IFERROR(Biogas_produced_waste[[#This Row],[Apportioned biogas (m3)]]/(SUM($O$22:$O$24)), "")</f>
        <v/>
      </c>
      <c r="R80" s="398"/>
      <c r="S80" s="335" t="str">
        <f>IF(Feedstocks!D57&gt;0,Feedstocks!C57,"")</f>
        <v/>
      </c>
      <c r="T80" s="224" t="str">
        <f>IFERROR(IF('Digestion &amp; outputs'!$E$106=0," ",IF(Feedstocks!D57&gt;0,L80, ""))," ")</f>
        <v/>
      </c>
      <c r="V80" s="471" t="str">
        <f>Summary!$B80</f>
        <v/>
      </c>
      <c r="W80" s="475" t="str">
        <f>IF(Feedstocks!D57&gt;0, Final_emissions_waste[[#This Row],[Biomethane Injection (gCO2eq/MJbiomethane)]]*Biogas_produced_waste[[#This Row],[Biogas as a % incl. ineligible]], "")</f>
        <v/>
      </c>
    </row>
    <row r="81" spans="2:23" s="4" customFormat="1" x14ac:dyDescent="0.4">
      <c r="B81" s="506" t="str">
        <f>IF(Feedstocks!$D58&gt;0,Feedstocks!C58,"")</f>
        <v/>
      </c>
      <c r="C81" s="507" t="str">
        <f>IF(Feedstocks!$D58&gt;0, "NA", "")</f>
        <v/>
      </c>
      <c r="D81" s="507" t="str">
        <f>IF(Feedstocks!$D58&gt;0, 'Transport 2'!J2062/'Digestion &amp; outputs'!$K$104, "")</f>
        <v/>
      </c>
      <c r="E81" s="507" t="str">
        <f>IF(Feedstocks!D58&gt;0, "NA", "")</f>
        <v/>
      </c>
      <c r="F81" s="507" t="str">
        <f>IF(Feedstocks!D58&gt;0, "NA", "")</f>
        <v/>
      </c>
      <c r="G81" s="507" t="str">
        <f>IF(Feedstocks!$D58&gt;0, ('Digestion &amp; outputs'!$K$16 + 'Final conversion'!$J$12)/'Digestion &amp; outputs'!$K$104, "")</f>
        <v/>
      </c>
      <c r="H81" s="507" t="str">
        <f>IF(Feedstocks!$D58&gt;0, 0, "")</f>
        <v/>
      </c>
      <c r="I81" s="507" t="str">
        <f>IF(Feedstocks!$D58&gt;0, 'Biomethane transport'!$J$12, "")</f>
        <v/>
      </c>
      <c r="J81" s="509" t="str">
        <f>IF(Feedstocks!D58&gt;0, 'Carbon capture'!$J$12, "")</f>
        <v/>
      </c>
      <c r="K81" s="509" t="str">
        <f>IF(Feedstocks!D58&gt;0, 'Carbon capture'!$J$27, "")</f>
        <v/>
      </c>
      <c r="L81" s="575" t="str">
        <f>IF(Feedstocks!E58&gt;0,Pathway_emissions_wastes[[#This Row],[etd,feedstock]]+Pathway_emissions_wastes[[#This Row],[ep]]+Pathway_emissions_wastes[[#This Row],[etd,product]]+Pathway_emissions_wastes[[#This Row],[eu]]-Pathway_emissions_wastes[[#This Row],[eCCS]]-Pathway_emissions_wastes[[#This Row],[eCCR]],"")</f>
        <v/>
      </c>
      <c r="N81" s="348" t="str">
        <f>Summary!$B81</f>
        <v/>
      </c>
      <c r="O81" s="342" t="str">
        <f>IFERROR(('Digestion &amp; outputs'!G59*'Digestion &amp; outputs'!D59)/'Reference values'!$D$42, "")</f>
        <v/>
      </c>
      <c r="P81" s="455" t="str">
        <f>IFERROR(Biogas_produced_waste[[#This Row],[Apportioned biogas (m3)]]/('Digestion &amp; outputs'!$D$11/'Reference values'!$D$42), "")</f>
        <v/>
      </c>
      <c r="Q81" s="455" t="str">
        <f>IFERROR(Biogas_produced_waste[[#This Row],[Apportioned biogas (m3)]]/(SUM($O$22:$O$24)), "")</f>
        <v/>
      </c>
      <c r="R81" s="398"/>
      <c r="S81" s="335" t="str">
        <f>IF(Feedstocks!D58&gt;0,Feedstocks!C58,"")</f>
        <v/>
      </c>
      <c r="T81" s="224" t="str">
        <f>IFERROR(IF('Digestion &amp; outputs'!$E$106=0," ",IF(Feedstocks!D58&gt;0,L81, ""))," ")</f>
        <v/>
      </c>
      <c r="V81" s="471" t="str">
        <f>Summary!$B81</f>
        <v/>
      </c>
      <c r="W81" s="475" t="str">
        <f>IF(Feedstocks!D58&gt;0, Final_emissions_waste[[#This Row],[Biomethane Injection (gCO2eq/MJbiomethane)]]*Biogas_produced_waste[[#This Row],[Biogas as a % incl. ineligible]], "")</f>
        <v/>
      </c>
    </row>
    <row r="82" spans="2:23" s="4" customFormat="1" x14ac:dyDescent="0.4">
      <c r="B82" s="506" t="str">
        <f>IF(Feedstocks!$D59&gt;0,Feedstocks!C59,"")</f>
        <v/>
      </c>
      <c r="C82" s="507" t="str">
        <f>IF(Feedstocks!$D59&gt;0, "NA", "")</f>
        <v/>
      </c>
      <c r="D82" s="507" t="str">
        <f>IF(Feedstocks!$D59&gt;0, 'Transport 2'!J2112/'Digestion &amp; outputs'!$K$104, "")</f>
        <v/>
      </c>
      <c r="E82" s="507" t="str">
        <f>IF(Feedstocks!D59&gt;0, "NA", "")</f>
        <v/>
      </c>
      <c r="F82" s="507" t="str">
        <f>IF(Feedstocks!D59&gt;0, "NA", "")</f>
        <v/>
      </c>
      <c r="G82" s="507" t="str">
        <f>IF(Feedstocks!$D59&gt;0, ('Digestion &amp; outputs'!$K$16 + 'Final conversion'!$J$12)/'Digestion &amp; outputs'!$K$104, "")</f>
        <v/>
      </c>
      <c r="H82" s="507" t="str">
        <f>IF(Feedstocks!$D59&gt;0, 0, "")</f>
        <v/>
      </c>
      <c r="I82" s="507" t="str">
        <f>IF(Feedstocks!$D59&gt;0, 'Biomethane transport'!$J$12, "")</f>
        <v/>
      </c>
      <c r="J82" s="509" t="str">
        <f>IF(Feedstocks!D59&gt;0, 'Carbon capture'!$J$12, "")</f>
        <v/>
      </c>
      <c r="K82" s="509" t="str">
        <f>IF(Feedstocks!D59&gt;0, 'Carbon capture'!$J$27, "")</f>
        <v/>
      </c>
      <c r="L82" s="575" t="str">
        <f>IF(Feedstocks!E59&gt;0,Pathway_emissions_wastes[[#This Row],[etd,feedstock]]+Pathway_emissions_wastes[[#This Row],[ep]]+Pathway_emissions_wastes[[#This Row],[etd,product]]+Pathway_emissions_wastes[[#This Row],[eu]]-Pathway_emissions_wastes[[#This Row],[eCCS]]-Pathway_emissions_wastes[[#This Row],[eCCR]],"")</f>
        <v/>
      </c>
      <c r="N82" s="348" t="str">
        <f>Summary!$B82</f>
        <v/>
      </c>
      <c r="O82" s="342" t="str">
        <f>IFERROR(('Digestion &amp; outputs'!G60*'Digestion &amp; outputs'!D60)/'Reference values'!$D$42, "")</f>
        <v/>
      </c>
      <c r="P82" s="455" t="str">
        <f>IFERROR(Biogas_produced_waste[[#This Row],[Apportioned biogas (m3)]]/('Digestion &amp; outputs'!$D$11/'Reference values'!$D$42), "")</f>
        <v/>
      </c>
      <c r="Q82" s="455" t="str">
        <f>IFERROR(Biogas_produced_waste[[#This Row],[Apportioned biogas (m3)]]/(SUM($O$22:$O$24)), "")</f>
        <v/>
      </c>
      <c r="R82" s="398"/>
      <c r="S82" s="335" t="str">
        <f>IF(Feedstocks!D59&gt;0,Feedstocks!C59,"")</f>
        <v/>
      </c>
      <c r="T82" s="224" t="str">
        <f>IFERROR(IF('Digestion &amp; outputs'!$E$106=0," ",IF(Feedstocks!D59&gt;0,L82, ""))," ")</f>
        <v/>
      </c>
      <c r="V82" s="471" t="str">
        <f>Summary!$B82</f>
        <v/>
      </c>
      <c r="W82" s="475" t="str">
        <f>IF(Feedstocks!D59&gt;0, Final_emissions_waste[[#This Row],[Biomethane Injection (gCO2eq/MJbiomethane)]]*Biogas_produced_waste[[#This Row],[Biogas as a % incl. ineligible]], "")</f>
        <v/>
      </c>
    </row>
    <row r="83" spans="2:23" s="4" customFormat="1" x14ac:dyDescent="0.4">
      <c r="B83" s="506" t="str">
        <f>IF(Feedstocks!$D60&gt;0,Feedstocks!C60,"")</f>
        <v/>
      </c>
      <c r="C83" s="507" t="str">
        <f>IF(Feedstocks!$D60&gt;0, "NA", "")</f>
        <v/>
      </c>
      <c r="D83" s="507" t="str">
        <f>IF(Feedstocks!$D60&gt;0, 'Transport 2'!J2162/'Digestion &amp; outputs'!$K$104, "")</f>
        <v/>
      </c>
      <c r="E83" s="507" t="str">
        <f>IF(Feedstocks!D60&gt;0, "NA", "")</f>
        <v/>
      </c>
      <c r="F83" s="507" t="str">
        <f>IF(Feedstocks!D60&gt;0, "NA", "")</f>
        <v/>
      </c>
      <c r="G83" s="507" t="str">
        <f>IF(Feedstocks!$D60&gt;0, ('Digestion &amp; outputs'!$K$16 + 'Final conversion'!$J$12)/'Digestion &amp; outputs'!$K$104, "")</f>
        <v/>
      </c>
      <c r="H83" s="507" t="str">
        <f>IF(Feedstocks!$D60&gt;0, 0, "")</f>
        <v/>
      </c>
      <c r="I83" s="507" t="str">
        <f>IF(Feedstocks!$D60&gt;0, 'Biomethane transport'!$J$12, "")</f>
        <v/>
      </c>
      <c r="J83" s="509" t="str">
        <f>IF(Feedstocks!D60&gt;0, 'Carbon capture'!$J$12, "")</f>
        <v/>
      </c>
      <c r="K83" s="509" t="str">
        <f>IF(Feedstocks!D60&gt;0, 'Carbon capture'!$J$27, "")</f>
        <v/>
      </c>
      <c r="L83" s="575" t="str">
        <f>IF(Feedstocks!E60&gt;0,Pathway_emissions_wastes[[#This Row],[etd,feedstock]]+Pathway_emissions_wastes[[#This Row],[ep]]+Pathway_emissions_wastes[[#This Row],[etd,product]]+Pathway_emissions_wastes[[#This Row],[eu]]-Pathway_emissions_wastes[[#This Row],[eCCS]]-Pathway_emissions_wastes[[#This Row],[eCCR]],"")</f>
        <v/>
      </c>
      <c r="N83" s="348" t="str">
        <f>Summary!$B83</f>
        <v/>
      </c>
      <c r="O83" s="342" t="str">
        <f>IFERROR(('Digestion &amp; outputs'!G61*'Digestion &amp; outputs'!D61)/'Reference values'!$D$42, "")</f>
        <v/>
      </c>
      <c r="P83" s="455" t="str">
        <f>IFERROR(Biogas_produced_waste[[#This Row],[Apportioned biogas (m3)]]/('Digestion &amp; outputs'!$D$11/'Reference values'!$D$42), "")</f>
        <v/>
      </c>
      <c r="Q83" s="455" t="str">
        <f>IFERROR(Biogas_produced_waste[[#This Row],[Apportioned biogas (m3)]]/(SUM($O$22:$O$24)), "")</f>
        <v/>
      </c>
      <c r="R83" s="398"/>
      <c r="S83" s="335" t="str">
        <f>IF(Feedstocks!D60&gt;0,Feedstocks!C60,"")</f>
        <v/>
      </c>
      <c r="T83" s="224" t="str">
        <f>IFERROR(IF('Digestion &amp; outputs'!$E$106=0," ",IF(Feedstocks!D60&gt;0,L83, ""))," ")</f>
        <v/>
      </c>
      <c r="V83" s="471" t="str">
        <f>Summary!$B83</f>
        <v/>
      </c>
      <c r="W83" s="475" t="str">
        <f>IF(Feedstocks!D60&gt;0, Final_emissions_waste[[#This Row],[Biomethane Injection (gCO2eq/MJbiomethane)]]*Biogas_produced_waste[[#This Row],[Biogas as a % incl. ineligible]], "")</f>
        <v/>
      </c>
    </row>
    <row r="84" spans="2:23" s="4" customFormat="1" x14ac:dyDescent="0.4">
      <c r="B84" s="506" t="str">
        <f>IF(Feedstocks!$D61&gt;0,Feedstocks!C61,"")</f>
        <v/>
      </c>
      <c r="C84" s="507" t="str">
        <f>IF(Feedstocks!$D61&gt;0, "NA", "")</f>
        <v/>
      </c>
      <c r="D84" s="507" t="str">
        <f>IF(Feedstocks!$D61&gt;0, 'Transport 2'!J2212/'Digestion &amp; outputs'!$K$104, "")</f>
        <v/>
      </c>
      <c r="E84" s="507" t="str">
        <f>IF(Feedstocks!D61&gt;0, "NA", "")</f>
        <v/>
      </c>
      <c r="F84" s="507" t="str">
        <f>IF(Feedstocks!D61&gt;0, "NA", "")</f>
        <v/>
      </c>
      <c r="G84" s="507" t="str">
        <f>IF(Feedstocks!$D61&gt;0, ('Digestion &amp; outputs'!$K$16 + 'Final conversion'!$J$12)/'Digestion &amp; outputs'!$K$104, "")</f>
        <v/>
      </c>
      <c r="H84" s="507" t="str">
        <f>IF(Feedstocks!$D61&gt;0, 0, "")</f>
        <v/>
      </c>
      <c r="I84" s="507" t="str">
        <f>IF(Feedstocks!$D61&gt;0, 'Biomethane transport'!$J$12, "")</f>
        <v/>
      </c>
      <c r="J84" s="509" t="str">
        <f>IF(Feedstocks!D61&gt;0, 'Carbon capture'!$J$12, "")</f>
        <v/>
      </c>
      <c r="K84" s="509" t="str">
        <f>IF(Feedstocks!D61&gt;0, 'Carbon capture'!$J$27, "")</f>
        <v/>
      </c>
      <c r="L84" s="575" t="str">
        <f>IF(Feedstocks!E61&gt;0,Pathway_emissions_wastes[[#This Row],[etd,feedstock]]+Pathway_emissions_wastes[[#This Row],[ep]]+Pathway_emissions_wastes[[#This Row],[etd,product]]+Pathway_emissions_wastes[[#This Row],[eu]]-Pathway_emissions_wastes[[#This Row],[eCCS]]-Pathway_emissions_wastes[[#This Row],[eCCR]],"")</f>
        <v/>
      </c>
      <c r="N84" s="348" t="str">
        <f>Summary!$B84</f>
        <v/>
      </c>
      <c r="O84" s="342" t="str">
        <f>IFERROR(('Digestion &amp; outputs'!G62*'Digestion &amp; outputs'!D62)/'Reference values'!$D$42, "")</f>
        <v/>
      </c>
      <c r="P84" s="455" t="str">
        <f>IFERROR(Biogas_produced_waste[[#This Row],[Apportioned biogas (m3)]]/('Digestion &amp; outputs'!$D$11/'Reference values'!$D$42), "")</f>
        <v/>
      </c>
      <c r="Q84" s="455" t="str">
        <f>IFERROR(Biogas_produced_waste[[#This Row],[Apportioned biogas (m3)]]/(SUM($O$22:$O$24)), "")</f>
        <v/>
      </c>
      <c r="R84" s="398"/>
      <c r="S84" s="335" t="str">
        <f>IF(Feedstocks!D61&gt;0,Feedstocks!C61,"")</f>
        <v/>
      </c>
      <c r="T84" s="224" t="str">
        <f>IFERROR(IF('Digestion &amp; outputs'!$E$106=0," ",IF(Feedstocks!D61&gt;0,L84, ""))," ")</f>
        <v/>
      </c>
      <c r="V84" s="471" t="str">
        <f>Summary!$B84</f>
        <v/>
      </c>
      <c r="W84" s="475" t="str">
        <f>IF(Feedstocks!D61&gt;0, Final_emissions_waste[[#This Row],[Biomethane Injection (gCO2eq/MJbiomethane)]]*Biogas_produced_waste[[#This Row],[Biogas as a % incl. ineligible]], "")</f>
        <v/>
      </c>
    </row>
    <row r="85" spans="2:23" s="4" customFormat="1" x14ac:dyDescent="0.4">
      <c r="B85" s="506" t="str">
        <f>IF(Feedstocks!$D62&gt;0,Feedstocks!C62,"")</f>
        <v/>
      </c>
      <c r="C85" s="507" t="str">
        <f>IF(Feedstocks!$D62&gt;0, "NA", "")</f>
        <v/>
      </c>
      <c r="D85" s="507" t="str">
        <f>IF(Feedstocks!$D62&gt;0, 'Transport 2'!J2262/'Digestion &amp; outputs'!$K$104, "")</f>
        <v/>
      </c>
      <c r="E85" s="507" t="str">
        <f>IF(Feedstocks!D62&gt;0, "NA", "")</f>
        <v/>
      </c>
      <c r="F85" s="507" t="str">
        <f>IF(Feedstocks!D62&gt;0, "NA", "")</f>
        <v/>
      </c>
      <c r="G85" s="507" t="str">
        <f>IF(Feedstocks!$D62&gt;0, ('Digestion &amp; outputs'!$K$16 + 'Final conversion'!$J$12)/'Digestion &amp; outputs'!$K$104, "")</f>
        <v/>
      </c>
      <c r="H85" s="507" t="str">
        <f>IF(Feedstocks!$D62&gt;0, 0, "")</f>
        <v/>
      </c>
      <c r="I85" s="507" t="str">
        <f>IF(Feedstocks!$D62&gt;0, 'Biomethane transport'!$J$12, "")</f>
        <v/>
      </c>
      <c r="J85" s="509" t="str">
        <f>IF(Feedstocks!D62&gt;0, 'Carbon capture'!$J$12, "")</f>
        <v/>
      </c>
      <c r="K85" s="509" t="str">
        <f>IF(Feedstocks!D62&gt;0, 'Carbon capture'!$J$27, "")</f>
        <v/>
      </c>
      <c r="L85" s="575" t="str">
        <f>IF(Feedstocks!E62&gt;0,Pathway_emissions_wastes[[#This Row],[etd,feedstock]]+Pathway_emissions_wastes[[#This Row],[ep]]+Pathway_emissions_wastes[[#This Row],[etd,product]]+Pathway_emissions_wastes[[#This Row],[eu]]-Pathway_emissions_wastes[[#This Row],[eCCS]]-Pathway_emissions_wastes[[#This Row],[eCCR]],"")</f>
        <v/>
      </c>
      <c r="N85" s="348" t="str">
        <f>Summary!$B85</f>
        <v/>
      </c>
      <c r="O85" s="342" t="str">
        <f>IFERROR(('Digestion &amp; outputs'!G63*'Digestion &amp; outputs'!D63)/'Reference values'!$D$42, "")</f>
        <v/>
      </c>
      <c r="P85" s="455" t="str">
        <f>IFERROR(Biogas_produced_waste[[#This Row],[Apportioned biogas (m3)]]/('Digestion &amp; outputs'!$D$11/'Reference values'!$D$42), "")</f>
        <v/>
      </c>
      <c r="Q85" s="455" t="str">
        <f>IFERROR(Biogas_produced_waste[[#This Row],[Apportioned biogas (m3)]]/(SUM($O$22:$O$24)), "")</f>
        <v/>
      </c>
      <c r="R85" s="398"/>
      <c r="S85" s="335" t="str">
        <f>IF(Feedstocks!D62&gt;0,Feedstocks!C62,"")</f>
        <v/>
      </c>
      <c r="T85" s="224" t="str">
        <f>IFERROR(IF('Digestion &amp; outputs'!$E$106=0," ",IF(Feedstocks!D62&gt;0,L85, ""))," ")</f>
        <v/>
      </c>
      <c r="V85" s="471" t="str">
        <f>Summary!$B85</f>
        <v/>
      </c>
      <c r="W85" s="475" t="str">
        <f>IF(Feedstocks!D62&gt;0, Final_emissions_waste[[#This Row],[Biomethane Injection (gCO2eq/MJbiomethane)]]*Biogas_produced_waste[[#This Row],[Biogas as a % incl. ineligible]], "")</f>
        <v/>
      </c>
    </row>
    <row r="86" spans="2:23" s="4" customFormat="1" x14ac:dyDescent="0.4">
      <c r="B86" s="506" t="str">
        <f>IF(Feedstocks!$D63&gt;0,Feedstocks!C63,"")</f>
        <v/>
      </c>
      <c r="C86" s="507" t="str">
        <f>IF(Feedstocks!$D63&gt;0, "NA", "")</f>
        <v/>
      </c>
      <c r="D86" s="507" t="str">
        <f>IF(Feedstocks!$D63&gt;0, 'Transport 2'!J2312/'Digestion &amp; outputs'!$K$104, "")</f>
        <v/>
      </c>
      <c r="E86" s="507" t="str">
        <f>IF(Feedstocks!D63&gt;0, "NA", "")</f>
        <v/>
      </c>
      <c r="F86" s="507" t="str">
        <f>IF(Feedstocks!D63&gt;0, "NA", "")</f>
        <v/>
      </c>
      <c r="G86" s="507" t="str">
        <f>IF(Feedstocks!$D63&gt;0, ('Digestion &amp; outputs'!$K$16 + 'Final conversion'!$J$12)/'Digestion &amp; outputs'!$K$104, "")</f>
        <v/>
      </c>
      <c r="H86" s="507" t="str">
        <f>IF(Feedstocks!$D63&gt;0, 0, "")</f>
        <v/>
      </c>
      <c r="I86" s="507" t="str">
        <f>IF(Feedstocks!$D63&gt;0, 'Biomethane transport'!$J$12, "")</f>
        <v/>
      </c>
      <c r="J86" s="509" t="str">
        <f>IF(Feedstocks!D63&gt;0, 'Carbon capture'!$J$12, "")</f>
        <v/>
      </c>
      <c r="K86" s="509" t="str">
        <f>IF(Feedstocks!D63&gt;0, 'Carbon capture'!$J$27, "")</f>
        <v/>
      </c>
      <c r="L86" s="575" t="str">
        <f>IF(Feedstocks!E63&gt;0,Pathway_emissions_wastes[[#This Row],[etd,feedstock]]+Pathway_emissions_wastes[[#This Row],[ep]]+Pathway_emissions_wastes[[#This Row],[etd,product]]+Pathway_emissions_wastes[[#This Row],[eu]]-Pathway_emissions_wastes[[#This Row],[eCCS]]-Pathway_emissions_wastes[[#This Row],[eCCR]],"")</f>
        <v/>
      </c>
      <c r="N86" s="348" t="str">
        <f>Summary!$B86</f>
        <v/>
      </c>
      <c r="O86" s="470" t="str">
        <f>IFERROR(('Digestion &amp; outputs'!G64*'Digestion &amp; outputs'!D64)/'Reference values'!$D$42, "")</f>
        <v/>
      </c>
      <c r="P86" s="455" t="str">
        <f>IFERROR(Biogas_produced_waste[[#This Row],[Apportioned biogas (m3)]]/('Digestion &amp; outputs'!$D$11/'Reference values'!$D$42), "")</f>
        <v/>
      </c>
      <c r="Q86" s="455" t="str">
        <f>IFERROR(Biogas_produced_waste[[#This Row],[Apportioned biogas (m3)]]/(SUM($O$22:$O$24)), "")</f>
        <v/>
      </c>
      <c r="R86" s="398"/>
      <c r="S86" s="335" t="str">
        <f>IF(Feedstocks!D63&gt;0,Feedstocks!C63,"")</f>
        <v/>
      </c>
      <c r="T86" s="224" t="str">
        <f>IFERROR(IF('Digestion &amp; outputs'!$E$106=0," ",IF(Feedstocks!D63&gt;0,L86, ""))," ")</f>
        <v/>
      </c>
      <c r="V86" s="471" t="str">
        <f>Summary!$B86</f>
        <v/>
      </c>
      <c r="W86" s="475" t="str">
        <f>IF(Feedstocks!D63&gt;0, Final_emissions_waste[[#This Row],[Biomethane Injection (gCO2eq/MJbiomethane)]]*Biogas_produced_waste[[#This Row],[Biogas as a % incl. ineligible]], "")</f>
        <v/>
      </c>
    </row>
    <row r="87" spans="2:23" s="4" customFormat="1" x14ac:dyDescent="0.4">
      <c r="B87" s="506" t="str">
        <f>IF(Feedstocks!$D64&gt;0,Feedstocks!C64,"")</f>
        <v/>
      </c>
      <c r="C87" s="507" t="str">
        <f>IF(Feedstocks!$D64&gt;0, "NA", "")</f>
        <v/>
      </c>
      <c r="D87" s="507" t="str">
        <f>IF(Feedstocks!$D64&gt;0, 'Transport 2'!J2362/'Digestion &amp; outputs'!$K$104, "")</f>
        <v/>
      </c>
      <c r="E87" s="507" t="str">
        <f>IF(Feedstocks!D64&gt;0, "NA", "")</f>
        <v/>
      </c>
      <c r="F87" s="507" t="str">
        <f>IF(Feedstocks!D64&gt;0, "NA", "")</f>
        <v/>
      </c>
      <c r="G87" s="507" t="str">
        <f>IF(Feedstocks!$D64&gt;0, ('Digestion &amp; outputs'!$K$16 + 'Final conversion'!$J$12)/'Digestion &amp; outputs'!$K$104, "")</f>
        <v/>
      </c>
      <c r="H87" s="507" t="str">
        <f>IF(Feedstocks!$D64&gt;0, 0, "")</f>
        <v/>
      </c>
      <c r="I87" s="507" t="str">
        <f>IF(Feedstocks!$D64&gt;0, 'Biomethane transport'!$J$12, "")</f>
        <v/>
      </c>
      <c r="J87" s="509" t="str">
        <f>IF(Feedstocks!D64&gt;0, 'Carbon capture'!$J$12, "")</f>
        <v/>
      </c>
      <c r="K87" s="509" t="str">
        <f>IF(Feedstocks!D64&gt;0, 'Carbon capture'!$J$27, "")</f>
        <v/>
      </c>
      <c r="L87" s="575" t="str">
        <f>IF(Feedstocks!E64&gt;0,Pathway_emissions_wastes[[#This Row],[etd,feedstock]]+Pathway_emissions_wastes[[#This Row],[ep]]+Pathway_emissions_wastes[[#This Row],[etd,product]]+Pathway_emissions_wastes[[#This Row],[eu]]-Pathway_emissions_wastes[[#This Row],[eCCS]]-Pathway_emissions_wastes[[#This Row],[eCCR]],"")</f>
        <v/>
      </c>
      <c r="N87" s="348" t="str">
        <f>Summary!$B87</f>
        <v/>
      </c>
      <c r="O87" s="470" t="str">
        <f>IFERROR(('Digestion &amp; outputs'!G65*'Digestion &amp; outputs'!D65)/'Reference values'!$D$42, "")</f>
        <v/>
      </c>
      <c r="P87" s="455" t="str">
        <f>IFERROR(Biogas_produced_waste[[#This Row],[Apportioned biogas (m3)]]/('Digestion &amp; outputs'!$D$11/'Reference values'!$D$42), "")</f>
        <v/>
      </c>
      <c r="Q87" s="455" t="str">
        <f>IFERROR(Biogas_produced_waste[[#This Row],[Apportioned biogas (m3)]]/(SUM($O$22:$O$24)), "")</f>
        <v/>
      </c>
      <c r="R87" s="398"/>
      <c r="S87" s="335" t="str">
        <f>IF(Feedstocks!D64&gt;0,Feedstocks!C64,"")</f>
        <v/>
      </c>
      <c r="T87" s="224" t="str">
        <f>IFERROR(IF('Digestion &amp; outputs'!$E$106=0," ",IF(Feedstocks!D64&gt;0,L87, ""))," ")</f>
        <v/>
      </c>
      <c r="V87" s="471" t="str">
        <f>Summary!$B87</f>
        <v/>
      </c>
      <c r="W87" s="475" t="str">
        <f>IF(Feedstocks!D64&gt;0, Final_emissions_waste[[#This Row],[Biomethane Injection (gCO2eq/MJbiomethane)]]*Biogas_produced_waste[[#This Row],[Biogas as a % incl. ineligible]], "")</f>
        <v/>
      </c>
    </row>
    <row r="88" spans="2:23" s="4" customFormat="1" x14ac:dyDescent="0.4">
      <c r="B88" s="506" t="str">
        <f>IF(Feedstocks!$D65&gt;0,Feedstocks!C65,"")</f>
        <v/>
      </c>
      <c r="C88" s="507" t="str">
        <f>IF(Feedstocks!$D65&gt;0, "NA", "")</f>
        <v/>
      </c>
      <c r="D88" s="507" t="str">
        <f>IF(Feedstocks!$D65&gt;0, 'Transport 2'!J2412/'Digestion &amp; outputs'!$K$104, "")</f>
        <v/>
      </c>
      <c r="E88" s="507" t="str">
        <f>IF(Feedstocks!D65&gt;0, "NA", "")</f>
        <v/>
      </c>
      <c r="F88" s="507" t="str">
        <f>IF(Feedstocks!D65&gt;0, "NA", "")</f>
        <v/>
      </c>
      <c r="G88" s="507" t="str">
        <f>IF(Feedstocks!$D65&gt;0, ('Digestion &amp; outputs'!$K$16 + 'Final conversion'!$J$12)/'Digestion &amp; outputs'!$K$104, "")</f>
        <v/>
      </c>
      <c r="H88" s="507" t="str">
        <f>IF(Feedstocks!$D65&gt;0, 0, "")</f>
        <v/>
      </c>
      <c r="I88" s="507" t="str">
        <f>IF(Feedstocks!$D65&gt;0, 'Biomethane transport'!$J$12, "")</f>
        <v/>
      </c>
      <c r="J88" s="509" t="str">
        <f>IF(Feedstocks!D65&gt;0, 'Carbon capture'!$J$12, "")</f>
        <v/>
      </c>
      <c r="K88" s="509" t="str">
        <f>IF(Feedstocks!D65&gt;0, 'Carbon capture'!$J$27, "")</f>
        <v/>
      </c>
      <c r="L88" s="575" t="str">
        <f>IF(Feedstocks!E65&gt;0,Pathway_emissions_wastes[[#This Row],[etd,feedstock]]+Pathway_emissions_wastes[[#This Row],[ep]]+Pathway_emissions_wastes[[#This Row],[etd,product]]+Pathway_emissions_wastes[[#This Row],[eu]]-Pathway_emissions_wastes[[#This Row],[eCCS]]-Pathway_emissions_wastes[[#This Row],[eCCR]],"")</f>
        <v/>
      </c>
      <c r="N88" s="348" t="str">
        <f>Summary!$B88</f>
        <v/>
      </c>
      <c r="O88" s="470" t="str">
        <f>IFERROR(('Digestion &amp; outputs'!G66*'Digestion &amp; outputs'!D66)/'Reference values'!$D$42, "")</f>
        <v/>
      </c>
      <c r="P88" s="455" t="str">
        <f>IFERROR(Biogas_produced_waste[[#This Row],[Apportioned biogas (m3)]]/('Digestion &amp; outputs'!$D$11/'Reference values'!$D$42), "")</f>
        <v/>
      </c>
      <c r="Q88" s="455" t="str">
        <f>IFERROR(Biogas_produced_waste[[#This Row],[Apportioned biogas (m3)]]/(SUM($O$22:$O$24)), "")</f>
        <v/>
      </c>
      <c r="R88" s="398"/>
      <c r="S88" s="335" t="str">
        <f>IF(Feedstocks!D65&gt;0,Feedstocks!C65,"")</f>
        <v/>
      </c>
      <c r="T88" s="224" t="str">
        <f>IFERROR(IF('Digestion &amp; outputs'!$E$106=0," ",IF(Feedstocks!D65&gt;0,L88, ""))," ")</f>
        <v/>
      </c>
      <c r="V88" s="471" t="str">
        <f>Summary!$B88</f>
        <v/>
      </c>
      <c r="W88" s="475" t="str">
        <f>IF(Feedstocks!D65&gt;0, Final_emissions_waste[[#This Row],[Biomethane Injection (gCO2eq/MJbiomethane)]]*Biogas_produced_waste[[#This Row],[Biogas as a % incl. ineligible]], "")</f>
        <v/>
      </c>
    </row>
    <row r="89" spans="2:23" s="4" customFormat="1" x14ac:dyDescent="0.4">
      <c r="B89" s="576" t="str">
        <f>IF(Feedstocks!$D66&gt;0,Feedstocks!C66,"")</f>
        <v/>
      </c>
      <c r="C89" s="577" t="str">
        <f>IF(Feedstocks!$D66&gt;0, "NA", "")</f>
        <v/>
      </c>
      <c r="D89" s="577" t="str">
        <f>IF(Feedstocks!$D66&gt;0, 'Transport 2'!J2462/'Digestion &amp; outputs'!$K$104, "")</f>
        <v/>
      </c>
      <c r="E89" s="577" t="str">
        <f>IF(Feedstocks!D66&gt;0, "NA", "")</f>
        <v/>
      </c>
      <c r="F89" s="577" t="str">
        <f>IF(Feedstocks!D66&gt;0, "NA", "")</f>
        <v/>
      </c>
      <c r="G89" s="507" t="str">
        <f>IF(Feedstocks!$D66&gt;0, ('Digestion &amp; outputs'!$K$16 + 'Final conversion'!$J$12)/'Digestion &amp; outputs'!$K$104, "")</f>
        <v/>
      </c>
      <c r="H89" s="577" t="str">
        <f>IF(Feedstocks!$D66&gt;0, 0, "")</f>
        <v/>
      </c>
      <c r="I89" s="507" t="str">
        <f>IF(Feedstocks!$D66&gt;0, 'Biomethane transport'!$J$12, "")</f>
        <v/>
      </c>
      <c r="J89" s="509" t="str">
        <f>IF(Feedstocks!D66&gt;0, 'Carbon capture'!$J$12, "")</f>
        <v/>
      </c>
      <c r="K89" s="509" t="str">
        <f>IF(Feedstocks!D66&gt;0, 'Carbon capture'!$J$27, "")</f>
        <v/>
      </c>
      <c r="L89" s="575" t="str">
        <f>IF(Feedstocks!E66&gt;0,Pathway_emissions_wastes[[#This Row],[etd,feedstock]]+Pathway_emissions_wastes[[#This Row],[ep]]+Pathway_emissions_wastes[[#This Row],[etd,product]]+Pathway_emissions_wastes[[#This Row],[eu]]-Pathway_emissions_wastes[[#This Row],[eCCS]]-Pathway_emissions_wastes[[#This Row],[eCCR]],"")</f>
        <v/>
      </c>
      <c r="N89" s="348" t="str">
        <f>Summary!$B89</f>
        <v/>
      </c>
      <c r="O89" s="470" t="str">
        <f>IFERROR(('Digestion &amp; outputs'!G67*'Digestion &amp; outputs'!D67)/'Reference values'!$D$42, "")</f>
        <v/>
      </c>
      <c r="P89" s="455" t="str">
        <f>IFERROR(Biogas_produced_waste[[#This Row],[Apportioned biogas (m3)]]/('Digestion &amp; outputs'!$D$11/'Reference values'!$D$42), "")</f>
        <v/>
      </c>
      <c r="Q89" s="455" t="str">
        <f>IFERROR(Biogas_produced_waste[[#This Row],[Apportioned biogas (m3)]]/(SUM($O$22:$O$24)), "")</f>
        <v/>
      </c>
      <c r="R89" s="398"/>
      <c r="S89" s="335" t="str">
        <f>IF(Feedstocks!D66&gt;0,Feedstocks!C66,"")</f>
        <v/>
      </c>
      <c r="T89" s="224" t="str">
        <f>IFERROR(IF('Digestion &amp; outputs'!$E$106=0," ",IF(Feedstocks!D66&gt;0,L89, ""))," ")</f>
        <v/>
      </c>
      <c r="V89" s="473" t="str">
        <f>Summary!$B89</f>
        <v/>
      </c>
      <c r="W89" s="476" t="str">
        <f>IF(Feedstocks!D66&gt;0, Final_emissions_waste[[#This Row],[Biomethane Injection (gCO2eq/MJbiomethane)]]*Biogas_produced_waste[[#This Row],[Biogas as a % incl. ineligible]], "")</f>
        <v/>
      </c>
    </row>
    <row r="90" spans="2:23" s="4" customFormat="1" x14ac:dyDescent="0.4">
      <c r="B90" s="334" t="s">
        <v>73</v>
      </c>
      <c r="R90" s="399"/>
    </row>
    <row r="91" spans="2:23" s="4" customFormat="1" x14ac:dyDescent="0.4">
      <c r="B91" s="334"/>
      <c r="R91" s="399"/>
    </row>
    <row r="92" spans="2:23" s="4" customFormat="1" x14ac:dyDescent="0.4">
      <c r="B92" s="722" t="s">
        <v>80</v>
      </c>
      <c r="C92" s="723"/>
      <c r="D92" s="723"/>
      <c r="E92" s="723"/>
      <c r="F92" s="723"/>
      <c r="G92" s="723"/>
      <c r="H92" s="723"/>
      <c r="I92" s="723"/>
      <c r="J92" s="723"/>
      <c r="K92" s="723"/>
      <c r="L92" s="724"/>
      <c r="N92" s="719" t="s">
        <v>81</v>
      </c>
      <c r="O92" s="725"/>
      <c r="P92" s="725"/>
      <c r="Q92" s="726"/>
      <c r="R92" s="399"/>
      <c r="S92" s="727" t="s">
        <v>58</v>
      </c>
      <c r="T92" s="727"/>
      <c r="V92" s="711" t="s">
        <v>59</v>
      </c>
      <c r="W92" s="711"/>
    </row>
    <row r="93" spans="2:23" s="4" customFormat="1" ht="35.25" customHeight="1" x14ac:dyDescent="0.4">
      <c r="B93" s="579" t="s">
        <v>60</v>
      </c>
      <c r="C93" s="552" t="s">
        <v>61</v>
      </c>
      <c r="D93" s="552" t="s">
        <v>62</v>
      </c>
      <c r="E93" s="552" t="s">
        <v>63</v>
      </c>
      <c r="F93" s="552" t="s">
        <v>64</v>
      </c>
      <c r="G93" s="552" t="s">
        <v>65</v>
      </c>
      <c r="H93" s="552" t="s">
        <v>66</v>
      </c>
      <c r="I93" s="552" t="s">
        <v>67</v>
      </c>
      <c r="J93" s="584" t="s">
        <v>76</v>
      </c>
      <c r="K93" s="584" t="s">
        <v>77</v>
      </c>
      <c r="L93" s="578" t="s">
        <v>70</v>
      </c>
      <c r="M93" s="482"/>
      <c r="N93" s="580" t="s">
        <v>60</v>
      </c>
      <c r="O93" s="480" t="s">
        <v>47</v>
      </c>
      <c r="P93" s="480" t="s">
        <v>48</v>
      </c>
      <c r="Q93" s="481" t="s">
        <v>49</v>
      </c>
      <c r="R93" s="483"/>
      <c r="S93" s="581" t="s">
        <v>60</v>
      </c>
      <c r="T93" s="479" t="s">
        <v>71</v>
      </c>
      <c r="U93" s="482"/>
      <c r="V93" s="580" t="s">
        <v>60</v>
      </c>
      <c r="W93" s="481" t="s">
        <v>72</v>
      </c>
    </row>
    <row r="94" spans="2:23" s="4" customFormat="1" x14ac:dyDescent="0.4">
      <c r="B94" s="506" t="str">
        <f>IF(Feedstocks!D70&gt;0,Feedstocks!C70,"")</f>
        <v/>
      </c>
      <c r="C94" s="507" t="str">
        <f>IF(Feedstocks!$D70&gt;0, "NA", "")</f>
        <v/>
      </c>
      <c r="D94" s="507" t="str">
        <f>IF(Feedstocks!$D70&gt;0, 'Transport 2'!$J$2512/'Digestion &amp; outputs'!$K$104, "")</f>
        <v/>
      </c>
      <c r="E94" s="507" t="str">
        <f>IF(Feedstocks!D70&gt;0,"NA","")</f>
        <v/>
      </c>
      <c r="F94" s="507" t="str">
        <f>IF(Feedstocks!D70&gt;0,'Manure credits'!L12/'Digestion &amp; outputs'!$K$104,"")</f>
        <v/>
      </c>
      <c r="G94" s="507" t="str">
        <f>IF(Feedstocks!$D70&gt;0, ('Digestion &amp; outputs'!$K$16 + 'Final conversion'!$J$12)/'Digestion &amp; outputs'!$K$104, "")</f>
        <v/>
      </c>
      <c r="H94" s="507" t="str">
        <f>IF(Feedstocks!$D70&gt;0, , "")</f>
        <v/>
      </c>
      <c r="I94" s="507" t="str">
        <f>IF(Feedstocks!$D70&gt;0, 'Biomethane transport'!$J$12, "")</f>
        <v/>
      </c>
      <c r="J94" s="508" t="str">
        <f>IF(Feedstocks!D70&gt;0, 'Carbon capture'!$J$12, "")</f>
        <v/>
      </c>
      <c r="K94" s="509" t="str">
        <f>IF(Feedstocks!D70&gt;0, 'Carbon capture'!$J$27, "")</f>
        <v/>
      </c>
      <c r="L94" s="567" t="str">
        <f>IF(Feedstocks!E70&gt;0,Pathway_emissions_manure[[#This Row],[etd,feedstock]]-Pathway_emissions_manure[[#This Row],[esca]]+Pathway_emissions_manure[[#This Row],[ep]]+Pathway_emissions_manure[[#This Row],[etd,product]]+Pathway_emissions_manure[[#This Row],[eu]]-Pathway_emissions_manure[[#This Row],[eCCS]]-Pathway_emissions_manure[[#This Row],[eCCR]],"")</f>
        <v/>
      </c>
      <c r="N94" s="463" t="str">
        <f>B94</f>
        <v/>
      </c>
      <c r="O94" s="461" t="str">
        <f>IFERROR(('Digestion &amp; outputs'!G69*'Digestion &amp; outputs'!D69)/'Reference values'!$D$42, "")</f>
        <v/>
      </c>
      <c r="P94" s="462" t="str">
        <f>IFERROR(Biogas_produced_manures[[#This Row],[Apportioned biogas (m3)]]/('Digestion &amp; outputs'!$D$11/'Reference values'!$D$42), "")</f>
        <v/>
      </c>
      <c r="Q94" s="464" t="str">
        <f>IFERROR(Biogas_produced_manures[[#This Row],[Apportioned biogas (m3)]]/(SUM($O$22:$O$24)), "")</f>
        <v/>
      </c>
      <c r="R94" s="398"/>
      <c r="S94" s="449" t="str">
        <f>IF(Feedstocks!D70&gt;0,Feedstocks!C70,"")</f>
        <v/>
      </c>
      <c r="T94" s="459" t="str">
        <f>IFERROR(IF('Digestion &amp; outputs'!$E$106=0," ",IF(Feedstocks!D70&gt;0,L94, ""))," ")</f>
        <v/>
      </c>
      <c r="V94" s="471" t="str">
        <f>Summary!$B94</f>
        <v/>
      </c>
      <c r="W94" s="475" t="str">
        <f>IF(Feedstocks!D70&gt;1, Summary!T94*Summary!P94, "")</f>
        <v/>
      </c>
    </row>
    <row r="95" spans="2:23" s="4" customFormat="1" x14ac:dyDescent="0.4">
      <c r="B95" s="506" t="str">
        <f>IF(Feedstocks!D71&gt;0,Feedstocks!C71,"")</f>
        <v/>
      </c>
      <c r="C95" s="507" t="str">
        <f>IF(Feedstocks!$D71&gt;0, "NA", "")</f>
        <v/>
      </c>
      <c r="D95" s="507" t="str">
        <f>IF(Feedstocks!$D71&gt;0, 'Transport 2'!$J$2562/'Digestion &amp; outputs'!$K$104, "")</f>
        <v/>
      </c>
      <c r="E95" s="507" t="str">
        <f>IF(Feedstocks!D71&gt;0,"NA","")</f>
        <v/>
      </c>
      <c r="F95" s="507" t="str">
        <f>IF(Feedstocks!D71&gt;0,'Manure credits'!L13/'Digestion &amp; outputs'!$K$104,"")</f>
        <v/>
      </c>
      <c r="G95" s="507" t="str">
        <f>IF(Feedstocks!$D71&gt;0, ('Digestion &amp; outputs'!$K$16 + 'Final conversion'!$J$12)/'Digestion &amp; outputs'!$K$104, "")</f>
        <v/>
      </c>
      <c r="H95" s="507" t="str">
        <f>IF(Feedstocks!$D71&gt;0, , "")</f>
        <v/>
      </c>
      <c r="I95" s="507" t="str">
        <f>IF(Feedstocks!$D71&gt;0, 'Biomethane transport'!$J$12, "")</f>
        <v/>
      </c>
      <c r="J95" s="508" t="str">
        <f>IF(Feedstocks!D71&gt;0, 'Carbon capture'!$J$12, "")</f>
        <v/>
      </c>
      <c r="K95" s="509" t="str">
        <f>IF(Feedstocks!D71&gt;0, 'Carbon capture'!$J$27, "")</f>
        <v/>
      </c>
      <c r="L95" s="567" t="str">
        <f>IF(Feedstocks!E71&gt;0,Pathway_emissions_manure[[#This Row],[etd,feedstock]]-Pathway_emissions_manure[[#This Row],[esca]]+Pathway_emissions_manure[[#This Row],[ep]]+Pathway_emissions_manure[[#This Row],[etd,product]]+Pathway_emissions_manure[[#This Row],[eu]]-Pathway_emissions_manure[[#This Row],[eCCS]]-Pathway_emissions_manure[[#This Row],[eCCR]],"")</f>
        <v/>
      </c>
      <c r="N95" s="463" t="str">
        <f>B95</f>
        <v/>
      </c>
      <c r="O95" s="461" t="str">
        <f>IFERROR(('Digestion &amp; outputs'!G70*'Digestion &amp; outputs'!D70)/'Reference values'!$D$42, "")</f>
        <v/>
      </c>
      <c r="P95" s="462" t="str">
        <f>IFERROR(Biogas_produced_manures[[#This Row],[Apportioned biogas (m3)]]/('Digestion &amp; outputs'!$D$11/'Reference values'!$D$42), "")</f>
        <v/>
      </c>
      <c r="Q95" s="464" t="str">
        <f>IFERROR(Biogas_produced_manures[[#This Row],[Apportioned biogas (m3)]]/(SUM($O$22:$O$24)), "")</f>
        <v/>
      </c>
      <c r="R95" s="398"/>
      <c r="S95" s="449" t="str">
        <f>IF(Feedstocks!D71&gt;0,Feedstocks!C71,"")</f>
        <v/>
      </c>
      <c r="T95" s="459" t="str">
        <f>IFERROR(IF('Digestion &amp; outputs'!$E$106=0," ",IF(Feedstocks!D71&gt;0,L95, ""))," ")</f>
        <v/>
      </c>
      <c r="V95" s="471" t="str">
        <f>Summary!$B95</f>
        <v/>
      </c>
      <c r="W95" s="475" t="str">
        <f>IF(Feedstocks!D71&gt;1, Summary!T95*Summary!P95, "")</f>
        <v/>
      </c>
    </row>
    <row r="96" spans="2:23" s="4" customFormat="1" x14ac:dyDescent="0.4">
      <c r="B96" s="506" t="str">
        <f>IF(Feedstocks!D72&gt;0,Feedstocks!C72,"")</f>
        <v/>
      </c>
      <c r="C96" s="507" t="str">
        <f>IF(Feedstocks!$D72&gt;0, "NA", "")</f>
        <v/>
      </c>
      <c r="D96" s="507" t="str">
        <f>IF(Feedstocks!$D72&gt;0, 'Transport 2'!$J$2612/'Digestion &amp; outputs'!$K$104, "")</f>
        <v/>
      </c>
      <c r="E96" s="507" t="str">
        <f>IF(Feedstocks!D72&gt;0,"NA","")</f>
        <v/>
      </c>
      <c r="F96" s="507" t="str">
        <f>IF(Feedstocks!D72&gt;0,'Manure credits'!L14/'Digestion &amp; outputs'!$K$104,"")</f>
        <v/>
      </c>
      <c r="G96" s="507" t="str">
        <f>IF(Feedstocks!$D72&gt;0, ('Digestion &amp; outputs'!$K$16 + 'Final conversion'!$J$12)/'Digestion &amp; outputs'!$K$104, "")</f>
        <v/>
      </c>
      <c r="H96" s="507" t="str">
        <f>IF(Feedstocks!$D72&gt;0, , "")</f>
        <v/>
      </c>
      <c r="I96" s="507" t="str">
        <f>IF(Feedstocks!$D72&gt;0, 'Biomethane transport'!$J$12, "")</f>
        <v/>
      </c>
      <c r="J96" s="508" t="str">
        <f>IF(Feedstocks!D72&gt;0, 'Carbon capture'!$J$12, "")</f>
        <v/>
      </c>
      <c r="K96" s="509" t="str">
        <f>IF(Feedstocks!D72&gt;0, 'Carbon capture'!$J$27, "")</f>
        <v/>
      </c>
      <c r="L96" s="567" t="str">
        <f>IF(Feedstocks!E72&gt;0,Pathway_emissions_manure[[#This Row],[etd,feedstock]]-Pathway_emissions_manure[[#This Row],[esca]]+Pathway_emissions_manure[[#This Row],[ep]]+Pathway_emissions_manure[[#This Row],[etd,product]]+Pathway_emissions_manure[[#This Row],[eu]]-Pathway_emissions_manure[[#This Row],[eCCS]]-Pathway_emissions_manure[[#This Row],[eCCR]],"")</f>
        <v/>
      </c>
      <c r="N96" s="463" t="str">
        <f>B96</f>
        <v/>
      </c>
      <c r="O96" s="461" t="str">
        <f>IFERROR(('Digestion &amp; outputs'!G71*'Digestion &amp; outputs'!D71)/'Reference values'!$D$42, "")</f>
        <v/>
      </c>
      <c r="P96" s="462" t="str">
        <f>IFERROR(Biogas_produced_manures[[#This Row],[Apportioned biogas (m3)]]/('Digestion &amp; outputs'!$D$11/'Reference values'!$D$42), "")</f>
        <v/>
      </c>
      <c r="Q96" s="464" t="str">
        <f>IFERROR(Biogas_produced_manures[[#This Row],[Apportioned biogas (m3)]]/(SUM($O$22:$O$24)), "")</f>
        <v/>
      </c>
      <c r="R96" s="398"/>
      <c r="S96" s="449" t="str">
        <f>IF(Feedstocks!D72&gt;0,Feedstocks!C72,"")</f>
        <v/>
      </c>
      <c r="T96" s="459" t="str">
        <f>IFERROR(IF('Digestion &amp; outputs'!$E$106=0," ",IF(Feedstocks!D72&gt;0,L96, ""))," ")</f>
        <v/>
      </c>
      <c r="V96" s="471" t="str">
        <f>Summary!$B96</f>
        <v/>
      </c>
      <c r="W96" s="475" t="str">
        <f>IF(Feedstocks!D72&gt;1, Summary!T96*Summary!P96, "")</f>
        <v/>
      </c>
    </row>
    <row r="97" spans="2:23" s="4" customFormat="1" x14ac:dyDescent="0.4">
      <c r="B97" s="506" t="str">
        <f>IF(Feedstocks!D73&gt;0,Feedstocks!C73,"")</f>
        <v/>
      </c>
      <c r="C97" s="507" t="str">
        <f>IF(Feedstocks!$D73&gt;0, "NA", "")</f>
        <v/>
      </c>
      <c r="D97" s="507" t="str">
        <f>IF(Feedstocks!$D73&gt;0, 'Transport 2'!$J$2662/'Digestion &amp; outputs'!$K$104, "")</f>
        <v/>
      </c>
      <c r="E97" s="507" t="str">
        <f>IF(Feedstocks!D73&gt;0,"NA","")</f>
        <v/>
      </c>
      <c r="F97" s="507" t="str">
        <f>IF(Feedstocks!D73&gt;0,'Manure credits'!L15/'Digestion &amp; outputs'!$K$104,"")</f>
        <v/>
      </c>
      <c r="G97" s="507" t="str">
        <f>IF(Feedstocks!$D73&gt;0, ('Digestion &amp; outputs'!$K$16 + 'Final conversion'!$J$12)/'Digestion &amp; outputs'!$K$104, "")</f>
        <v/>
      </c>
      <c r="H97" s="507" t="str">
        <f>IF(Feedstocks!$D73&gt;0, , "")</f>
        <v/>
      </c>
      <c r="I97" s="507" t="str">
        <f>IF(Feedstocks!$D73&gt;0, 'Biomethane transport'!$J$12, "")</f>
        <v/>
      </c>
      <c r="J97" s="508" t="str">
        <f>IF(Feedstocks!D73&gt;0, 'Carbon capture'!$J$12, "")</f>
        <v/>
      </c>
      <c r="K97" s="509" t="str">
        <f>IF(Feedstocks!D73&gt;0, 'Carbon capture'!$J$27, "")</f>
        <v/>
      </c>
      <c r="L97" s="567" t="str">
        <f>IF(Feedstocks!E73&gt;0,Pathway_emissions_manure[[#This Row],[etd,feedstock]]-Pathway_emissions_manure[[#This Row],[esca]]+Pathway_emissions_manure[[#This Row],[ep]]+Pathway_emissions_manure[[#This Row],[etd,product]]+Pathway_emissions_manure[[#This Row],[eu]]-Pathway_emissions_manure[[#This Row],[eCCS]]-Pathway_emissions_manure[[#This Row],[eCCR]],"")</f>
        <v/>
      </c>
      <c r="N97" s="463" t="str">
        <f>B97</f>
        <v/>
      </c>
      <c r="O97" s="461" t="str">
        <f>IFERROR(('Digestion &amp; outputs'!G72*'Digestion &amp; outputs'!D72)/'Reference values'!$D$42, "")</f>
        <v/>
      </c>
      <c r="P97" s="462" t="str">
        <f>IFERROR(Biogas_produced_manures[[#This Row],[Apportioned biogas (m3)]]/('Digestion &amp; outputs'!$D$11/'Reference values'!$D$42), "")</f>
        <v/>
      </c>
      <c r="Q97" s="464" t="str">
        <f>IFERROR(Biogas_produced_manures[[#This Row],[Apportioned biogas (m3)]]/(SUM($O$22:$O$24)), "")</f>
        <v/>
      </c>
      <c r="R97" s="398"/>
      <c r="S97" s="449" t="str">
        <f>IF(Feedstocks!D73&gt;0,Feedstocks!C73,"")</f>
        <v/>
      </c>
      <c r="T97" s="459" t="str">
        <f>IFERROR(IF('Digestion &amp; outputs'!$E$106=0," ",IF(Feedstocks!D73&gt;0,L97, ""))," ")</f>
        <v/>
      </c>
      <c r="V97" s="471" t="str">
        <f>Summary!$B97</f>
        <v/>
      </c>
      <c r="W97" s="475" t="str">
        <f>IF(Feedstocks!D73&gt;1, Summary!T97*Summary!P97, "")</f>
        <v/>
      </c>
    </row>
    <row r="98" spans="2:23" s="4" customFormat="1" x14ac:dyDescent="0.4">
      <c r="B98" s="576" t="str">
        <f>IF(Feedstocks!D74&gt;0,Feedstocks!C74,"")</f>
        <v/>
      </c>
      <c r="C98" s="577" t="str">
        <f>IF(Feedstocks!$D74&gt;0, "NA", "")</f>
        <v/>
      </c>
      <c r="D98" s="577" t="str">
        <f>IF(Feedstocks!$D74&gt;0, 'Transport 2'!$J$2712/'Digestion &amp; outputs'!$K$104, "")</f>
        <v/>
      </c>
      <c r="E98" s="577" t="str">
        <f>IF(Feedstocks!D74&gt;0,"NA","")</f>
        <v/>
      </c>
      <c r="F98" s="507" t="str">
        <f>IF(Feedstocks!D74&gt;0,'Manure credits'!L16/'Digestion &amp; outputs'!$K$104,"")</f>
        <v/>
      </c>
      <c r="G98" s="507" t="str">
        <f>IF(Feedstocks!$D74&gt;0, ('Digestion &amp; outputs'!$K$16 + 'Final conversion'!$J$12)/'Digestion &amp; outputs'!$K$104, "")</f>
        <v/>
      </c>
      <c r="H98" s="577" t="str">
        <f>IF(Feedstocks!$D74&gt;0, , "")</f>
        <v/>
      </c>
      <c r="I98" s="507" t="str">
        <f>IF(Feedstocks!$D74&gt;0, 'Biomethane transport'!$J$12, "")</f>
        <v/>
      </c>
      <c r="J98" s="508" t="str">
        <f>IF(Feedstocks!D74&gt;0, 'Carbon capture'!$J$12, "")</f>
        <v/>
      </c>
      <c r="K98" s="509" t="str">
        <f>IF(Feedstocks!D74&gt;0, 'Carbon capture'!$J$27, "")</f>
        <v/>
      </c>
      <c r="L98" s="567" t="str">
        <f>IF(Feedstocks!E74&gt;0,Pathway_emissions_manure[[#This Row],[etd,feedstock]]-Pathway_emissions_manure[[#This Row],[esca]]+Pathway_emissions_manure[[#This Row],[ep]]+Pathway_emissions_manure[[#This Row],[etd,product]]+Pathway_emissions_manure[[#This Row],[eu]]-Pathway_emissions_manure[[#This Row],[eCCS]]-Pathway_emissions_manure[[#This Row],[eCCR]],"")</f>
        <v/>
      </c>
      <c r="N98" s="465" t="str">
        <f>B98</f>
        <v/>
      </c>
      <c r="O98" s="466" t="str">
        <f>IFERROR(('Digestion &amp; outputs'!G73*'Digestion &amp; outputs'!D73)/'Reference values'!$D$42, "")</f>
        <v/>
      </c>
      <c r="P98" s="462" t="str">
        <f>IFERROR(Biogas_produced_manures[[#This Row],[Apportioned biogas (m3)]]/('Digestion &amp; outputs'!$D$11/'Reference values'!$D$42), "")</f>
        <v/>
      </c>
      <c r="Q98" s="464" t="str">
        <f>IFERROR(Biogas_produced_manures[[#This Row],[Apportioned biogas (m3)]]/(SUM($O$22:$O$24)), "")</f>
        <v/>
      </c>
      <c r="R98" s="398"/>
      <c r="S98" s="460" t="str">
        <f>IF(Feedstocks!D74&gt;0,Feedstocks!C74,"")</f>
        <v/>
      </c>
      <c r="T98" s="459" t="str">
        <f>IFERROR(IF('Digestion &amp; outputs'!$E$106=0," ",IF(Feedstocks!D74&gt;0,L98, ""))," ")</f>
        <v/>
      </c>
      <c r="V98" s="473" t="str">
        <f>Summary!$B98</f>
        <v/>
      </c>
      <c r="W98" s="476" t="str">
        <f>IF(Feedstocks!D74&gt;1, Summary!T98*Summary!P98, "")</f>
        <v/>
      </c>
    </row>
    <row r="99" spans="2:23" s="4" customFormat="1" x14ac:dyDescent="0.4">
      <c r="B99" s="334" t="s">
        <v>73</v>
      </c>
    </row>
    <row r="100" spans="2:23" s="4" customFormat="1" x14ac:dyDescent="0.4">
      <c r="B100" s="334"/>
      <c r="R100" s="399"/>
    </row>
    <row r="101" spans="2:23" s="4" customFormat="1" ht="16.5" customHeight="1" x14ac:dyDescent="0.4">
      <c r="B101" s="729" t="s">
        <v>82</v>
      </c>
      <c r="C101" s="730"/>
      <c r="D101" s="730"/>
      <c r="E101" s="730"/>
      <c r="F101" s="730"/>
      <c r="G101" s="730"/>
      <c r="H101" s="730"/>
      <c r="I101" s="730"/>
      <c r="J101" s="730"/>
      <c r="K101" s="730"/>
      <c r="L101" s="731"/>
      <c r="N101" s="719" t="s">
        <v>83</v>
      </c>
      <c r="O101" s="725"/>
      <c r="P101" s="725"/>
      <c r="Q101" s="726"/>
      <c r="R101" s="458"/>
      <c r="S101" s="727" t="s">
        <v>58</v>
      </c>
      <c r="T101" s="727"/>
      <c r="V101" s="711" t="s">
        <v>59</v>
      </c>
      <c r="W101" s="711"/>
    </row>
    <row r="102" spans="2:23" s="4" customFormat="1" ht="35.25" customHeight="1" x14ac:dyDescent="0.4">
      <c r="B102" s="579" t="s">
        <v>60</v>
      </c>
      <c r="C102" s="552" t="s">
        <v>61</v>
      </c>
      <c r="D102" s="552" t="s">
        <v>62</v>
      </c>
      <c r="E102" s="552" t="s">
        <v>63</v>
      </c>
      <c r="F102" s="552" t="s">
        <v>64</v>
      </c>
      <c r="G102" s="548" t="s">
        <v>84</v>
      </c>
      <c r="H102" s="552" t="s">
        <v>66</v>
      </c>
      <c r="I102" s="552" t="s">
        <v>67</v>
      </c>
      <c r="J102" s="585" t="s">
        <v>76</v>
      </c>
      <c r="K102" s="585" t="s">
        <v>77</v>
      </c>
      <c r="L102" s="549" t="s">
        <v>70</v>
      </c>
      <c r="M102" s="482"/>
      <c r="N102" s="580" t="s">
        <v>60</v>
      </c>
      <c r="O102" s="480" t="s">
        <v>47</v>
      </c>
      <c r="P102" s="480" t="s">
        <v>48</v>
      </c>
      <c r="Q102" s="481" t="s">
        <v>49</v>
      </c>
      <c r="R102" s="483"/>
      <c r="S102" s="581" t="s">
        <v>60</v>
      </c>
      <c r="T102" s="479" t="s">
        <v>71</v>
      </c>
      <c r="U102" s="482"/>
      <c r="V102" s="580" t="s">
        <v>60</v>
      </c>
      <c r="W102" s="481" t="s">
        <v>72</v>
      </c>
    </row>
    <row r="103" spans="2:23" s="4" customFormat="1" ht="14.1" customHeight="1" x14ac:dyDescent="0.4">
      <c r="B103" s="502" t="str">
        <f>IF(Feedstocks!D78&gt;0,Feedstocks!C78,"")</f>
        <v/>
      </c>
      <c r="C103" s="503" t="str">
        <f>IF(Feedstocks!$D78&gt;0, "NA", "")</f>
        <v/>
      </c>
      <c r="D103" s="503" t="str">
        <f>IF(Feedstocks!$D78&gt;0, "NA", "")</f>
        <v/>
      </c>
      <c r="E103" s="503" t="str">
        <f>IF(Feedstocks!D78&gt;0, "NA", "")</f>
        <v/>
      </c>
      <c r="F103" s="503" t="str">
        <f>IF(Feedstocks!D78&gt;0, "NA", "")</f>
        <v/>
      </c>
      <c r="G103" s="503" t="str">
        <f>IF(Feedstocks!$D78&gt;0, "NA", "")</f>
        <v/>
      </c>
      <c r="H103" s="503" t="str">
        <f>IF(Feedstocks!$D78&gt;0, "NA", "")</f>
        <v/>
      </c>
      <c r="I103" s="503" t="str">
        <f>IF(Feedstocks!$D78&gt;0, "NA", "")</f>
        <v/>
      </c>
      <c r="J103" s="504" t="str">
        <f>IF(Feedstocks!$D78&gt;0, "NA", "")</f>
        <v/>
      </c>
      <c r="K103" s="505" t="str">
        <f>IF(Feedstocks!$D78&gt;0, "NA", "")</f>
        <v/>
      </c>
      <c r="L103" s="550" t="str">
        <f>IF(Feedstocks!$D78&gt;0, "NA", "")</f>
        <v/>
      </c>
      <c r="N103" s="463" t="str">
        <f>B103</f>
        <v/>
      </c>
      <c r="O103" s="461" t="str">
        <f>IFERROR(('Digestion &amp; outputs'!G75*'Digestion &amp; outputs'!D75)/'Reference values'!$D$42, "")</f>
        <v/>
      </c>
      <c r="P103" s="462" t="str">
        <f>IFERROR(O103/('Digestion &amp; outputs'!$D$11/'Reference values'!$D$42), "")</f>
        <v/>
      </c>
      <c r="Q103" s="464" t="str">
        <f>IF(Feedstocks!D78&gt;0, 0, "")</f>
        <v/>
      </c>
      <c r="R103" s="398"/>
      <c r="S103" s="449" t="str">
        <f>IF(Feedstocks!D78&gt;0,Feedstocks!C78,"")</f>
        <v/>
      </c>
      <c r="T103" s="459" t="str">
        <f>IF(Feedstocks!D78&gt;0, "NA", "")</f>
        <v/>
      </c>
      <c r="V103" s="471" t="str">
        <f>Summary!$B103</f>
        <v/>
      </c>
      <c r="W103" s="475" t="str">
        <f>IF(Feedstocks!D78&gt;1, "NA", "")</f>
        <v/>
      </c>
    </row>
    <row r="104" spans="2:23" s="4" customFormat="1" ht="14.1" customHeight="1" x14ac:dyDescent="0.4">
      <c r="B104" s="506" t="str">
        <f>IF(Feedstocks!D79&gt;0,Feedstocks!C79,"")</f>
        <v/>
      </c>
      <c r="C104" s="507" t="str">
        <f>IF(Feedstocks!$D79&gt;0, "NA", "")</f>
        <v/>
      </c>
      <c r="D104" s="507" t="str">
        <f>IF(Feedstocks!$D79&gt;0, "NA", "")</f>
        <v/>
      </c>
      <c r="E104" s="507" t="str">
        <f>IF(Feedstocks!D79&gt;0, "NA", "")</f>
        <v/>
      </c>
      <c r="F104" s="507" t="str">
        <f>IF(Feedstocks!D79&gt;0, "NA", "")</f>
        <v/>
      </c>
      <c r="G104" s="507" t="str">
        <f>IF(Feedstocks!$D79&gt;0, "NA", "")</f>
        <v/>
      </c>
      <c r="H104" s="507" t="str">
        <f>IF(Feedstocks!$D79&gt;0, "NA", "")</f>
        <v/>
      </c>
      <c r="I104" s="507" t="str">
        <f>IF(Feedstocks!$D79&gt;0, "NA", "")</f>
        <v/>
      </c>
      <c r="J104" s="508" t="str">
        <f>IF(Feedstocks!$D79&gt;0, "NA", "")</f>
        <v/>
      </c>
      <c r="K104" s="509" t="str">
        <f>IF(Feedstocks!$D79&gt;0, "NA", "")</f>
        <v/>
      </c>
      <c r="L104" s="551" t="str">
        <f>IF(Feedstocks!$D79&gt;0, "NA", "")</f>
        <v/>
      </c>
      <c r="N104" s="463" t="str">
        <f>B104</f>
        <v/>
      </c>
      <c r="O104" s="461" t="str">
        <f>IFERROR(('Digestion &amp; outputs'!G76*'Digestion &amp; outputs'!D76)/'Reference values'!$D$42, "")</f>
        <v/>
      </c>
      <c r="P104" s="462" t="str">
        <f>IFERROR(O104/('Digestion &amp; outputs'!$D$11/'Reference values'!$D$42), "")</f>
        <v/>
      </c>
      <c r="Q104" s="464" t="str">
        <f>IF(Feedstocks!D79&gt;0, 0, "")</f>
        <v/>
      </c>
      <c r="R104" s="398"/>
      <c r="S104" s="449" t="str">
        <f>IF(Feedstocks!D79&gt;0,Feedstocks!C79,"")</f>
        <v/>
      </c>
      <c r="T104" s="459" t="str">
        <f>IF(Feedstocks!D79&gt;0, "NA", "")</f>
        <v/>
      </c>
      <c r="V104" s="471" t="str">
        <f>Summary!$B104</f>
        <v/>
      </c>
      <c r="W104" s="475" t="str">
        <f>IF(Feedstocks!D79&gt;1, "NA", "")</f>
        <v/>
      </c>
    </row>
    <row r="105" spans="2:23" s="4" customFormat="1" ht="14.1" customHeight="1" x14ac:dyDescent="0.4">
      <c r="B105" s="502" t="str">
        <f>IF(Feedstocks!D80&gt;0,Feedstocks!C80,"")</f>
        <v/>
      </c>
      <c r="C105" s="503" t="str">
        <f>IF(Feedstocks!$D80&gt;0, "NA", "")</f>
        <v/>
      </c>
      <c r="D105" s="503" t="str">
        <f>IF(Feedstocks!$D80&gt;0, "NA", "")</f>
        <v/>
      </c>
      <c r="E105" s="503" t="str">
        <f>IF(Feedstocks!D80&gt;0, "NA", "")</f>
        <v/>
      </c>
      <c r="F105" s="503" t="str">
        <f>IF(Feedstocks!D80&gt;0, "NA", "")</f>
        <v/>
      </c>
      <c r="G105" s="503" t="str">
        <f>IF(Feedstocks!$D80&gt;0, "NA", "")</f>
        <v/>
      </c>
      <c r="H105" s="503" t="str">
        <f>IF(Feedstocks!$D80&gt;0, "NA", "")</f>
        <v/>
      </c>
      <c r="I105" s="503" t="str">
        <f>IF(Feedstocks!$D80&gt;0, "NA", "")</f>
        <v/>
      </c>
      <c r="J105" s="504" t="str">
        <f>IF(Feedstocks!$D80&gt;0, "NA", "")</f>
        <v/>
      </c>
      <c r="K105" s="505" t="str">
        <f>IF(Feedstocks!$D80&gt;0, "NA", "")</f>
        <v/>
      </c>
      <c r="L105" s="550" t="str">
        <f>IF(Feedstocks!$D80&gt;0, "NA", "")</f>
        <v/>
      </c>
      <c r="N105" s="463" t="str">
        <f>B105</f>
        <v/>
      </c>
      <c r="O105" s="461" t="str">
        <f>IFERROR(('Digestion &amp; outputs'!G77*'Digestion &amp; outputs'!D77)/'Reference values'!$D$42, "")</f>
        <v/>
      </c>
      <c r="P105" s="462" t="str">
        <f>IFERROR(O105/('Digestion &amp; outputs'!$D$11/'Reference values'!$D$42), "")</f>
        <v/>
      </c>
      <c r="Q105" s="464" t="str">
        <f>IF(Feedstocks!D80&gt;0, 0, "")</f>
        <v/>
      </c>
      <c r="R105" s="398"/>
      <c r="S105" s="449" t="str">
        <f>IF(Feedstocks!D80&gt;0,Feedstocks!C80,"")</f>
        <v/>
      </c>
      <c r="T105" s="459" t="str">
        <f>IF(Feedstocks!D80&gt;0, "NA", "")</f>
        <v/>
      </c>
      <c r="V105" s="471" t="str">
        <f>Summary!$B105</f>
        <v/>
      </c>
      <c r="W105" s="475" t="str">
        <f>IF(Feedstocks!D80&gt;1, "NA", "")</f>
        <v/>
      </c>
    </row>
    <row r="106" spans="2:23" s="4" customFormat="1" ht="14.1" customHeight="1" x14ac:dyDescent="0.4">
      <c r="B106" s="506" t="str">
        <f>IF(Feedstocks!D81&gt;0,Feedstocks!C81,"")</f>
        <v/>
      </c>
      <c r="C106" s="507" t="str">
        <f>IF(Feedstocks!$D81&gt;0, "NA", "")</f>
        <v/>
      </c>
      <c r="D106" s="507" t="str">
        <f>IF(Feedstocks!$D81&gt;0, "NA", "")</f>
        <v/>
      </c>
      <c r="E106" s="507" t="str">
        <f>IF(Feedstocks!D81&gt;0, "NA", "")</f>
        <v/>
      </c>
      <c r="F106" s="507" t="str">
        <f>IF(Feedstocks!D81&gt;0, "NA", "")</f>
        <v/>
      </c>
      <c r="G106" s="507" t="str">
        <f>IF(Feedstocks!$D81&gt;0, "NA", "")</f>
        <v/>
      </c>
      <c r="H106" s="507" t="str">
        <f>IF(Feedstocks!$D81&gt;0, "NA", "")</f>
        <v/>
      </c>
      <c r="I106" s="507" t="str">
        <f>IF(Feedstocks!$D81&gt;0, "NA", "")</f>
        <v/>
      </c>
      <c r="J106" s="508" t="str">
        <f>IF(Feedstocks!$D81&gt;0, "NA", "")</f>
        <v/>
      </c>
      <c r="K106" s="509" t="str">
        <f>IF(Feedstocks!$D81&gt;0, "NA", "")</f>
        <v/>
      </c>
      <c r="L106" s="551" t="str">
        <f>IF(Feedstocks!$D81&gt;0, "NA", "")</f>
        <v/>
      </c>
      <c r="N106" s="463" t="str">
        <f>B106</f>
        <v/>
      </c>
      <c r="O106" s="461" t="str">
        <f>IFERROR(('Digestion &amp; outputs'!G78*'Digestion &amp; outputs'!D78)/'Reference values'!$D$42, "")</f>
        <v/>
      </c>
      <c r="P106" s="462" t="str">
        <f>IFERROR(O106/('Digestion &amp; outputs'!$D$11/'Reference values'!$D$42), "")</f>
        <v/>
      </c>
      <c r="Q106" s="464" t="str">
        <f>IF(Feedstocks!D81&gt;0, 0, "")</f>
        <v/>
      </c>
      <c r="R106" s="398"/>
      <c r="S106" s="449" t="str">
        <f>IF(Feedstocks!D81&gt;0,Feedstocks!C81,"")</f>
        <v/>
      </c>
      <c r="T106" s="459" t="str">
        <f>IF(Feedstocks!D81&gt;0, "NA", "")</f>
        <v/>
      </c>
      <c r="V106" s="471" t="str">
        <f>Summary!$B106</f>
        <v/>
      </c>
      <c r="W106" s="475" t="str">
        <f>IF(Feedstocks!D81&gt;1, "NA", "")</f>
        <v/>
      </c>
    </row>
    <row r="107" spans="2:23" s="4" customFormat="1" ht="14.1" customHeight="1" x14ac:dyDescent="0.4">
      <c r="B107" s="562" t="str">
        <f>IF(Feedstocks!D82&gt;0,Feedstocks!C82,"")</f>
        <v/>
      </c>
      <c r="C107" s="561" t="str">
        <f>IF(Feedstocks!$D82&gt;0, "NA", "")</f>
        <v/>
      </c>
      <c r="D107" s="561" t="str">
        <f>IF(Feedstocks!$D82&gt;0, "NA", "")</f>
        <v/>
      </c>
      <c r="E107" s="561" t="str">
        <f>IF(Feedstocks!D82&gt;0, "NA", "")</f>
        <v/>
      </c>
      <c r="F107" s="561" t="str">
        <f>IF(Feedstocks!D82&gt;0, "NA", "")</f>
        <v/>
      </c>
      <c r="G107" s="561" t="str">
        <f>IF(Feedstocks!$D82&gt;0, "NA", "")</f>
        <v/>
      </c>
      <c r="H107" s="561" t="str">
        <f>IF(Feedstocks!$D82&gt;0, "NA", "")</f>
        <v/>
      </c>
      <c r="I107" s="561" t="str">
        <f>IF(Feedstocks!$D82&gt;0, "NA", "")</f>
        <v/>
      </c>
      <c r="J107" s="561" t="str">
        <f>IF(Feedstocks!$D82&gt;0, "NA", "")</f>
        <v/>
      </c>
      <c r="K107" s="561" t="str">
        <f>IF(Feedstocks!$D82&gt;0, "NA", "")</f>
        <v/>
      </c>
      <c r="L107" s="563" t="str">
        <f>IF(Feedstocks!$D82&gt;0, "NA", "")</f>
        <v/>
      </c>
      <c r="N107" s="465" t="str">
        <f>B107</f>
        <v/>
      </c>
      <c r="O107" s="466" t="str">
        <f>IFERROR(('Digestion &amp; outputs'!G79*'Digestion &amp; outputs'!D79)/'Reference values'!$D$42, "")</f>
        <v/>
      </c>
      <c r="P107" s="462" t="str">
        <f>IFERROR(O107/('Digestion &amp; outputs'!$D$11/'Reference values'!$D$42), "")</f>
        <v/>
      </c>
      <c r="Q107" s="464" t="str">
        <f>IF(Feedstocks!D82&gt;0, 0, "")</f>
        <v/>
      </c>
      <c r="R107" s="398"/>
      <c r="S107" s="449" t="str">
        <f>IF(Feedstocks!D82&gt;0,Feedstocks!C82,"")</f>
        <v/>
      </c>
      <c r="T107" s="459" t="str">
        <f>IF(Feedstocks!D82&gt;0, "NA", "")</f>
        <v/>
      </c>
      <c r="V107" s="471" t="str">
        <f>Summary!$B107</f>
        <v/>
      </c>
      <c r="W107" s="475" t="str">
        <f>IF(Feedstocks!D82&gt;1, "NA", "")</f>
        <v/>
      </c>
    </row>
    <row r="108" spans="2:23" s="4" customFormat="1" x14ac:dyDescent="0.4">
      <c r="B108" s="334" t="s">
        <v>73</v>
      </c>
    </row>
    <row r="109" spans="2:23" s="1" customFormat="1" ht="11.25" customHeight="1" x14ac:dyDescent="0.35">
      <c r="B109" s="2"/>
    </row>
    <row r="110" spans="2:23" s="200" customFormat="1" ht="3.75" customHeight="1" thickBot="1" x14ac:dyDescent="0.45"/>
  </sheetData>
  <sheetProtection algorithmName="SHA-512" hashValue="rQtE2aytFJkNpo6gGS7seVaVHVNjIFw9aGEPyuQUK80QvDTu7nUngNO0BQvEk6QvnY5OPUjS9Torj+kWN4Hcbg==" saltValue="qIOn/8fKGCgu5+MjoP5Xsg==" spinCount="100000" sheet="1" objects="1" scenarios="1"/>
  <mergeCells count="31">
    <mergeCell ref="B6:M6"/>
    <mergeCell ref="B92:L92"/>
    <mergeCell ref="B101:L101"/>
    <mergeCell ref="S30:T30"/>
    <mergeCell ref="N18:O18"/>
    <mergeCell ref="B44:L44"/>
    <mergeCell ref="B63:L63"/>
    <mergeCell ref="N63:Q63"/>
    <mergeCell ref="N44:Q44"/>
    <mergeCell ref="B20:H20"/>
    <mergeCell ref="N27:O27"/>
    <mergeCell ref="B30:L30"/>
    <mergeCell ref="N30:Q30"/>
    <mergeCell ref="S63:T63"/>
    <mergeCell ref="S20:T20"/>
    <mergeCell ref="N20:Q20"/>
    <mergeCell ref="V92:W92"/>
    <mergeCell ref="N92:Q92"/>
    <mergeCell ref="S101:T101"/>
    <mergeCell ref="V101:W101"/>
    <mergeCell ref="N101:Q101"/>
    <mergeCell ref="S92:T92"/>
    <mergeCell ref="V30:W30"/>
    <mergeCell ref="V44:W44"/>
    <mergeCell ref="V63:W63"/>
    <mergeCell ref="C8:D8"/>
    <mergeCell ref="C9:D9"/>
    <mergeCell ref="I8:I17"/>
    <mergeCell ref="V26:W26"/>
    <mergeCell ref="S44:T44"/>
    <mergeCell ref="N17:Q17"/>
  </mergeCells>
  <phoneticPr fontId="71" type="noConversion"/>
  <conditionalFormatting sqref="Q18">
    <cfRule type="cellIs" dxfId="2424" priority="3" operator="greaterThan">
      <formula>24</formula>
    </cfRule>
  </conditionalFormatting>
  <conditionalFormatting sqref="W27">
    <cfRule type="cellIs" dxfId="2423" priority="1" operator="greaterThan">
      <formula>24</formula>
    </cfRule>
  </conditionalFormatting>
  <pageMargins left="0.7" right="0.7" top="0.75" bottom="0.75" header="0.3" footer="0.3"/>
  <pageSetup paperSize="9" orientation="portrait" r:id="rId1"/>
  <headerFooter>
    <oddHeader>&amp;C&amp;"Calibri"&amp;10&amp;K000000 OFFICIAL&amp;1#_x000D_</oddHeader>
    <oddFooter>&amp;C_x000D_&amp;1#&amp;"Calibri"&amp;10&amp;K000000 OFFICIAL</oddFooter>
  </headerFooter>
  <ignoredErrors>
    <ignoredError sqref="N22:O22 N23 S32 S46:T46 O25 S65:S84 O32 O46:O55 O65:O84 N65:N84 N46:N47 N32:N41 N85:N89 O23:O24 P103:Q103 W103 S103:T107 Q32 Q46 P65:Q65 P94:Q94 V65:V89 S85:S89 V94:V98 V103:V107 N48:N60 S47:S60 V46:V60 S33:S41 V32:V41 L32 L46 L65:L89 E32:G32 G46 I46 G65:G88 T65 F94:G94 I94 T94 I32:I41 I65 L94:L98 N24:N25 Q22:Q26" calculatedColumn="1"/>
  </ignoredErrors>
  <drawing r:id="rId2"/>
  <tableParts count="20">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B1:N86"/>
  <sheetViews>
    <sheetView topLeftCell="B1" zoomScale="85" zoomScaleNormal="85" workbookViewId="0">
      <selection activeCell="I20" sqref="I20"/>
    </sheetView>
  </sheetViews>
  <sheetFormatPr defaultColWidth="9.109375" defaultRowHeight="16.8" x14ac:dyDescent="0.4"/>
  <cols>
    <col min="1" max="1" width="3.5546875" style="158" customWidth="1"/>
    <col min="2" max="2" width="2.5546875" style="158" customWidth="1"/>
    <col min="3" max="3" width="22.33203125" style="158" customWidth="1"/>
    <col min="4" max="4" width="13" style="158" customWidth="1"/>
    <col min="5" max="5" width="19.109375" style="161" customWidth="1"/>
    <col min="6" max="7" width="20.5546875" style="158" customWidth="1"/>
    <col min="8" max="8" width="20.33203125" style="158" customWidth="1"/>
    <col min="9" max="9" width="23.6640625" style="158" customWidth="1"/>
    <col min="10" max="11" width="20.6640625" style="158" customWidth="1"/>
    <col min="12" max="12" width="21.44140625" style="161" customWidth="1"/>
    <col min="13" max="13" width="20.6640625" style="158" customWidth="1"/>
    <col min="14" max="14" width="2.5546875" style="158" customWidth="1"/>
    <col min="15" max="15" width="19.5546875" style="158" customWidth="1"/>
    <col min="16" max="16384" width="9.109375" style="158"/>
  </cols>
  <sheetData>
    <row r="1" spans="2:14" ht="32.25" customHeight="1" x14ac:dyDescent="0.4"/>
    <row r="2" spans="2:14" ht="32.25" customHeight="1" x14ac:dyDescent="0.4"/>
    <row r="3" spans="2:14" s="194" customFormat="1" ht="33.9" customHeight="1" x14ac:dyDescent="0.4">
      <c r="E3" s="195"/>
      <c r="L3" s="195"/>
    </row>
    <row r="4" spans="2:14" s="4" customFormat="1" x14ac:dyDescent="0.4">
      <c r="E4" s="14"/>
      <c r="L4" s="14"/>
    </row>
    <row r="5" spans="2:14" s="4" customFormat="1" ht="34.5" customHeight="1" x14ac:dyDescent="0.4">
      <c r="B5" s="742" t="s">
        <v>85</v>
      </c>
      <c r="C5" s="742"/>
      <c r="D5" s="742"/>
      <c r="E5" s="742"/>
      <c r="F5" s="742"/>
      <c r="G5" s="742"/>
      <c r="H5" s="742"/>
      <c r="I5" s="742"/>
      <c r="J5" s="742"/>
      <c r="K5" s="742"/>
      <c r="L5" s="742"/>
      <c r="M5" s="742"/>
    </row>
    <row r="6" spans="2:14" s="4" customFormat="1" x14ac:dyDescent="0.4">
      <c r="E6" s="14"/>
      <c r="L6" s="14"/>
    </row>
    <row r="7" spans="2:14" s="4" customFormat="1" ht="19.2" x14ac:dyDescent="0.45">
      <c r="B7" s="743" t="s">
        <v>86</v>
      </c>
      <c r="C7" s="744"/>
      <c r="D7" s="744"/>
      <c r="E7" s="744"/>
      <c r="F7" s="744"/>
      <c r="G7" s="744"/>
      <c r="H7" s="744"/>
      <c r="I7" s="744"/>
      <c r="J7" s="744"/>
      <c r="K7" s="744"/>
      <c r="L7" s="744"/>
      <c r="M7" s="744"/>
      <c r="N7" s="745"/>
    </row>
    <row r="8" spans="2:14" s="4" customFormat="1" x14ac:dyDescent="0.4">
      <c r="B8" s="15"/>
      <c r="E8" s="14"/>
      <c r="L8" s="14"/>
      <c r="N8" s="112"/>
    </row>
    <row r="9" spans="2:14" s="4" customFormat="1" x14ac:dyDescent="0.4">
      <c r="B9" s="15"/>
      <c r="C9" s="721" t="s">
        <v>50</v>
      </c>
      <c r="D9" s="721"/>
      <c r="E9" s="721"/>
      <c r="F9" s="721"/>
      <c r="G9" s="721"/>
      <c r="H9" s="721"/>
      <c r="I9" s="721"/>
      <c r="J9" s="721"/>
      <c r="K9" s="721"/>
      <c r="L9" s="14"/>
      <c r="N9" s="112"/>
    </row>
    <row r="10" spans="2:14" s="4" customFormat="1" ht="32.25" customHeight="1" x14ac:dyDescent="0.4">
      <c r="B10" s="15"/>
      <c r="C10" s="279" t="s">
        <v>87</v>
      </c>
      <c r="D10" s="280" t="s">
        <v>88</v>
      </c>
      <c r="E10" s="281" t="s">
        <v>89</v>
      </c>
      <c r="F10" s="289" t="s">
        <v>90</v>
      </c>
      <c r="G10" s="291" t="s">
        <v>91</v>
      </c>
      <c r="H10" s="282" t="s">
        <v>92</v>
      </c>
      <c r="I10" s="283" t="s">
        <v>93</v>
      </c>
      <c r="J10" s="284" t="s">
        <v>94</v>
      </c>
      <c r="K10" s="281" t="s">
        <v>95</v>
      </c>
      <c r="L10" s="14"/>
      <c r="N10" s="112"/>
    </row>
    <row r="11" spans="2:14" s="4" customFormat="1" x14ac:dyDescent="0.4">
      <c r="B11" s="15"/>
      <c r="C11" s="218"/>
      <c r="D11" s="218"/>
      <c r="E11" s="258"/>
      <c r="F11" s="290"/>
      <c r="G11" s="292"/>
      <c r="H11" s="216"/>
      <c r="I11" s="187" t="s">
        <v>96</v>
      </c>
      <c r="J11" s="219" t="str">
        <f>IFERROR(INDEX(Crop_drymatter,MATCH(Plant_Inputs_Products_Table[[#This Row],[Crop of origin†]],Crops_for_drymatter,0)),"")</f>
        <v/>
      </c>
      <c r="K11" s="220"/>
      <c r="L11" s="746" t="str">
        <f>IF(AND( Plant_Inputs_Products_Table[[#This Row],[Consignment name]] &gt; 0, OR(ISBLANK(Plant_Inputs_Products_Table[[#This Row],[Tonnes]]), ISBLANK(Plant_Inputs_Products_Table[[#This Row],[Biomethane yield (Nm3/t volatile solid)]]), ISBLANK(Plant_Inputs_Products_Table[[#This Row],[Feedstock dry matter content (%)*]]), ISBLANK(Plant_Inputs_Products_Table[[#This Row],[Volatile solid content (% of dry matter)]]), ISBLANK(Plant_Inputs_Products_Table[[#This Row],[Crop of origin†]]))), "Insert data", "")</f>
        <v/>
      </c>
      <c r="M11" s="747"/>
      <c r="N11" s="112"/>
    </row>
    <row r="12" spans="2:14" s="4" customFormat="1" x14ac:dyDescent="0.4">
      <c r="B12" s="15"/>
      <c r="C12" s="218"/>
      <c r="D12" s="218"/>
      <c r="E12" s="258"/>
      <c r="F12" s="290"/>
      <c r="G12" s="292"/>
      <c r="H12" s="216"/>
      <c r="I12" s="187" t="s">
        <v>96</v>
      </c>
      <c r="J12" s="219" t="str">
        <f>IFERROR(INDEX(Crop_drymatter,MATCH(Plant_Inputs_Products_Table[[#This Row],[Crop of origin†]],Crops_for_drymatter,0)),"")</f>
        <v/>
      </c>
      <c r="K12" s="220"/>
      <c r="L12" s="746" t="str">
        <f>IF(AND( Plant_Inputs_Products_Table[[#This Row],[Consignment name]] &gt; 0, OR(ISBLANK(Plant_Inputs_Products_Table[[#This Row],[Tonnes]]), ISBLANK(Plant_Inputs_Products_Table[[#This Row],[Biomethane yield (Nm3/t volatile solid)]]), ISBLANK(Plant_Inputs_Products_Table[[#This Row],[Feedstock dry matter content (%)*]]), ISBLANK(Plant_Inputs_Products_Table[[#This Row],[Volatile solid content (% of dry matter)]]), ISBLANK(Plant_Inputs_Products_Table[[#This Row],[Crop of origin†]]))), "Insert data", "")</f>
        <v/>
      </c>
      <c r="M12" s="747"/>
      <c r="N12" s="112"/>
    </row>
    <row r="13" spans="2:14" s="4" customFormat="1" x14ac:dyDescent="0.4">
      <c r="B13" s="15"/>
      <c r="C13" s="218"/>
      <c r="D13" s="218"/>
      <c r="E13" s="258"/>
      <c r="F13" s="290"/>
      <c r="G13" s="292"/>
      <c r="H13" s="216"/>
      <c r="I13" s="187" t="s">
        <v>96</v>
      </c>
      <c r="J13" s="219" t="str">
        <f>IFERROR(INDEX(Crop_drymatter,MATCH(Plant_Inputs_Products_Table[[#This Row],[Crop of origin†]],Crops_for_drymatter,0)),"")</f>
        <v/>
      </c>
      <c r="K13" s="220"/>
      <c r="L13" s="746" t="str">
        <f>IF(AND( Plant_Inputs_Products_Table[[#This Row],[Consignment name]] &gt; 0, OR(ISBLANK(Plant_Inputs_Products_Table[[#This Row],[Tonnes]]), ISBLANK(Plant_Inputs_Products_Table[[#This Row],[Biomethane yield (Nm3/t volatile solid)]]), ISBLANK(Plant_Inputs_Products_Table[[#This Row],[Feedstock dry matter content (%)*]]), ISBLANK(Plant_Inputs_Products_Table[[#This Row],[Volatile solid content (% of dry matter)]]), ISBLANK(Plant_Inputs_Products_Table[[#This Row],[Crop of origin†]]))), "Insert data", "")</f>
        <v/>
      </c>
      <c r="M13" s="747"/>
      <c r="N13" s="112"/>
    </row>
    <row r="14" spans="2:14" s="4" customFormat="1" x14ac:dyDescent="0.4">
      <c r="B14" s="15"/>
      <c r="C14" s="218"/>
      <c r="D14" s="218"/>
      <c r="E14" s="258"/>
      <c r="F14" s="290"/>
      <c r="G14" s="292"/>
      <c r="H14" s="216"/>
      <c r="I14" s="187" t="s">
        <v>96</v>
      </c>
      <c r="J14" s="219" t="str">
        <f>IFERROR(INDEX(Crop_drymatter,MATCH(Plant_Inputs_Products_Table[[#This Row],[Crop of origin†]],Crops_for_drymatter,0)),"")</f>
        <v/>
      </c>
      <c r="K14" s="220"/>
      <c r="L14" s="746" t="str">
        <f>IF(AND( Plant_Inputs_Products_Table[[#This Row],[Consignment name]] &gt; 0, OR(ISBLANK(Plant_Inputs_Products_Table[[#This Row],[Tonnes]]), ISBLANK(Plant_Inputs_Products_Table[[#This Row],[Biomethane yield (Nm3/t volatile solid)]]), ISBLANK(Plant_Inputs_Products_Table[[#This Row],[Feedstock dry matter content (%)*]]), ISBLANK(Plant_Inputs_Products_Table[[#This Row],[Volatile solid content (% of dry matter)]]), ISBLANK(Plant_Inputs_Products_Table[[#This Row],[Crop of origin†]]))), "Insert data", "")</f>
        <v/>
      </c>
      <c r="M14" s="747"/>
      <c r="N14" s="112"/>
    </row>
    <row r="15" spans="2:14" s="4" customFormat="1" x14ac:dyDescent="0.4">
      <c r="B15" s="15"/>
      <c r="C15" s="218"/>
      <c r="D15" s="218"/>
      <c r="E15" s="258"/>
      <c r="F15" s="290"/>
      <c r="G15" s="292"/>
      <c r="H15" s="216"/>
      <c r="I15" s="151" t="s">
        <v>96</v>
      </c>
      <c r="J15" s="219" t="str">
        <f>IFERROR(INDEX(Crop_drymatter,MATCH(Plant_Inputs_Products_Table[[#This Row],[Crop of origin†]],Crops_for_drymatter,0)),"")</f>
        <v/>
      </c>
      <c r="K15" s="220"/>
      <c r="L15" s="746" t="str">
        <f>IF(AND( Plant_Inputs_Products_Table[[#This Row],[Consignment name]] &gt; 0, OR(ISBLANK(Plant_Inputs_Products_Table[[#This Row],[Tonnes]]), ISBLANK(Plant_Inputs_Products_Table[[#This Row],[Biomethane yield (Nm3/t volatile solid)]]), ISBLANK(Plant_Inputs_Products_Table[[#This Row],[Feedstock dry matter content (%)*]]), ISBLANK(Plant_Inputs_Products_Table[[#This Row],[Volatile solid content (% of dry matter)]]), ISBLANK(Plant_Inputs_Products_Table[[#This Row],[Crop of origin†]]))), "Insert data", "")</f>
        <v/>
      </c>
      <c r="M15" s="747"/>
      <c r="N15" s="112"/>
    </row>
    <row r="16" spans="2:14" s="4" customFormat="1" x14ac:dyDescent="0.4">
      <c r="B16" s="15"/>
      <c r="C16" s="218"/>
      <c r="D16" s="218"/>
      <c r="E16" s="258"/>
      <c r="F16" s="290"/>
      <c r="G16" s="292"/>
      <c r="H16" s="216"/>
      <c r="I16" s="151" t="s">
        <v>96</v>
      </c>
      <c r="J16" s="219" t="str">
        <f>IFERROR(INDEX(Crop_drymatter,MATCH(Plant_Inputs_Products_Table[[#This Row],[Crop of origin†]],Crops_for_drymatter,0)),"")</f>
        <v/>
      </c>
      <c r="K16" s="220"/>
      <c r="L16" s="746" t="str">
        <f>IF(AND( Plant_Inputs_Products_Table[[#This Row],[Consignment name]] &gt; 0, OR(ISBLANK(Plant_Inputs_Products_Table[[#This Row],[Tonnes]]), ISBLANK(Plant_Inputs_Products_Table[[#This Row],[Biomethane yield (Nm3/t volatile solid)]]), ISBLANK(Plant_Inputs_Products_Table[[#This Row],[Feedstock dry matter content (%)*]]), ISBLANK(Plant_Inputs_Products_Table[[#This Row],[Volatile solid content (% of dry matter)]]), ISBLANK(Plant_Inputs_Products_Table[[#This Row],[Crop of origin†]]))), "Insert data", "")</f>
        <v/>
      </c>
      <c r="M16" s="747"/>
      <c r="N16" s="112"/>
    </row>
    <row r="17" spans="2:14" s="4" customFormat="1" x14ac:dyDescent="0.4">
      <c r="B17" s="15"/>
      <c r="C17" s="218"/>
      <c r="D17" s="218"/>
      <c r="E17" s="258"/>
      <c r="F17" s="290"/>
      <c r="G17" s="292"/>
      <c r="H17" s="216"/>
      <c r="I17" s="151" t="s">
        <v>96</v>
      </c>
      <c r="J17" s="219" t="str">
        <f>IFERROR(INDEX(Crop_drymatter,MATCH(Plant_Inputs_Products_Table[[#This Row],[Crop of origin†]],Crops_for_drymatter,0)),"")</f>
        <v/>
      </c>
      <c r="K17" s="220"/>
      <c r="L17" s="746" t="str">
        <f>IF(AND( Plant_Inputs_Products_Table[[#This Row],[Consignment name]] &gt; 0, OR(ISBLANK(Plant_Inputs_Products_Table[[#This Row],[Tonnes]]), ISBLANK(Plant_Inputs_Products_Table[[#This Row],[Biomethane yield (Nm3/t volatile solid)]]), ISBLANK(Plant_Inputs_Products_Table[[#This Row],[Feedstock dry matter content (%)*]]), ISBLANK(Plant_Inputs_Products_Table[[#This Row],[Volatile solid content (% of dry matter)]]), ISBLANK(Plant_Inputs_Products_Table[[#This Row],[Crop of origin†]]))), "Insert data", "")</f>
        <v/>
      </c>
      <c r="M17" s="747"/>
      <c r="N17" s="112"/>
    </row>
    <row r="18" spans="2:14" s="4" customFormat="1" x14ac:dyDescent="0.4">
      <c r="B18" s="15"/>
      <c r="C18" s="218"/>
      <c r="D18" s="218"/>
      <c r="E18" s="258"/>
      <c r="F18" s="290"/>
      <c r="G18" s="292"/>
      <c r="H18" s="216"/>
      <c r="I18" s="151" t="s">
        <v>96</v>
      </c>
      <c r="J18" s="219" t="str">
        <f>IFERROR(INDEX(Crop_drymatter,MATCH(Plant_Inputs_Products_Table[[#This Row],[Crop of origin†]],Crops_for_drymatter,0)),"")</f>
        <v/>
      </c>
      <c r="K18" s="220"/>
      <c r="L18" s="746" t="str">
        <f>IF(AND( Plant_Inputs_Products_Table[[#This Row],[Consignment name]] &gt; 0, OR(ISBLANK(Plant_Inputs_Products_Table[[#This Row],[Tonnes]]), ISBLANK(Plant_Inputs_Products_Table[[#This Row],[Biomethane yield (Nm3/t volatile solid)]]), ISBLANK(Plant_Inputs_Products_Table[[#This Row],[Feedstock dry matter content (%)*]]), ISBLANK(Plant_Inputs_Products_Table[[#This Row],[Volatile solid content (% of dry matter)]]), ISBLANK(Plant_Inputs_Products_Table[[#This Row],[Crop of origin†]]))), "Insert data", "")</f>
        <v/>
      </c>
      <c r="M18" s="747"/>
      <c r="N18" s="112"/>
    </row>
    <row r="19" spans="2:14" s="4" customFormat="1" x14ac:dyDescent="0.4">
      <c r="B19" s="15"/>
      <c r="C19" s="218"/>
      <c r="D19" s="218"/>
      <c r="E19" s="258"/>
      <c r="F19" s="290"/>
      <c r="G19" s="292"/>
      <c r="H19" s="216"/>
      <c r="I19" s="151" t="s">
        <v>96</v>
      </c>
      <c r="J19" s="219" t="str">
        <f>IFERROR(INDEX(Crop_drymatter,MATCH(Plant_Inputs_Products_Table[[#This Row],[Crop of origin†]],Crops_for_drymatter,0)),"")</f>
        <v/>
      </c>
      <c r="K19" s="220"/>
      <c r="L19" s="746" t="str">
        <f>IF(AND( Plant_Inputs_Products_Table[[#This Row],[Consignment name]] &gt; 0, OR(ISBLANK(Plant_Inputs_Products_Table[[#This Row],[Tonnes]]), ISBLANK(Plant_Inputs_Products_Table[[#This Row],[Biomethane yield (Nm3/t volatile solid)]]), ISBLANK(Plant_Inputs_Products_Table[[#This Row],[Feedstock dry matter content (%)*]]), ISBLANK(Plant_Inputs_Products_Table[[#This Row],[Volatile solid content (% of dry matter)]]), ISBLANK(Plant_Inputs_Products_Table[[#This Row],[Crop of origin†]]))), "Insert data", "")</f>
        <v/>
      </c>
      <c r="M19" s="747"/>
      <c r="N19" s="112"/>
    </row>
    <row r="20" spans="2:14" s="4" customFormat="1" x14ac:dyDescent="0.4">
      <c r="B20" s="15"/>
      <c r="C20" s="218"/>
      <c r="D20" s="218"/>
      <c r="E20" s="258"/>
      <c r="F20" s="290"/>
      <c r="G20" s="292"/>
      <c r="H20" s="216"/>
      <c r="I20" s="151" t="s">
        <v>96</v>
      </c>
      <c r="J20" s="219" t="str">
        <f>IFERROR(INDEX(Crop_drymatter,MATCH(Plant_Inputs_Products_Table[[#This Row],[Crop of origin†]],Crops_for_drymatter,0)),"")</f>
        <v/>
      </c>
      <c r="K20" s="220"/>
      <c r="L20" s="746" t="str">
        <f>IF(AND( Plant_Inputs_Products_Table[[#This Row],[Consignment name]] &gt; 0, OR(ISBLANK(Plant_Inputs_Products_Table[[#This Row],[Tonnes]]), ISBLANK(Plant_Inputs_Products_Table[[#This Row],[Biomethane yield (Nm3/t volatile solid)]]), ISBLANK(Plant_Inputs_Products_Table[[#This Row],[Feedstock dry matter content (%)*]]), ISBLANK(Plant_Inputs_Products_Table[[#This Row],[Volatile solid content (% of dry matter)]]), ISBLANK(Plant_Inputs_Products_Table[[#This Row],[Crop of origin†]]))), "Insert data", "")</f>
        <v/>
      </c>
      <c r="M20" s="747"/>
      <c r="N20" s="112"/>
    </row>
    <row r="21" spans="2:14" s="4" customFormat="1" x14ac:dyDescent="0.4">
      <c r="B21" s="15"/>
      <c r="E21" s="14"/>
      <c r="L21" s="14"/>
      <c r="N21" s="112"/>
    </row>
    <row r="22" spans="2:14" s="4" customFormat="1" x14ac:dyDescent="0.4">
      <c r="B22" s="15"/>
      <c r="C22" s="711" t="s">
        <v>51</v>
      </c>
      <c r="D22" s="711"/>
      <c r="E22" s="711"/>
      <c r="F22" s="711"/>
      <c r="G22" s="711"/>
      <c r="H22" s="365"/>
      <c r="I22" s="357"/>
      <c r="J22" s="357"/>
      <c r="K22" s="357"/>
      <c r="L22" s="14"/>
      <c r="N22" s="112"/>
    </row>
    <row r="23" spans="2:14" s="4" customFormat="1" ht="32.25" customHeight="1" x14ac:dyDescent="0.4">
      <c r="B23" s="15"/>
      <c r="C23" s="510" t="s">
        <v>87</v>
      </c>
      <c r="D23" s="510" t="s">
        <v>88</v>
      </c>
      <c r="E23" s="511" t="s">
        <v>89</v>
      </c>
      <c r="F23" s="512" t="s">
        <v>90</v>
      </c>
      <c r="G23" s="513" t="s">
        <v>97</v>
      </c>
      <c r="H23" s="364"/>
      <c r="I23" s="360"/>
      <c r="J23" s="360"/>
      <c r="K23" s="360"/>
      <c r="L23" s="14"/>
      <c r="M23" s="157"/>
      <c r="N23" s="112"/>
    </row>
    <row r="24" spans="2:14" s="4" customFormat="1" x14ac:dyDescent="0.4">
      <c r="B24" s="15"/>
      <c r="C24" s="218"/>
      <c r="D24" s="218"/>
      <c r="E24" s="258"/>
      <c r="F24" s="539"/>
      <c r="G24" s="292"/>
      <c r="H24" s="217" t="str">
        <f>IF(AND(C24&gt;0,OR(ISBLANK(D24),ISBLANK(G24),ISBLANK(F24),ISBLANK(E24))),"Insert data","")</f>
        <v/>
      </c>
      <c r="I24" s="361"/>
      <c r="J24" s="362"/>
      <c r="K24" s="363"/>
      <c r="L24" s="157"/>
      <c r="M24" s="157"/>
      <c r="N24" s="112"/>
    </row>
    <row r="25" spans="2:14" s="4" customFormat="1" x14ac:dyDescent="0.4">
      <c r="B25" s="15"/>
      <c r="C25" s="218"/>
      <c r="D25" s="218"/>
      <c r="E25" s="258"/>
      <c r="F25" s="539"/>
      <c r="G25" s="292"/>
      <c r="H25" s="217" t="str">
        <f t="shared" ref="H25:H38" si="0">IF(AND(C25&gt;0,OR(ISBLANK(D25),ISBLANK(G25),ISBLANK(F25),ISBLANK(E25))),"Insert data","")</f>
        <v/>
      </c>
      <c r="I25" s="361"/>
      <c r="J25" s="362"/>
      <c r="K25" s="363"/>
      <c r="L25" s="157"/>
      <c r="M25" s="157"/>
      <c r="N25" s="112"/>
    </row>
    <row r="26" spans="2:14" s="4" customFormat="1" x14ac:dyDescent="0.4">
      <c r="B26" s="15"/>
      <c r="C26" s="218"/>
      <c r="D26" s="218"/>
      <c r="E26" s="258"/>
      <c r="F26" s="539"/>
      <c r="G26" s="292"/>
      <c r="H26" s="217" t="str">
        <f t="shared" si="0"/>
        <v/>
      </c>
      <c r="I26" s="361"/>
      <c r="J26" s="362"/>
      <c r="K26" s="363"/>
      <c r="L26" s="157"/>
      <c r="M26" s="157"/>
      <c r="N26" s="112"/>
    </row>
    <row r="27" spans="2:14" s="4" customFormat="1" x14ac:dyDescent="0.4">
      <c r="B27" s="15"/>
      <c r="C27" s="218"/>
      <c r="D27" s="218"/>
      <c r="E27" s="258"/>
      <c r="F27" s="539"/>
      <c r="G27" s="292"/>
      <c r="H27" s="217" t="str">
        <f t="shared" si="0"/>
        <v/>
      </c>
      <c r="I27" s="361"/>
      <c r="J27" s="362"/>
      <c r="K27" s="363"/>
      <c r="L27" s="157"/>
      <c r="M27" s="157"/>
      <c r="N27" s="112"/>
    </row>
    <row r="28" spans="2:14" s="4" customFormat="1" x14ac:dyDescent="0.4">
      <c r="B28" s="15"/>
      <c r="C28" s="218"/>
      <c r="D28" s="218"/>
      <c r="E28" s="258"/>
      <c r="F28" s="539"/>
      <c r="G28" s="292"/>
      <c r="H28" s="217" t="str">
        <f t="shared" si="0"/>
        <v/>
      </c>
      <c r="I28" s="361"/>
      <c r="J28" s="362"/>
      <c r="K28" s="363"/>
      <c r="L28" s="157"/>
      <c r="M28" s="157"/>
      <c r="N28" s="112"/>
    </row>
    <row r="29" spans="2:14" s="4" customFormat="1" x14ac:dyDescent="0.4">
      <c r="B29" s="15"/>
      <c r="C29" s="218"/>
      <c r="D29" s="218"/>
      <c r="E29" s="540"/>
      <c r="F29" s="539"/>
      <c r="G29" s="292"/>
      <c r="H29" s="217" t="str">
        <f t="shared" si="0"/>
        <v/>
      </c>
      <c r="I29" s="361"/>
      <c r="J29" s="362"/>
      <c r="K29" s="363"/>
      <c r="L29" s="157"/>
      <c r="M29" s="157"/>
      <c r="N29" s="112"/>
    </row>
    <row r="30" spans="2:14" s="4" customFormat="1" x14ac:dyDescent="0.4">
      <c r="B30" s="15"/>
      <c r="C30" s="218"/>
      <c r="D30" s="218"/>
      <c r="E30" s="540"/>
      <c r="F30" s="539"/>
      <c r="G30" s="292"/>
      <c r="H30" s="217" t="str">
        <f t="shared" si="0"/>
        <v/>
      </c>
      <c r="I30" s="361"/>
      <c r="J30" s="362"/>
      <c r="K30" s="363"/>
      <c r="L30" s="157"/>
      <c r="M30" s="157"/>
      <c r="N30" s="112"/>
    </row>
    <row r="31" spans="2:14" s="4" customFormat="1" x14ac:dyDescent="0.4">
      <c r="B31" s="15"/>
      <c r="C31" s="218"/>
      <c r="D31" s="218"/>
      <c r="E31" s="540"/>
      <c r="F31" s="539"/>
      <c r="G31" s="292"/>
      <c r="H31" s="217" t="str">
        <f t="shared" si="0"/>
        <v/>
      </c>
      <c r="I31" s="361"/>
      <c r="J31" s="362"/>
      <c r="K31" s="363"/>
      <c r="L31" s="157"/>
      <c r="M31" s="157"/>
      <c r="N31" s="112"/>
    </row>
    <row r="32" spans="2:14" s="4" customFormat="1" x14ac:dyDescent="0.4">
      <c r="B32" s="15"/>
      <c r="C32" s="218"/>
      <c r="D32" s="218"/>
      <c r="E32" s="258"/>
      <c r="F32" s="539"/>
      <c r="G32" s="292"/>
      <c r="H32" s="217" t="str">
        <f t="shared" si="0"/>
        <v/>
      </c>
      <c r="I32" s="361"/>
      <c r="J32" s="362"/>
      <c r="K32" s="363"/>
      <c r="L32" s="157"/>
      <c r="M32" s="157"/>
      <c r="N32" s="112"/>
    </row>
    <row r="33" spans="2:14" s="4" customFormat="1" x14ac:dyDescent="0.4">
      <c r="B33" s="15"/>
      <c r="C33" s="218"/>
      <c r="D33" s="218"/>
      <c r="E33" s="540"/>
      <c r="F33" s="539"/>
      <c r="G33" s="292"/>
      <c r="H33" s="217" t="str">
        <f t="shared" si="0"/>
        <v/>
      </c>
      <c r="I33" s="361"/>
      <c r="J33" s="362"/>
      <c r="K33" s="363"/>
      <c r="L33" s="157"/>
      <c r="M33" s="157"/>
      <c r="N33" s="112"/>
    </row>
    <row r="34" spans="2:14" s="4" customFormat="1" x14ac:dyDescent="0.4">
      <c r="B34" s="15"/>
      <c r="C34" s="218"/>
      <c r="D34" s="218"/>
      <c r="E34" s="540"/>
      <c r="F34" s="539"/>
      <c r="G34" s="292"/>
      <c r="H34" s="217" t="str">
        <f t="shared" si="0"/>
        <v/>
      </c>
      <c r="I34" s="361"/>
      <c r="J34" s="362"/>
      <c r="K34" s="363"/>
      <c r="L34" s="157"/>
      <c r="M34" s="157"/>
      <c r="N34" s="112"/>
    </row>
    <row r="35" spans="2:14" s="4" customFormat="1" x14ac:dyDescent="0.4">
      <c r="B35" s="15"/>
      <c r="C35" s="218"/>
      <c r="D35" s="218"/>
      <c r="E35" s="540"/>
      <c r="F35" s="539"/>
      <c r="G35" s="292"/>
      <c r="H35" s="217" t="str">
        <f t="shared" si="0"/>
        <v/>
      </c>
      <c r="I35" s="361"/>
      <c r="J35" s="362"/>
      <c r="K35" s="363"/>
      <c r="L35" s="157"/>
      <c r="M35" s="157"/>
      <c r="N35" s="112"/>
    </row>
    <row r="36" spans="2:14" s="4" customFormat="1" x14ac:dyDescent="0.4">
      <c r="B36" s="15"/>
      <c r="C36" s="218"/>
      <c r="D36" s="218"/>
      <c r="E36" s="540"/>
      <c r="F36" s="539"/>
      <c r="G36" s="292"/>
      <c r="H36" s="217" t="str">
        <f t="shared" si="0"/>
        <v/>
      </c>
      <c r="I36" s="361"/>
      <c r="J36" s="362"/>
      <c r="K36" s="363"/>
      <c r="L36" s="157"/>
      <c r="M36" s="157"/>
      <c r="N36" s="112"/>
    </row>
    <row r="37" spans="2:14" s="4" customFormat="1" x14ac:dyDescent="0.4">
      <c r="B37" s="15"/>
      <c r="C37" s="218"/>
      <c r="D37" s="218"/>
      <c r="E37" s="540"/>
      <c r="F37" s="539"/>
      <c r="G37" s="292"/>
      <c r="H37" s="217" t="str">
        <f t="shared" si="0"/>
        <v/>
      </c>
      <c r="I37" s="361"/>
      <c r="J37" s="362"/>
      <c r="K37" s="363"/>
      <c r="L37" s="157"/>
      <c r="M37" s="157"/>
      <c r="N37" s="112"/>
    </row>
    <row r="38" spans="2:14" s="4" customFormat="1" x14ac:dyDescent="0.4">
      <c r="B38" s="15"/>
      <c r="C38" s="218"/>
      <c r="D38" s="218"/>
      <c r="E38" s="540"/>
      <c r="F38" s="539"/>
      <c r="G38" s="292"/>
      <c r="H38" s="217" t="str">
        <f t="shared" si="0"/>
        <v/>
      </c>
      <c r="I38" s="361"/>
      <c r="J38" s="362"/>
      <c r="K38" s="363"/>
      <c r="L38" s="157"/>
      <c r="M38" s="157"/>
      <c r="N38" s="112"/>
    </row>
    <row r="39" spans="2:14" s="4" customFormat="1" x14ac:dyDescent="0.4">
      <c r="B39" s="15"/>
      <c r="E39" s="14"/>
      <c r="L39" s="14"/>
      <c r="N39" s="112"/>
    </row>
    <row r="40" spans="2:14" s="4" customFormat="1" x14ac:dyDescent="0.4">
      <c r="B40" s="15"/>
      <c r="C40" s="711" t="s">
        <v>98</v>
      </c>
      <c r="D40" s="711"/>
      <c r="E40" s="711"/>
      <c r="F40" s="711"/>
      <c r="G40" s="711"/>
      <c r="J40" s="740" t="s">
        <v>99</v>
      </c>
      <c r="K40" s="740"/>
      <c r="L40" s="740"/>
      <c r="M40" s="740"/>
      <c r="N40" s="112"/>
    </row>
    <row r="41" spans="2:14" s="4" customFormat="1" ht="34.5" customHeight="1" x14ac:dyDescent="0.4">
      <c r="B41" s="15"/>
      <c r="C41" s="358" t="s">
        <v>87</v>
      </c>
      <c r="D41" s="510" t="s">
        <v>88</v>
      </c>
      <c r="E41" s="511" t="s">
        <v>89</v>
      </c>
      <c r="F41" s="512" t="s">
        <v>90</v>
      </c>
      <c r="G41" s="514" t="s">
        <v>100</v>
      </c>
      <c r="J41" s="287" t="s">
        <v>46</v>
      </c>
      <c r="K41" s="287" t="s">
        <v>101</v>
      </c>
      <c r="L41" s="287" t="s">
        <v>90</v>
      </c>
      <c r="M41" s="288" t="s">
        <v>97</v>
      </c>
      <c r="N41" s="112"/>
    </row>
    <row r="42" spans="2:14" s="4" customFormat="1" x14ac:dyDescent="0.4">
      <c r="B42" s="15"/>
      <c r="C42" s="218"/>
      <c r="D42" s="541"/>
      <c r="E42" s="542"/>
      <c r="F42" s="542"/>
      <c r="G42" s="543"/>
      <c r="H42" s="217" t="str">
        <f>IF(AND(C42&gt;0,OR(ISBLANK(Feedstocks!$D42),ISBLANK(Feedstocks!$G42),ISBLANK(Feedstocks!$E42), ISBLANK(Feedstocks!$F42))),"Insert data","")</f>
        <v/>
      </c>
      <c r="I42" s="278" t="s">
        <v>102</v>
      </c>
      <c r="J42" s="218" t="s">
        <v>103</v>
      </c>
      <c r="K42" s="285">
        <f>IFERROR(INDEX(Feedstock_drymatter_nonwastes,MATCH(J42,Feedstock_for_drymatter_nonwastes,0)),"")</f>
        <v>0.35</v>
      </c>
      <c r="L42" s="285">
        <f>IFERROR(INDEX(Feedstock_volatile_solids_nonwastes,MATCH(J42,Feedstock_for_volatile_solids_nonwastes,0)),"")</f>
        <v>0.9</v>
      </c>
      <c r="M42" s="125">
        <f>IFERROR(INDEX(Biogas_yields_nonwastes,MATCH(J42,Feedstock_for_drymatter_nonwastes,0)),"")</f>
        <v>310</v>
      </c>
      <c r="N42" s="112"/>
    </row>
    <row r="43" spans="2:14" s="4" customFormat="1" x14ac:dyDescent="0.4">
      <c r="B43" s="15"/>
      <c r="C43" s="218"/>
      <c r="D43" s="541"/>
      <c r="E43" s="542"/>
      <c r="F43" s="542"/>
      <c r="G43" s="543"/>
      <c r="H43" s="217" t="str">
        <f>IF(AND(C43&gt;0,OR(ISBLANK(Feedstocks!$D43),ISBLANK(Feedstocks!$G43),ISBLANK(Feedstocks!$E43), ISBLANK(Feedstocks!$F43))),"Insert data","")</f>
        <v/>
      </c>
      <c r="I43" s="278" t="s">
        <v>104</v>
      </c>
      <c r="J43" s="218" t="s">
        <v>105</v>
      </c>
      <c r="K43" s="285">
        <f>IFERROR(INDEX(Feedstock_drymatter_wastes,MATCH(J43,Feedstock_for_drymatter_wastes,0)),"")</f>
        <v>0.24</v>
      </c>
      <c r="L43" s="285">
        <f>IFERROR(INDEX(Feedstock_volatile_solids_wastes,MATCH(J43,Feedstock_for_volatile_solids_wastes,0)),"")</f>
        <v>0.91666666666666663</v>
      </c>
      <c r="M43" s="125">
        <f>IFERROR(INDEX(Biogas_Yields_Wastes,MATCH(J43,Feedstock_for_drymatter_wastes,0)),"")</f>
        <v>450</v>
      </c>
      <c r="N43" s="112"/>
    </row>
    <row r="44" spans="2:14" s="4" customFormat="1" x14ac:dyDescent="0.4">
      <c r="B44" s="15"/>
      <c r="C44" s="218"/>
      <c r="D44" s="541"/>
      <c r="E44" s="542"/>
      <c r="F44" s="542"/>
      <c r="G44" s="543"/>
      <c r="H44" s="217" t="str">
        <f>IF(AND(C44&gt;0,OR(ISBLANK(Feedstocks!$D44),ISBLANK(Feedstocks!$G44),ISBLANK(Feedstocks!$E44), ISBLANK(Feedstocks!$F44))),"Insert data","")</f>
        <v/>
      </c>
      <c r="N44" s="112"/>
    </row>
    <row r="45" spans="2:14" s="4" customFormat="1" x14ac:dyDescent="0.4">
      <c r="B45" s="15"/>
      <c r="C45" s="218"/>
      <c r="D45" s="541"/>
      <c r="E45" s="542"/>
      <c r="F45" s="542"/>
      <c r="G45" s="543"/>
      <c r="H45" s="217" t="str">
        <f>IF(AND(C45&gt;0,OR(ISBLANK(Feedstocks!$D45),ISBLANK(Feedstocks!$G45),ISBLANK(Feedstocks!$E45), ISBLANK(Feedstocks!$F45))),"Insert data","")</f>
        <v/>
      </c>
      <c r="N45" s="112"/>
    </row>
    <row r="46" spans="2:14" s="4" customFormat="1" x14ac:dyDescent="0.4">
      <c r="B46" s="15"/>
      <c r="C46" s="218"/>
      <c r="D46" s="541"/>
      <c r="E46" s="542"/>
      <c r="F46" s="542"/>
      <c r="G46" s="543"/>
      <c r="H46" s="217" t="str">
        <f>IF(AND(C46&gt;0,OR(ISBLANK(Feedstocks!$D46),ISBLANK(Feedstocks!$G46),ISBLANK(Feedstocks!$E46), ISBLANK(Feedstocks!$F46))),"Insert data","")</f>
        <v/>
      </c>
      <c r="J46" s="271" t="s">
        <v>106</v>
      </c>
      <c r="L46" s="14"/>
      <c r="N46" s="112"/>
    </row>
    <row r="47" spans="2:14" s="4" customFormat="1" ht="16.5" customHeight="1" x14ac:dyDescent="0.4">
      <c r="B47" s="15"/>
      <c r="C47" s="218"/>
      <c r="D47" s="541"/>
      <c r="E47" s="542"/>
      <c r="F47" s="542"/>
      <c r="G47" s="543"/>
      <c r="H47" s="217" t="str">
        <f>IF(AND(C47&gt;0,OR(ISBLANK(Feedstocks!$D47),ISBLANK(Feedstocks!$G47),ISBLANK(Feedstocks!$E47), ISBLANK(Feedstocks!$F47))),"Insert data","")</f>
        <v/>
      </c>
      <c r="J47" s="741" t="s">
        <v>107</v>
      </c>
      <c r="K47" s="741"/>
      <c r="L47" s="741"/>
      <c r="M47" s="741"/>
      <c r="N47" s="112"/>
    </row>
    <row r="48" spans="2:14" s="4" customFormat="1" ht="16.5" customHeight="1" x14ac:dyDescent="0.4">
      <c r="B48" s="15"/>
      <c r="C48" s="218"/>
      <c r="D48" s="541"/>
      <c r="E48" s="542"/>
      <c r="F48" s="542"/>
      <c r="G48" s="543"/>
      <c r="H48" s="217" t="str">
        <f>IF(AND(C48&gt;0,OR(ISBLANK(Feedstocks!$D48),ISBLANK(Feedstocks!$G48),ISBLANK(Feedstocks!$E48), ISBLANK(Feedstocks!$F48))),"Insert data","")</f>
        <v/>
      </c>
      <c r="J48" s="741"/>
      <c r="K48" s="741"/>
      <c r="L48" s="741"/>
      <c r="M48" s="741"/>
      <c r="N48" s="112"/>
    </row>
    <row r="49" spans="2:14" s="4" customFormat="1" x14ac:dyDescent="0.4">
      <c r="B49" s="15"/>
      <c r="C49" s="218"/>
      <c r="D49" s="541"/>
      <c r="E49" s="542"/>
      <c r="F49" s="542"/>
      <c r="G49" s="543"/>
      <c r="H49" s="217" t="str">
        <f>IF(AND(C49&gt;0,OR(ISBLANK(Feedstocks!$D49),ISBLANK(Feedstocks!$G49),ISBLANK(Feedstocks!$E49), ISBLANK(Feedstocks!$F49))),"Insert data","")</f>
        <v/>
      </c>
      <c r="J49" s="276" t="s">
        <v>108</v>
      </c>
      <c r="K49" s="276"/>
      <c r="L49" s="277"/>
      <c r="N49" s="112"/>
    </row>
    <row r="50" spans="2:14" s="4" customFormat="1" ht="16.5" customHeight="1" x14ac:dyDescent="0.4">
      <c r="B50" s="15"/>
      <c r="C50" s="218"/>
      <c r="D50" s="541"/>
      <c r="E50" s="542"/>
      <c r="F50" s="542"/>
      <c r="G50" s="543"/>
      <c r="H50" s="217" t="str">
        <f>IF(AND(C50&gt;0,OR(ISBLANK(Feedstocks!$D50),ISBLANK(Feedstocks!$G50),ISBLANK(Feedstocks!$E50), ISBLANK(Feedstocks!$F50))),"Insert data","")</f>
        <v/>
      </c>
      <c r="J50" s="739" t="s">
        <v>109</v>
      </c>
      <c r="K50" s="739"/>
      <c r="L50" s="739"/>
      <c r="M50" s="739"/>
      <c r="N50" s="112"/>
    </row>
    <row r="51" spans="2:14" s="4" customFormat="1" x14ac:dyDescent="0.4">
      <c r="B51" s="15"/>
      <c r="C51" s="218"/>
      <c r="D51" s="541"/>
      <c r="E51" s="544"/>
      <c r="F51" s="542"/>
      <c r="G51" s="545"/>
      <c r="H51" s="217" t="str">
        <f>IF(AND(C51&gt;0,OR(ISBLANK(Feedstocks!$D51),ISBLANK(Feedstocks!$G51),ISBLANK(Feedstocks!$E51), ISBLANK(Feedstocks!$F51))),"Insert data","")</f>
        <v/>
      </c>
      <c r="J51" s="739"/>
      <c r="K51" s="739"/>
      <c r="L51" s="739"/>
      <c r="M51" s="739"/>
      <c r="N51" s="112"/>
    </row>
    <row r="52" spans="2:14" s="4" customFormat="1" x14ac:dyDescent="0.4">
      <c r="B52" s="15"/>
      <c r="C52" s="218"/>
      <c r="D52" s="541"/>
      <c r="E52" s="544"/>
      <c r="F52" s="542"/>
      <c r="G52" s="545"/>
      <c r="H52" s="217" t="str">
        <f>IF(AND(C52&gt;0,OR(ISBLANK(Feedstocks!$D52),ISBLANK(Feedstocks!$G52),ISBLANK(Feedstocks!$E52), ISBLANK(Feedstocks!$F52))),"Insert data","")</f>
        <v/>
      </c>
      <c r="J52" s="376"/>
      <c r="K52" s="376"/>
      <c r="L52" s="376"/>
      <c r="M52" s="376"/>
      <c r="N52" s="112"/>
    </row>
    <row r="53" spans="2:14" s="4" customFormat="1" x14ac:dyDescent="0.4">
      <c r="B53" s="15"/>
      <c r="C53" s="218"/>
      <c r="D53" s="541"/>
      <c r="E53" s="544"/>
      <c r="F53" s="542"/>
      <c r="G53" s="545"/>
      <c r="H53" s="217" t="str">
        <f>IF(AND(C53&gt;0,OR(ISBLANK(Feedstocks!$D53),ISBLANK(Feedstocks!$G53),ISBLANK(Feedstocks!$E53), ISBLANK(Feedstocks!$F53))),"Insert data","")</f>
        <v/>
      </c>
      <c r="J53" s="740" t="s">
        <v>110</v>
      </c>
      <c r="K53" s="740"/>
      <c r="L53" s="740"/>
      <c r="M53" s="740"/>
      <c r="N53" s="112"/>
    </row>
    <row r="54" spans="2:14" s="4" customFormat="1" x14ac:dyDescent="0.4">
      <c r="B54" s="15"/>
      <c r="C54" s="218"/>
      <c r="D54" s="541"/>
      <c r="E54" s="544"/>
      <c r="F54" s="542"/>
      <c r="G54" s="545"/>
      <c r="H54" s="217" t="str">
        <f>IF(AND(C54&gt;0,OR(ISBLANK(Feedstocks!$D54),ISBLANK(Feedstocks!$G54),ISBLANK(Feedstocks!$E54), ISBLANK(Feedstocks!$F54))),"Insert data","")</f>
        <v/>
      </c>
      <c r="J54" s="287" t="s">
        <v>111</v>
      </c>
      <c r="K54" s="287" t="s">
        <v>112</v>
      </c>
      <c r="L54" s="287" t="s">
        <v>113</v>
      </c>
      <c r="M54" s="288" t="s">
        <v>114</v>
      </c>
      <c r="N54" s="112"/>
    </row>
    <row r="55" spans="2:14" s="4" customFormat="1" x14ac:dyDescent="0.4">
      <c r="B55" s="15"/>
      <c r="C55" s="218"/>
      <c r="D55" s="541"/>
      <c r="E55" s="544"/>
      <c r="F55" s="542"/>
      <c r="G55" s="545"/>
      <c r="H55" s="217" t="str">
        <f>IF(AND(C55&gt;0,OR(ISBLANK(Feedstocks!$D55),ISBLANK(Feedstocks!$G55),ISBLANK(Feedstocks!$E55), ISBLANK(Feedstocks!$F55))),"Insert data","")</f>
        <v/>
      </c>
      <c r="J55" s="285" t="str">
        <f>C9</f>
        <v>Products</v>
      </c>
      <c r="K55" s="377">
        <f>SUM(Plant_Inputs_Products_Table[Tonnes])</f>
        <v>0</v>
      </c>
      <c r="L55" s="377">
        <f>SUMPRODUCT(Plant_Inputs_Products_Table[Tonnes],Plant_Inputs_Products_Table[Feedstock dry matter content (%)*])</f>
        <v>0</v>
      </c>
      <c r="M55" s="377">
        <f>SUMPRODUCT(Plant_Inputs_Products_Table[Tonnes],Plant_Inputs_Products_Table[Feedstock dry matter content (%)*],Plant_Inputs_Products_Table[Volatile solid content (% of dry matter)])</f>
        <v>0</v>
      </c>
      <c r="N55" s="112"/>
    </row>
    <row r="56" spans="2:14" s="4" customFormat="1" x14ac:dyDescent="0.4">
      <c r="B56" s="15"/>
      <c r="C56" s="218"/>
      <c r="D56" s="541"/>
      <c r="E56" s="544"/>
      <c r="F56" s="542"/>
      <c r="G56" s="545"/>
      <c r="H56" s="217" t="str">
        <f>IF(AND(C56&gt;0,OR(ISBLANK(Feedstocks!$D56),ISBLANK(Feedstocks!$G56),ISBLANK(Feedstocks!$E56), ISBLANK(Feedstocks!$F56))),"Insert data","")</f>
        <v/>
      </c>
      <c r="J56" s="285" t="str">
        <f>C22</f>
        <v>Residues</v>
      </c>
      <c r="K56" s="377">
        <f>SUM(Feedstocks!$D$24:$D$38)</f>
        <v>0</v>
      </c>
      <c r="L56" s="377">
        <f>SUMPRODUCT(Feedstocks!$D$24:$D$38,Feedstocks!$E$24:$E$38)</f>
        <v>0</v>
      </c>
      <c r="M56" s="377">
        <f>SUMPRODUCT(Feedstocks!$D$24:$D$38,Feedstocks!$E$24:$E$38,Feedstocks!$F$24:$F$38)</f>
        <v>0</v>
      </c>
      <c r="N56" s="112"/>
    </row>
    <row r="57" spans="2:14" s="4" customFormat="1" x14ac:dyDescent="0.4">
      <c r="B57" s="15"/>
      <c r="C57" s="218"/>
      <c r="D57" s="541"/>
      <c r="E57" s="542"/>
      <c r="F57" s="542"/>
      <c r="G57" s="543"/>
      <c r="H57" s="217" t="str">
        <f>IF(AND(C57&gt;0,OR(ISBLANK(Feedstocks!$D57),ISBLANK(Feedstocks!$G57),ISBLANK(Feedstocks!$E57), ISBLANK(Feedstocks!$F57))),"Insert data","")</f>
        <v/>
      </c>
      <c r="J57" s="285" t="str">
        <f>C40</f>
        <v>Wastes (without manures)</v>
      </c>
      <c r="K57" s="377">
        <f>SUM(Feedstocks!$D$42:$D$66)</f>
        <v>0</v>
      </c>
      <c r="L57" s="377">
        <f>SUMPRODUCT(Feedstocks!$D$42:$D$66,Feedstocks!$E$42:$E$66)</f>
        <v>0</v>
      </c>
      <c r="M57" s="377">
        <f>SUMPRODUCT(Feedstocks!$D$42:$D$66,Feedstocks!$E$42:$E$66,Feedstocks!$F$42:$F$66)</f>
        <v>0</v>
      </c>
      <c r="N57" s="112"/>
    </row>
    <row r="58" spans="2:14" s="4" customFormat="1" x14ac:dyDescent="0.4">
      <c r="B58" s="15"/>
      <c r="C58" s="218"/>
      <c r="D58" s="541"/>
      <c r="E58" s="542"/>
      <c r="F58" s="542"/>
      <c r="G58" s="543"/>
      <c r="H58" s="217" t="str">
        <f>IF(AND(C58&gt;0,OR(ISBLANK(Feedstocks!$D58),ISBLANK(Feedstocks!$G58),ISBLANK(Feedstocks!$E58), ISBLANK(Feedstocks!$F58))),"Insert data","")</f>
        <v/>
      </c>
      <c r="J58" s="285" t="str">
        <f>C68</f>
        <v>Manures</v>
      </c>
      <c r="K58" s="377">
        <f>SUM(Feedstocks!$D$70:$D$74)</f>
        <v>0</v>
      </c>
      <c r="L58" s="377">
        <f>SUMPRODUCT(Feedstocks!$D$70:$D$74,Feedstocks!$E$70:$E$74)</f>
        <v>0</v>
      </c>
      <c r="M58" s="377">
        <f>SUMPRODUCT(Feedstocks!$D$70:$D$74,Feedstocks!$E$70:$E$74,Feedstocks!$F$70:$F$74)</f>
        <v>0</v>
      </c>
      <c r="N58" s="112"/>
    </row>
    <row r="59" spans="2:14" s="4" customFormat="1" x14ac:dyDescent="0.4">
      <c r="B59" s="15"/>
      <c r="C59" s="218"/>
      <c r="D59" s="541"/>
      <c r="E59" s="542"/>
      <c r="F59" s="542"/>
      <c r="G59" s="543"/>
      <c r="H59" s="217" t="str">
        <f>IF(AND(C59&gt;0,OR(ISBLANK(Feedstocks!$D59),ISBLANK(Feedstocks!$G59),ISBLANK(Feedstocks!$E59), ISBLANK(Feedstocks!$F59))),"Insert data","")</f>
        <v/>
      </c>
      <c r="J59" s="285" t="str">
        <f>C76</f>
        <v>GGSS-ineligible feedstocks</v>
      </c>
      <c r="K59" s="377">
        <f>SUM(Feedstocks!$D$78:$D$82)</f>
        <v>0</v>
      </c>
      <c r="L59" s="377">
        <f>SUMPRODUCT(Feedstocks!$D$78:$D$82,Feedstocks!$E$78:$E$82)</f>
        <v>0</v>
      </c>
      <c r="M59" s="377">
        <f>SUMPRODUCT(Feedstocks!$D$78:$D$82,Feedstocks!$E$78:$E$82,Feedstocks!$F$78:$F$82)</f>
        <v>0</v>
      </c>
      <c r="N59" s="112"/>
    </row>
    <row r="60" spans="2:14" s="4" customFormat="1" x14ac:dyDescent="0.4">
      <c r="B60" s="15"/>
      <c r="C60" s="218"/>
      <c r="D60" s="541"/>
      <c r="E60" s="542"/>
      <c r="F60" s="542"/>
      <c r="G60" s="543"/>
      <c r="H60" s="217" t="str">
        <f>IF(AND(C60&gt;0,OR(ISBLANK(Feedstocks!$D60),ISBLANK(Feedstocks!$G60),ISBLANK(Feedstocks!$E60), ISBLANK(Feedstocks!$F60))),"Insert data","")</f>
        <v/>
      </c>
      <c r="J60" s="376" t="s">
        <v>70</v>
      </c>
      <c r="K60" s="378">
        <f>SUM(K55:K58)</f>
        <v>0</v>
      </c>
      <c r="L60" s="378">
        <f>SUM(L55:L58)</f>
        <v>0</v>
      </c>
      <c r="M60" s="378">
        <f>SUM(M55:M58)</f>
        <v>0</v>
      </c>
      <c r="N60" s="112"/>
    </row>
    <row r="61" spans="2:14" s="4" customFormat="1" x14ac:dyDescent="0.4">
      <c r="B61" s="15"/>
      <c r="C61" s="218"/>
      <c r="D61" s="541"/>
      <c r="E61" s="542"/>
      <c r="F61" s="542"/>
      <c r="G61" s="543"/>
      <c r="H61" s="217" t="str">
        <f>IF(AND(C61&gt;0,OR(ISBLANK(Feedstocks!$D61),ISBLANK(Feedstocks!$G61),ISBLANK(Feedstocks!$E61), ISBLANK(Feedstocks!$F61))),"Insert data","")</f>
        <v/>
      </c>
      <c r="J61" s="376"/>
      <c r="K61" s="376"/>
      <c r="L61" s="376"/>
      <c r="M61" s="376"/>
      <c r="N61" s="112"/>
    </row>
    <row r="62" spans="2:14" s="4" customFormat="1" x14ac:dyDescent="0.4">
      <c r="B62" s="15"/>
      <c r="C62" s="218"/>
      <c r="D62" s="541"/>
      <c r="E62" s="542"/>
      <c r="F62" s="542"/>
      <c r="G62" s="543"/>
      <c r="H62" s="217" t="str">
        <f>IF(AND(C62&gt;0,OR(ISBLANK(Feedstocks!$D62),ISBLANK(Feedstocks!$G62),ISBLANK(Feedstocks!$E62), ISBLANK(Feedstocks!$F62))),"Insert data","")</f>
        <v/>
      </c>
      <c r="J62" s="376"/>
      <c r="K62" s="376"/>
      <c r="L62" s="376"/>
      <c r="M62" s="376"/>
      <c r="N62" s="112"/>
    </row>
    <row r="63" spans="2:14" s="4" customFormat="1" x14ac:dyDescent="0.4">
      <c r="B63" s="15"/>
      <c r="C63" s="218"/>
      <c r="D63" s="541"/>
      <c r="E63" s="542"/>
      <c r="F63" s="542"/>
      <c r="G63" s="543"/>
      <c r="H63" s="217" t="str">
        <f>IF(AND(C63&gt;0,OR(ISBLANK(Feedstocks!$D63),ISBLANK(Feedstocks!$G63),ISBLANK(Feedstocks!$E63), ISBLANK(Feedstocks!$F63))),"Insert data","")</f>
        <v/>
      </c>
      <c r="J63" s="376"/>
      <c r="K63" s="376"/>
      <c r="L63" s="376"/>
      <c r="M63" s="376"/>
      <c r="N63" s="112"/>
    </row>
    <row r="64" spans="2:14" s="4" customFormat="1" x14ac:dyDescent="0.4">
      <c r="B64" s="15"/>
      <c r="C64" s="218"/>
      <c r="D64" s="541"/>
      <c r="E64" s="542"/>
      <c r="F64" s="542"/>
      <c r="G64" s="543"/>
      <c r="H64" s="217" t="str">
        <f>IF(AND(C64&gt;0,OR(ISBLANK(Feedstocks!$D64),ISBLANK(Feedstocks!$G64),ISBLANK(Feedstocks!$E64), ISBLANK(Feedstocks!$F64))),"Insert data","")</f>
        <v/>
      </c>
      <c r="J64" s="376"/>
      <c r="K64" s="376"/>
      <c r="L64" s="376"/>
      <c r="M64" s="376"/>
      <c r="N64" s="112"/>
    </row>
    <row r="65" spans="2:14" s="4" customFormat="1" x14ac:dyDescent="0.4">
      <c r="B65" s="15"/>
      <c r="C65" s="218"/>
      <c r="D65" s="541"/>
      <c r="E65" s="542"/>
      <c r="F65" s="542"/>
      <c r="G65" s="543"/>
      <c r="H65" s="217" t="str">
        <f>IF(AND(C65&gt;0,OR(ISBLANK(Feedstocks!$D65),ISBLANK(Feedstocks!$G65),ISBLANK(Feedstocks!$E65), ISBLANK(Feedstocks!$F65))),"Insert data","")</f>
        <v/>
      </c>
      <c r="J65" s="376"/>
      <c r="K65" s="376"/>
      <c r="L65" s="376"/>
      <c r="M65" s="376"/>
      <c r="N65" s="112"/>
    </row>
    <row r="66" spans="2:14" s="4" customFormat="1" x14ac:dyDescent="0.4">
      <c r="B66" s="15"/>
      <c r="C66" s="218"/>
      <c r="D66" s="546"/>
      <c r="E66" s="290"/>
      <c r="F66" s="290"/>
      <c r="G66" s="547"/>
      <c r="H66" s="217" t="str">
        <f>IF(AND(C66&gt;0,OR(ISBLANK(Feedstocks!$D66),ISBLANK(Feedstocks!$G66),ISBLANK(Feedstocks!$E66), ISBLANK(Feedstocks!$F66))),"Insert data","")</f>
        <v/>
      </c>
      <c r="J66" s="376"/>
      <c r="K66" s="376"/>
      <c r="L66" s="376"/>
      <c r="M66" s="376"/>
      <c r="N66" s="112"/>
    </row>
    <row r="67" spans="2:14" s="4" customFormat="1" x14ac:dyDescent="0.4">
      <c r="B67" s="15"/>
      <c r="E67" s="14"/>
      <c r="L67" s="14"/>
      <c r="N67" s="112"/>
    </row>
    <row r="68" spans="2:14" s="4" customFormat="1" x14ac:dyDescent="0.4">
      <c r="B68" s="15"/>
      <c r="C68" s="711" t="s">
        <v>115</v>
      </c>
      <c r="D68" s="711"/>
      <c r="E68" s="711"/>
      <c r="F68" s="711"/>
      <c r="G68" s="711"/>
      <c r="N68" s="112"/>
    </row>
    <row r="69" spans="2:14" s="4" customFormat="1" ht="51" x14ac:dyDescent="0.4">
      <c r="B69" s="15"/>
      <c r="C69" s="515" t="s">
        <v>87</v>
      </c>
      <c r="D69" s="515" t="s">
        <v>88</v>
      </c>
      <c r="E69" s="516" t="s">
        <v>116</v>
      </c>
      <c r="F69" s="517" t="s">
        <v>90</v>
      </c>
      <c r="G69" s="518" t="s">
        <v>117</v>
      </c>
      <c r="I69" s="359"/>
      <c r="L69" s="14"/>
      <c r="N69" s="112"/>
    </row>
    <row r="70" spans="2:14" s="4" customFormat="1" x14ac:dyDescent="0.4">
      <c r="B70" s="15"/>
      <c r="C70" s="218"/>
      <c r="D70" s="218"/>
      <c r="E70" s="539"/>
      <c r="F70" s="539"/>
      <c r="G70" s="292"/>
      <c r="H70" s="519" t="str">
        <f>IF(AND(C70&gt;0,OR(ISBLANK(D70),ISBLANK(G70),ISBLANK(F70),ISBLANK(E70))),"Insert data","")</f>
        <v/>
      </c>
      <c r="N70" s="112"/>
    </row>
    <row r="71" spans="2:14" s="4" customFormat="1" x14ac:dyDescent="0.4">
      <c r="B71" s="15"/>
      <c r="C71" s="218"/>
      <c r="D71" s="218"/>
      <c r="E71" s="539"/>
      <c r="F71" s="539"/>
      <c r="G71" s="292"/>
      <c r="H71" s="519" t="str">
        <f t="shared" ref="H71:H74" si="1">IF(AND(C71&gt;0,OR(ISBLANK(D71),ISBLANK(G71),ISBLANK(F71),ISBLANK(E71))),"Insert data","")</f>
        <v/>
      </c>
      <c r="N71" s="112"/>
    </row>
    <row r="72" spans="2:14" s="4" customFormat="1" x14ac:dyDescent="0.4">
      <c r="B72" s="15"/>
      <c r="C72" s="218"/>
      <c r="D72" s="218"/>
      <c r="E72" s="539"/>
      <c r="F72" s="539"/>
      <c r="G72" s="292"/>
      <c r="H72" s="519" t="str">
        <f t="shared" si="1"/>
        <v/>
      </c>
      <c r="N72" s="112"/>
    </row>
    <row r="73" spans="2:14" s="4" customFormat="1" x14ac:dyDescent="0.4">
      <c r="B73" s="15"/>
      <c r="C73" s="218"/>
      <c r="D73" s="218"/>
      <c r="E73" s="539"/>
      <c r="F73" s="539"/>
      <c r="G73" s="292"/>
      <c r="H73" s="519" t="str">
        <f t="shared" si="1"/>
        <v/>
      </c>
      <c r="N73" s="112"/>
    </row>
    <row r="74" spans="2:14" s="4" customFormat="1" x14ac:dyDescent="0.4">
      <c r="B74" s="15"/>
      <c r="C74" s="218"/>
      <c r="D74" s="218"/>
      <c r="E74" s="539"/>
      <c r="F74" s="539"/>
      <c r="G74" s="292"/>
      <c r="H74" s="519" t="str">
        <f t="shared" si="1"/>
        <v/>
      </c>
      <c r="N74" s="112"/>
    </row>
    <row r="75" spans="2:14" s="4" customFormat="1" x14ac:dyDescent="0.4">
      <c r="B75" s="15"/>
      <c r="E75" s="14"/>
      <c r="L75" s="14"/>
      <c r="N75" s="112"/>
    </row>
    <row r="76" spans="2:14" s="4" customFormat="1" x14ac:dyDescent="0.4">
      <c r="B76" s="15"/>
      <c r="C76" s="711" t="s">
        <v>118</v>
      </c>
      <c r="D76" s="711"/>
      <c r="E76" s="711"/>
      <c r="F76" s="711"/>
      <c r="G76" s="711"/>
      <c r="N76" s="112"/>
    </row>
    <row r="77" spans="2:14" s="4" customFormat="1" ht="51" x14ac:dyDescent="0.4">
      <c r="B77" s="15"/>
      <c r="C77" s="515" t="s">
        <v>87</v>
      </c>
      <c r="D77" s="515" t="s">
        <v>88</v>
      </c>
      <c r="E77" s="516" t="s">
        <v>116</v>
      </c>
      <c r="F77" s="517" t="s">
        <v>90</v>
      </c>
      <c r="G77" s="518" t="s">
        <v>117</v>
      </c>
      <c r="I77" s="359"/>
      <c r="L77" s="14"/>
      <c r="N77" s="112"/>
    </row>
    <row r="78" spans="2:14" s="4" customFormat="1" x14ac:dyDescent="0.4">
      <c r="B78" s="15"/>
      <c r="C78" s="218"/>
      <c r="D78" s="218"/>
      <c r="E78" s="539"/>
      <c r="F78" s="539"/>
      <c r="G78" s="292"/>
      <c r="H78" s="519" t="str">
        <f>IF(AND(C78&gt;0,OR(ISBLANK(D78),ISBLANK(G78),ISBLANK(F78),ISBLANK(E78))),"Insert data","")</f>
        <v/>
      </c>
      <c r="N78" s="112"/>
    </row>
    <row r="79" spans="2:14" s="4" customFormat="1" x14ac:dyDescent="0.4">
      <c r="B79" s="15"/>
      <c r="C79" s="218"/>
      <c r="D79" s="218"/>
      <c r="E79" s="539"/>
      <c r="F79" s="539"/>
      <c r="G79" s="292"/>
      <c r="H79" s="519" t="str">
        <f t="shared" ref="H79:H82" si="2">IF(AND(C79&gt;0,OR(ISBLANK(D79),ISBLANK(G79),ISBLANK(F79),ISBLANK(E79))),"Insert data","")</f>
        <v/>
      </c>
      <c r="N79" s="112"/>
    </row>
    <row r="80" spans="2:14" s="4" customFormat="1" x14ac:dyDescent="0.4">
      <c r="B80" s="15"/>
      <c r="C80" s="218"/>
      <c r="D80" s="218"/>
      <c r="E80" s="539"/>
      <c r="F80" s="539"/>
      <c r="G80" s="292"/>
      <c r="H80" s="519" t="str">
        <f t="shared" si="2"/>
        <v/>
      </c>
      <c r="N80" s="112"/>
    </row>
    <row r="81" spans="2:14" s="4" customFormat="1" x14ac:dyDescent="0.4">
      <c r="B81" s="15"/>
      <c r="C81" s="218"/>
      <c r="D81" s="218"/>
      <c r="E81" s="539"/>
      <c r="F81" s="539"/>
      <c r="G81" s="292"/>
      <c r="H81" s="519" t="str">
        <f t="shared" si="2"/>
        <v/>
      </c>
      <c r="N81" s="112"/>
    </row>
    <row r="82" spans="2:14" s="4" customFormat="1" x14ac:dyDescent="0.4">
      <c r="B82" s="15"/>
      <c r="C82" s="218"/>
      <c r="D82" s="218"/>
      <c r="E82" s="539"/>
      <c r="F82" s="539"/>
      <c r="G82" s="292"/>
      <c r="H82" s="519" t="str">
        <f t="shared" si="2"/>
        <v/>
      </c>
      <c r="N82" s="112"/>
    </row>
    <row r="83" spans="2:14" s="4" customFormat="1" x14ac:dyDescent="0.4">
      <c r="B83" s="111"/>
      <c r="C83" s="113"/>
      <c r="D83" s="113"/>
      <c r="E83" s="149"/>
      <c r="F83" s="113"/>
      <c r="G83" s="113"/>
      <c r="H83" s="113"/>
      <c r="I83" s="113"/>
      <c r="J83" s="113"/>
      <c r="K83" s="113"/>
      <c r="L83" s="149"/>
      <c r="M83" s="113"/>
      <c r="N83" s="114"/>
    </row>
    <row r="84" spans="2:14" s="4" customFormat="1" x14ac:dyDescent="0.4">
      <c r="E84" s="14"/>
      <c r="L84" s="14"/>
    </row>
    <row r="85" spans="2:14" s="1" customFormat="1" ht="11.25" customHeight="1" x14ac:dyDescent="0.35">
      <c r="B85" s="2"/>
      <c r="C85" s="3"/>
      <c r="D85" s="2"/>
      <c r="E85" s="82"/>
      <c r="L85" s="82"/>
    </row>
    <row r="86" spans="2:14" s="200" customFormat="1" ht="3.75" customHeight="1" thickBot="1" x14ac:dyDescent="0.45">
      <c r="E86" s="209"/>
      <c r="L86" s="209"/>
    </row>
  </sheetData>
  <sheetProtection algorithmName="SHA-512" hashValue="Orxrj6GkEQaA2MrbGzNePFrtDpflut+dvFh+CxOv/sl0r2MGJ2iCkzMfSoxZAOmNKLzji/u5s6PACwxEb98I3g==" saltValue="T9G/TQHA1SMfmeidt6P6YA==" spinCount="100000" sheet="1" objects="1" scenarios="1"/>
  <mergeCells count="21">
    <mergeCell ref="B5:M5"/>
    <mergeCell ref="B7:N7"/>
    <mergeCell ref="J40:M40"/>
    <mergeCell ref="L11:M11"/>
    <mergeCell ref="L12:M12"/>
    <mergeCell ref="L13:M13"/>
    <mergeCell ref="L14:M14"/>
    <mergeCell ref="L15:M15"/>
    <mergeCell ref="L16:M16"/>
    <mergeCell ref="L17:M17"/>
    <mergeCell ref="L18:M18"/>
    <mergeCell ref="L19:M19"/>
    <mergeCell ref="L20:M20"/>
    <mergeCell ref="C9:K9"/>
    <mergeCell ref="C22:G22"/>
    <mergeCell ref="C76:G76"/>
    <mergeCell ref="J50:M51"/>
    <mergeCell ref="J53:M53"/>
    <mergeCell ref="J47:M48"/>
    <mergeCell ref="C40:G40"/>
    <mergeCell ref="C68:G68"/>
  </mergeCells>
  <phoneticPr fontId="71" type="noConversion"/>
  <conditionalFormatting sqref="A22:C22 H22:XFD22 N23:XFD38 I39:P39 T39:XFD43">
    <cfRule type="cellIs" dxfId="2422" priority="316" operator="equal">
      <formula>"Warning - crop dry matter content higher than feedstock dry matter content"</formula>
    </cfRule>
  </conditionalFormatting>
  <conditionalFormatting sqref="A68:C68 M68">
    <cfRule type="cellIs" dxfId="2421" priority="360" operator="equal">
      <formula>"Insert data"</formula>
    </cfRule>
    <cfRule type="cellIs" dxfId="2420" priority="359" operator="equal">
      <formula>"Insert unit"</formula>
    </cfRule>
    <cfRule type="cellIs" dxfId="2419" priority="358" operator="equal">
      <formula>"Warning - crop dry matter content higher than feedstock dry matter content"</formula>
    </cfRule>
  </conditionalFormatting>
  <conditionalFormatting sqref="A76:C76 M76">
    <cfRule type="cellIs" dxfId="2418" priority="28" operator="equal">
      <formula>"Warning - crop dry matter content higher than feedstock dry matter content"</formula>
    </cfRule>
    <cfRule type="cellIs" dxfId="2417" priority="29" operator="equal">
      <formula>"Insert unit"</formula>
    </cfRule>
    <cfRule type="cellIs" dxfId="2416" priority="30" operator="equal">
      <formula>"Insert data"</formula>
    </cfRule>
  </conditionalFormatting>
  <conditionalFormatting sqref="A70:E74">
    <cfRule type="cellIs" dxfId="2415" priority="52" operator="equal">
      <formula>"Warning - crop dry matter content higher than feedstock dry matter content"</formula>
    </cfRule>
    <cfRule type="cellIs" dxfId="2414" priority="53" operator="equal">
      <formula>"Insert unit"</formula>
    </cfRule>
    <cfRule type="cellIs" dxfId="2413" priority="54" operator="equal">
      <formula>"Insert data"</formula>
    </cfRule>
  </conditionalFormatting>
  <conditionalFormatting sqref="A78:E82">
    <cfRule type="cellIs" dxfId="2412" priority="6" operator="equal">
      <formula>"Insert data"</formula>
    </cfRule>
    <cfRule type="cellIs" dxfId="2411" priority="4" operator="equal">
      <formula>"Warning - crop dry matter content higher than feedstock dry matter content"</formula>
    </cfRule>
    <cfRule type="cellIs" dxfId="2410" priority="5" operator="equal">
      <formula>"Insert unit"</formula>
    </cfRule>
  </conditionalFormatting>
  <conditionalFormatting sqref="A41:G67">
    <cfRule type="cellIs" dxfId="2409" priority="69" operator="equal">
      <formula>"Insert data"</formula>
    </cfRule>
    <cfRule type="cellIs" dxfId="2408" priority="68" operator="equal">
      <formula>"Insert unit"</formula>
    </cfRule>
    <cfRule type="cellIs" dxfId="2407" priority="67" operator="equal">
      <formula>"Warning - crop dry matter content higher than feedstock dry matter content"</formula>
    </cfRule>
  </conditionalFormatting>
  <conditionalFormatting sqref="A69:G69">
    <cfRule type="cellIs" dxfId="2406" priority="361" operator="equal">
      <formula>"Warning - crop dry matter content higher than feedstock dry matter content"</formula>
    </cfRule>
    <cfRule type="cellIs" dxfId="2405" priority="363" operator="equal">
      <formula>"Insert data"</formula>
    </cfRule>
    <cfRule type="cellIs" dxfId="2404" priority="362" operator="equal">
      <formula>"Insert unit"</formula>
    </cfRule>
  </conditionalFormatting>
  <conditionalFormatting sqref="A24:H38">
    <cfRule type="cellIs" dxfId="2403" priority="56" operator="equal">
      <formula>"Insert unit"</formula>
    </cfRule>
    <cfRule type="cellIs" dxfId="2402" priority="57" operator="equal">
      <formula>"Insert data"</formula>
    </cfRule>
  </conditionalFormatting>
  <conditionalFormatting sqref="A24:K38">
    <cfRule type="cellIs" dxfId="2401" priority="55" operator="equal">
      <formula>"Warning - crop dry matter content higher than feedstock dry matter content"</formula>
    </cfRule>
  </conditionalFormatting>
  <conditionalFormatting sqref="A1:XFD4 A5 N5:XFD5 A6:XFD6 A7:B7 O7:XFD7 A8:XFD8 A9:C9 L9:XFD9 A10:XFD10 A11:B20 I11:L20 N11:XFD20 A21:G21 I21:P21 T21:XFD21 A23:L23 A39:G39 A40:C40 I40:I41 N40:P43 K41:L43 M44:XFD46 J46:L46 N47:XFD48 J49:XFD49 J50 N50:XFD66 A75:G75 A77:G77 A83:XFD1048576">
    <cfRule type="cellIs" dxfId="2400" priority="406" operator="equal">
      <formula>"Warning - crop dry matter content higher than feedstock dry matter content"</formula>
    </cfRule>
  </conditionalFormatting>
  <conditionalFormatting sqref="C11:C20">
    <cfRule type="cellIs" dxfId="2399" priority="271" operator="equal">
      <formula>"Warning - crop dry matter content higher than feedstock dry matter content"</formula>
    </cfRule>
    <cfRule type="cellIs" dxfId="2398" priority="272" operator="equal">
      <formula>"Insert unit"</formula>
    </cfRule>
    <cfRule type="cellIs" dxfId="2397" priority="273" operator="equal">
      <formula>"Insert data"</formula>
    </cfRule>
  </conditionalFormatting>
  <conditionalFormatting sqref="C70:D70">
    <cfRule type="cellIs" dxfId="2396" priority="230" operator="equal">
      <formula>"Insert unit"</formula>
    </cfRule>
    <cfRule type="cellIs" dxfId="2395" priority="231" operator="equal">
      <formula>"Insert data"</formula>
    </cfRule>
    <cfRule type="cellIs" dxfId="2394" priority="229" operator="equal">
      <formula>"Warning - crop dry matter content higher than feedstock dry matter content"</formula>
    </cfRule>
  </conditionalFormatting>
  <conditionalFormatting sqref="D78">
    <cfRule type="cellIs" dxfId="2393" priority="2" operator="equal">
      <formula>"Insert unit"</formula>
    </cfRule>
    <cfRule type="cellIs" dxfId="2392" priority="1" operator="equal">
      <formula>"Warning - crop dry matter content higher than feedstock dry matter content"</formula>
    </cfRule>
    <cfRule type="cellIs" dxfId="2391" priority="3" operator="equal">
      <formula>"Insert data"</formula>
    </cfRule>
  </conditionalFormatting>
  <conditionalFormatting sqref="D11:G20">
    <cfRule type="cellIs" dxfId="2390" priority="268" operator="equal">
      <formula>"Warning - crop dry matter content higher than feedstock dry matter content"</formula>
    </cfRule>
    <cfRule type="cellIs" dxfId="2389" priority="269" operator="equal">
      <formula>"Insert unit"</formula>
    </cfRule>
    <cfRule type="cellIs" dxfId="2388" priority="270" operator="equal">
      <formula>"Insert data"</formula>
    </cfRule>
  </conditionalFormatting>
  <conditionalFormatting sqref="F70:G75 F77:G82">
    <cfRule type="cellIs" dxfId="2387" priority="31" operator="equal">
      <formula>"Warning - crop dry matter content higher than feedstock dry matter content"</formula>
    </cfRule>
    <cfRule type="cellIs" dxfId="2386" priority="33" operator="equal">
      <formula>"Insert data"</formula>
    </cfRule>
    <cfRule type="cellIs" dxfId="2385" priority="32" operator="equal">
      <formula>"Insert unit"</formula>
    </cfRule>
  </conditionalFormatting>
  <conditionalFormatting sqref="H11:H20">
    <cfRule type="cellIs" dxfId="2384" priority="274" operator="equal">
      <formula>"Warning - crop dry matter content higher than feedstock dry matter content"</formula>
    </cfRule>
    <cfRule type="cellIs" dxfId="2383" priority="275" operator="equal">
      <formula>"Insert unit"</formula>
    </cfRule>
    <cfRule type="cellIs" dxfId="2382" priority="276" operator="equal">
      <formula>"Insert data"</formula>
    </cfRule>
  </conditionalFormatting>
  <conditionalFormatting sqref="H42:H82">
    <cfRule type="cellIs" dxfId="2381" priority="327" operator="equal">
      <formula>"Insert data"</formula>
    </cfRule>
    <cfRule type="cellIs" dxfId="2380" priority="326" operator="equal">
      <formula>"Insert unit"</formula>
    </cfRule>
    <cfRule type="cellIs" dxfId="2379" priority="325" operator="equal">
      <formula>"Warning - crop dry matter content higher than feedstock dry matter content"</formula>
    </cfRule>
  </conditionalFormatting>
  <conditionalFormatting sqref="I11:I20">
    <cfRule type="cellIs" dxfId="2378" priority="433" operator="equal">
      <formula>"Actual"</formula>
    </cfRule>
    <cfRule type="cellIs" dxfId="2377" priority="434" operator="equal">
      <formula>"Default"</formula>
    </cfRule>
  </conditionalFormatting>
  <conditionalFormatting sqref="I24:I38">
    <cfRule type="cellIs" dxfId="2376" priority="323" operator="equal">
      <formula>"Actual"</formula>
    </cfRule>
    <cfRule type="cellIs" dxfId="2375" priority="324" operator="equal">
      <formula>"Default"</formula>
    </cfRule>
  </conditionalFormatting>
  <conditionalFormatting sqref="I24:K38 A22:C22 H22:XFD22 N23:XFD38 I39:P39 T39:XFD43">
    <cfRule type="cellIs" dxfId="2374" priority="321" operator="equal">
      <formula>"Insert unit"</formula>
    </cfRule>
    <cfRule type="cellIs" dxfId="2373" priority="322" operator="equal">
      <formula>"Insert data"</formula>
    </cfRule>
  </conditionalFormatting>
  <conditionalFormatting sqref="I11:L20 A1:XFD4 A5 N5:XFD5 A6:XFD6 A7:B7 O7:XFD7 A8:XFD8 A9:C9 L9:XFD9 A10:XFD10 A11:B20 N11:XFD20 A21:G21 I21:P21 T21:XFD21 A23:L23 A39:G39 A40:C40 I40:I41 N40:P43 K41:L43 M44:XFD46 J46:L46 N47:XFD48 J49:XFD49 J50 N50:XFD66 A75:G75 A77:G77 A83:XFD1048576">
    <cfRule type="cellIs" dxfId="2372" priority="426" operator="equal">
      <formula>"Insert data"</formula>
    </cfRule>
    <cfRule type="cellIs" dxfId="2371" priority="425" operator="equal">
      <formula>"Insert unit"</formula>
    </cfRule>
  </conditionalFormatting>
  <conditionalFormatting sqref="I69:M69">
    <cfRule type="cellIs" dxfId="2370" priority="342" operator="equal">
      <formula>"Insert data"</formula>
    </cfRule>
    <cfRule type="cellIs" dxfId="2369" priority="340" operator="equal">
      <formula>"Warning - crop dry matter content higher than feedstock dry matter content"</formula>
    </cfRule>
    <cfRule type="cellIs" dxfId="2368" priority="341" operator="equal">
      <formula>"Insert unit"</formula>
    </cfRule>
  </conditionalFormatting>
  <conditionalFormatting sqref="I77:M77">
    <cfRule type="cellIs" dxfId="2367" priority="22" operator="equal">
      <formula>"Warning - crop dry matter content higher than feedstock dry matter content"</formula>
    </cfRule>
    <cfRule type="cellIs" dxfId="2366" priority="23" operator="equal">
      <formula>"Insert unit"</formula>
    </cfRule>
    <cfRule type="cellIs" dxfId="2365" priority="24" operator="equal">
      <formula>"Insert data"</formula>
    </cfRule>
  </conditionalFormatting>
  <conditionalFormatting sqref="I67:P67 Q67:XFD82 N68:P74 I75:P75 N76:P82">
    <cfRule type="cellIs" dxfId="2364" priority="369" operator="equal">
      <formula>"Insert data"</formula>
    </cfRule>
    <cfRule type="cellIs" dxfId="2363" priority="368" operator="equal">
      <formula>"Insert unit"</formula>
    </cfRule>
    <cfRule type="cellIs" dxfId="2362" priority="367" operator="equal">
      <formula>"Warning - crop dry matter content higher than feedstock dry matter content"</formula>
    </cfRule>
  </conditionalFormatting>
  <conditionalFormatting sqref="J11:J20">
    <cfRule type="expression" dxfId="2361" priority="418">
      <formula>I11="Default"</formula>
    </cfRule>
    <cfRule type="expression" dxfId="2360" priority="417">
      <formula>I11="Actual"</formula>
    </cfRule>
  </conditionalFormatting>
  <conditionalFormatting sqref="J24:J38">
    <cfRule type="expression" dxfId="2359" priority="317">
      <formula>I24="Actual"</formula>
    </cfRule>
    <cfRule type="expression" dxfId="2358" priority="318">
      <formula>I24="Default"</formula>
    </cfRule>
  </conditionalFormatting>
  <conditionalFormatting sqref="J40:J43">
    <cfRule type="cellIs" dxfId="2357" priority="379" operator="equal">
      <formula>"Warning - crop dry matter content higher than feedstock dry matter content"</formula>
    </cfRule>
    <cfRule type="cellIs" dxfId="2356" priority="380" operator="equal">
      <formula>"Insert unit"</formula>
    </cfRule>
    <cfRule type="cellIs" dxfId="2355" priority="381" operator="equal">
      <formula>"Insert data"</formula>
    </cfRule>
  </conditionalFormatting>
  <conditionalFormatting sqref="J52:J60">
    <cfRule type="cellIs" dxfId="2354" priority="279" operator="equal">
      <formula>"Insert data"</formula>
    </cfRule>
    <cfRule type="cellIs" dxfId="2353" priority="277" operator="equal">
      <formula>"Warning - crop dry matter content higher than feedstock dry matter content"</formula>
    </cfRule>
    <cfRule type="cellIs" dxfId="2352" priority="278" operator="equal">
      <formula>"Insert unit"</formula>
    </cfRule>
  </conditionalFormatting>
  <conditionalFormatting sqref="K11:K20">
    <cfRule type="expression" dxfId="2351" priority="422">
      <formula>I11="Default"</formula>
    </cfRule>
    <cfRule type="expression" dxfId="2350" priority="421">
      <formula>I11="Actual"</formula>
    </cfRule>
  </conditionalFormatting>
  <conditionalFormatting sqref="K24:K38">
    <cfRule type="expression" dxfId="2349" priority="319">
      <formula>I24="Actual"</formula>
    </cfRule>
    <cfRule type="expression" dxfId="2348" priority="320">
      <formula>I24="Default"</formula>
    </cfRule>
  </conditionalFormatting>
  <conditionalFormatting sqref="K70:K74">
    <cfRule type="cellIs" dxfId="2347" priority="333" operator="equal">
      <formula>"Insert data"</formula>
    </cfRule>
    <cfRule type="cellIs" dxfId="2346" priority="332" operator="equal">
      <formula>"Insert unit"</formula>
    </cfRule>
    <cfRule type="cellIs" dxfId="2345" priority="331" operator="equal">
      <formula>"Warning - crop dry matter content higher than feedstock dry matter content"</formula>
    </cfRule>
  </conditionalFormatting>
  <conditionalFormatting sqref="K78:K82">
    <cfRule type="cellIs" dxfId="2344" priority="18" operator="equal">
      <formula>"Insert data"</formula>
    </cfRule>
    <cfRule type="cellIs" dxfId="2343" priority="17" operator="equal">
      <formula>"Insert unit"</formula>
    </cfRule>
    <cfRule type="cellIs" dxfId="2342" priority="16" operator="equal">
      <formula>"Warning - crop dry matter content higher than feedstock dry matter content"</formula>
    </cfRule>
  </conditionalFormatting>
  <conditionalFormatting sqref="K54:L59">
    <cfRule type="cellIs" dxfId="2341" priority="282" operator="equal">
      <formula>"Insert data"</formula>
    </cfRule>
    <cfRule type="cellIs" dxfId="2340" priority="280" operator="equal">
      <formula>"Warning - crop dry matter content higher than feedstock dry matter content"</formula>
    </cfRule>
    <cfRule type="cellIs" dxfId="2339" priority="281" operator="equal">
      <formula>"Insert unit"</formula>
    </cfRule>
  </conditionalFormatting>
  <conditionalFormatting sqref="M41">
    <cfRule type="cellIs" dxfId="2338" priority="376" operator="equal">
      <formula>"Warning - crop dry matter content higher than feedstock dry matter content"</formula>
    </cfRule>
    <cfRule type="cellIs" dxfId="2337" priority="377" operator="equal">
      <formula>"Insert unit"</formula>
    </cfRule>
    <cfRule type="cellIs" dxfId="2336" priority="378" operator="equal">
      <formula>"Insert data"</formula>
    </cfRule>
  </conditionalFormatting>
  <conditionalFormatting sqref="M54">
    <cfRule type="cellIs" dxfId="2335" priority="303" operator="equal">
      <formula>"Insert data"</formula>
    </cfRule>
    <cfRule type="cellIs" dxfId="2334" priority="301" operator="equal">
      <formula>"Warning - crop dry matter content higher than feedstock dry matter content"</formula>
    </cfRule>
    <cfRule type="cellIs" dxfId="2333" priority="302" operator="equal">
      <formula>"Insert unit"</formula>
    </cfRule>
  </conditionalFormatting>
  <dataValidations count="4">
    <dataValidation type="list" allowBlank="1" showInputMessage="1" showErrorMessage="1" sqref="J42" xr:uid="{00000000-0002-0000-0200-000000000000}">
      <formula1>Plant_Feedstocks_Nonwastes</formula1>
    </dataValidation>
    <dataValidation type="list" allowBlank="1" showInputMessage="1" showErrorMessage="1" sqref="J43" xr:uid="{00000000-0002-0000-0200-000001000000}">
      <formula1>Plant_Feedstocks_Wastes</formula1>
    </dataValidation>
    <dataValidation type="list" allowBlank="1" showInputMessage="1" showErrorMessage="1" sqref="H11:H20" xr:uid="{00000000-0002-0000-0200-000002000000}">
      <formula1>Crops_for_yields</formula1>
    </dataValidation>
    <dataValidation type="list" allowBlank="1" showInputMessage="1" showErrorMessage="1" sqref="I11:I20" xr:uid="{00000000-0002-0000-0200-000003000000}">
      <formula1>"Default,Actual"</formula1>
    </dataValidation>
  </dataValidations>
  <pageMargins left="0.7" right="0.7" top="0.75" bottom="0.75" header="0.3" footer="0.3"/>
  <pageSetup paperSize="9" orientation="portrait" r:id="rId1"/>
  <headerFooter>
    <oddHeader>&amp;C&amp;"Calibri"&amp;10&amp;K000000 OFFICIAL&amp;1#_x000D_</oddHeader>
    <oddFooter>&amp;C_x000D_&amp;1#&amp;"Calibri"&amp;10&amp;K000000 OFFICIAL</oddFooter>
  </headerFooter>
  <drawing r:id="rId2"/>
  <tableParts count="1">
    <tablePart r:id="rId3"/>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O988"/>
  <sheetViews>
    <sheetView zoomScale="85" zoomScaleNormal="85" workbookViewId="0">
      <selection activeCell="D37" sqref="D37"/>
    </sheetView>
  </sheetViews>
  <sheetFormatPr defaultColWidth="9.109375" defaultRowHeight="16.8" outlineLevelRow="1" x14ac:dyDescent="0.4"/>
  <cols>
    <col min="1" max="1" width="3.5546875" style="158" customWidth="1"/>
    <col min="2" max="2" width="2.6640625" style="158" customWidth="1"/>
    <col min="3" max="3" width="28.6640625" style="161" customWidth="1"/>
    <col min="4" max="4" width="25.33203125" style="158" customWidth="1"/>
    <col min="5" max="5" width="23.44140625" style="158" bestFit="1" customWidth="1"/>
    <col min="6" max="6" width="16" style="158" customWidth="1"/>
    <col min="7" max="7" width="21.109375" style="158" customWidth="1"/>
    <col min="8" max="8" width="5.6640625" style="158" customWidth="1"/>
    <col min="9" max="9" width="2.6640625" style="158" customWidth="1"/>
    <col min="10" max="10" width="37.44140625" style="158" customWidth="1"/>
    <col min="11" max="11" width="21.109375" style="158" customWidth="1"/>
    <col min="12" max="13" width="2.6640625" style="158" customWidth="1"/>
    <col min="14" max="14" width="2.5546875" style="158" customWidth="1"/>
    <col min="15" max="15" width="27.33203125" style="158" customWidth="1"/>
    <col min="16" max="16" width="10.109375" style="158" customWidth="1"/>
    <col min="17" max="17" width="13.44140625" style="158" bestFit="1" customWidth="1"/>
    <col min="18" max="16384" width="9.109375" style="158"/>
  </cols>
  <sheetData>
    <row r="1" spans="1:13" ht="96.9" customHeight="1" x14ac:dyDescent="0.4">
      <c r="A1" s="159"/>
      <c r="B1" s="159"/>
      <c r="C1" s="159"/>
    </row>
    <row r="2" spans="1:13" s="4" customFormat="1" x14ac:dyDescent="0.4">
      <c r="A2" s="1"/>
      <c r="B2" s="1"/>
      <c r="C2" s="1"/>
    </row>
    <row r="3" spans="1:13" s="4" customFormat="1" ht="34.5" customHeight="1" x14ac:dyDescent="0.4">
      <c r="A3" s="1"/>
      <c r="B3" s="1"/>
      <c r="C3" s="742" t="s">
        <v>119</v>
      </c>
      <c r="D3" s="742"/>
      <c r="E3" s="742"/>
      <c r="F3" s="742"/>
      <c r="G3" s="742"/>
      <c r="H3" s="742"/>
      <c r="I3" s="742"/>
      <c r="J3" s="742"/>
      <c r="K3" s="742"/>
      <c r="L3" s="742"/>
      <c r="M3" s="742"/>
    </row>
    <row r="4" spans="1:13" s="4" customFormat="1" x14ac:dyDescent="0.4">
      <c r="A4" s="1"/>
      <c r="B4" s="1"/>
      <c r="C4" s="1"/>
    </row>
    <row r="5" spans="1:13" s="4" customFormat="1" x14ac:dyDescent="0.4">
      <c r="A5" s="1"/>
      <c r="B5" s="1"/>
      <c r="C5" s="25" t="s">
        <v>120</v>
      </c>
    </row>
    <row r="6" spans="1:13" s="4" customFormat="1" x14ac:dyDescent="0.4">
      <c r="C6" s="162" t="s">
        <v>121</v>
      </c>
      <c r="D6" s="668">
        <f>SUM((SUMIFS(Organic_Fertiliser_use_1[Value], Organic_Fertiliser_use_1[Organic Fertiliser], "Digestate")*D84),
(SUMIFS(Organic_Fertiliser_use_2[Value], Organic_Fertiliser_use_2[Organic Fertiliser], "Digestate")*D184),
(SUMIFS(Organic_Fertiliser_use_3[Value], Organic_Fertiliser_use_3[Organic Fertiliser], "Digestate")*D284),
(SUMIFS(Organic_Fertiliser_use_4[Value], Organic_Fertiliser_use_4[Organic Fertiliser], "Digestate")*D384),
(SUMIFS(Organic_Fertiliser_use_5[Value], Organic_Fertiliser_use_5[Organic Fertiliser], "Digestate")*D484),
(SUMIFS(Organic_Fertiliser_use_6[Value], Organic_Fertiliser_use_6[Organic Fertiliser], "Digestate")*D584),
(SUMIFS(Organic_Fertiliser_use_7[Value], Organic_Fertiliser_use_7[Organic Fertiliser], "Digestate")*D684),
(SUMIFS(Organic_Fertiliser_use_8[Value], Organic_Fertiliser_use_8[Organic Fertiliser], "Digestate")*D784),
(SUMIFS(Organic_Fertiliser_use_9[Value], Organic_Fertiliser_use_9[Organic Fertiliser], "Digestate")*D884),
(SUMIFS(Organic_Fertiliser_use_10[Value], Organic_Fertiliser_use_10[Organic Fertiliser], "Digestate")*D984))</f>
        <v>0</v>
      </c>
    </row>
    <row r="7" spans="1:13" s="4" customFormat="1" x14ac:dyDescent="0.4">
      <c r="C7" s="14"/>
    </row>
    <row r="8" spans="1:13" s="4" customFormat="1" ht="19.2" x14ac:dyDescent="0.45">
      <c r="B8" s="754" t="str">
        <f>"Cultivation &amp; Harvesting"&amp;" - "&amp;Feedstocks!C11</f>
        <v xml:space="preserve">Cultivation &amp; Harvesting - </v>
      </c>
      <c r="C8" s="755"/>
      <c r="D8" s="755"/>
      <c r="E8" s="755"/>
      <c r="F8" s="755"/>
      <c r="G8" s="755"/>
      <c r="H8" s="755"/>
      <c r="I8" s="755"/>
      <c r="J8" s="755"/>
      <c r="K8" s="755"/>
      <c r="L8" s="755"/>
      <c r="M8" s="756"/>
    </row>
    <row r="9" spans="1:13" s="4" customFormat="1" outlineLevel="1" x14ac:dyDescent="0.4">
      <c r="B9" s="17"/>
      <c r="C9" s="184"/>
      <c r="D9" s="19"/>
      <c r="E9" s="19"/>
      <c r="F9" s="19"/>
      <c r="G9" s="19"/>
      <c r="H9" s="19"/>
      <c r="I9" s="19"/>
      <c r="J9" s="19"/>
      <c r="K9" s="19"/>
      <c r="L9" s="19"/>
      <c r="M9" s="50"/>
    </row>
    <row r="10" spans="1:13" s="4" customFormat="1" outlineLevel="1" x14ac:dyDescent="0.4">
      <c r="B10" s="20"/>
      <c r="C10" s="356" t="s">
        <v>46</v>
      </c>
      <c r="D10" s="751"/>
      <c r="E10" s="751"/>
      <c r="F10" s="751"/>
      <c r="G10" s="1"/>
      <c r="I10" s="303" t="s">
        <v>122</v>
      </c>
      <c r="J10" s="64"/>
      <c r="K10" s="47"/>
      <c r="L10" s="45"/>
      <c r="M10" s="35"/>
    </row>
    <row r="11" spans="1:13" s="4" customFormat="1" outlineLevel="1" x14ac:dyDescent="0.4">
      <c r="B11" s="20"/>
      <c r="C11" s="162" t="s">
        <v>123</v>
      </c>
      <c r="D11" s="753" t="str">
        <f>IF(Feedstocks!$H$11&gt;0,Feedstocks!$H$11,"")</f>
        <v/>
      </c>
      <c r="E11" s="753"/>
      <c r="F11" s="753"/>
      <c r="G11" s="76"/>
      <c r="H11" s="94"/>
      <c r="I11" s="41"/>
      <c r="J11" s="36"/>
      <c r="K11" s="164" t="s">
        <v>124</v>
      </c>
      <c r="L11" s="37"/>
      <c r="M11" s="35"/>
    </row>
    <row r="12" spans="1:13" s="4" customFormat="1" outlineLevel="1" x14ac:dyDescent="0.4">
      <c r="B12" s="20"/>
      <c r="C12" s="24"/>
      <c r="D12" s="21"/>
      <c r="E12" s="21"/>
      <c r="F12" s="21"/>
      <c r="G12" s="21"/>
      <c r="H12" s="21"/>
      <c r="I12" s="41"/>
      <c r="J12" s="169" t="s">
        <v>125</v>
      </c>
      <c r="K12" s="68" t="str">
        <f>IFERROR(IF('Feedstock conversion'!E13="Yes",(K15/(IF(Feedstocks!I11="default",Feedstocks!J11,IF(Feedstocks!I11="actual",Feedstocks!K11,"Insert data (plant inputs)"))/Feedstocks!E11*'Transport 1'!F19*'Feedstock conversion'!D17*'Transport 2'!F19*('Digestion &amp; outputs'!$G$16/1000)))*IF('Feedstock conversion'!E42="Yes",'Feedstock conversion'!J45,1)*'Digestion &amp; outputs'!$K$23,IF('Feedstock conversion'!E13="No",(K15/(IF(Feedstocks!I11="default",Feedstocks!J11,IF(Feedstocks!I11="actual",Feedstocks!K11,"Insert data (plant inputs)"))/Feedstocks!E11*'Transport 1'!F19*'Transport 2'!F19*('Digestion &amp; outputs'!$G$16/1000)))*'Digestion &amp; outputs'!$K$23,"")),"")</f>
        <v/>
      </c>
      <c r="L12" s="37"/>
      <c r="M12" s="35"/>
    </row>
    <row r="13" spans="1:13" s="4" customFormat="1" ht="18" customHeight="1" outlineLevel="1" x14ac:dyDescent="0.4">
      <c r="B13" s="20"/>
      <c r="C13" s="616" t="s">
        <v>126</v>
      </c>
      <c r="D13" s="673" t="s">
        <v>127</v>
      </c>
      <c r="G13" s="21"/>
      <c r="H13" s="21"/>
      <c r="I13" s="41"/>
      <c r="J13" s="67"/>
      <c r="K13" s="67"/>
      <c r="L13" s="37"/>
      <c r="M13" s="35"/>
    </row>
    <row r="14" spans="1:13" s="4" customFormat="1" outlineLevel="1" x14ac:dyDescent="0.4">
      <c r="B14" s="20"/>
      <c r="C14" s="14"/>
      <c r="D14" s="615"/>
      <c r="G14" s="21"/>
      <c r="H14" s="21"/>
      <c r="I14" s="41"/>
      <c r="J14" s="36"/>
      <c r="K14" s="164" t="s">
        <v>128</v>
      </c>
      <c r="L14" s="37"/>
      <c r="M14" s="35"/>
    </row>
    <row r="15" spans="1:13" s="4" customFormat="1" outlineLevel="1" x14ac:dyDescent="0.4">
      <c r="B15" s="20"/>
      <c r="C15" s="150" t="s">
        <v>129</v>
      </c>
      <c r="G15" s="21"/>
      <c r="H15" s="21"/>
      <c r="I15" s="41"/>
      <c r="J15" s="169" t="s">
        <v>130</v>
      </c>
      <c r="K15" s="52">
        <f>IFERROR(SUM(K20:K26,K28:K33,K37:K43,K45:K51,K53:K57,K61,K65:K69,K73,K78:K81),"")</f>
        <v>0</v>
      </c>
      <c r="L15" s="37"/>
      <c r="M15" s="35"/>
    </row>
    <row r="16" spans="1:13" s="4" customFormat="1" outlineLevel="1" x14ac:dyDescent="0.4">
      <c r="B16" s="20"/>
      <c r="C16" s="166" t="s">
        <v>131</v>
      </c>
      <c r="D16" s="164" t="s">
        <v>132</v>
      </c>
      <c r="E16" s="164" t="s">
        <v>133</v>
      </c>
      <c r="F16" s="164" t="s">
        <v>134</v>
      </c>
      <c r="G16" s="748" t="str">
        <f>IF(C17="actual","Must insert actual data for fertiliser application","")</f>
        <v/>
      </c>
      <c r="H16" s="21"/>
      <c r="I16" s="46"/>
      <c r="J16" s="58"/>
      <c r="K16" s="58"/>
      <c r="L16" s="59"/>
      <c r="M16" s="35"/>
    </row>
    <row r="17" spans="2:15" s="4" customFormat="1" outlineLevel="1" x14ac:dyDescent="0.4">
      <c r="B17" s="20"/>
      <c r="C17" s="151" t="s">
        <v>96</v>
      </c>
      <c r="D17" s="93" t="str">
        <f>IFERROR(INDEX(Crop_yields,MATCH(D13,Crops_for_yields,0)),"")</f>
        <v/>
      </c>
      <c r="E17" s="135"/>
      <c r="F17" s="31" t="str">
        <f>IFERROR(IF(C17="Default",D17,IF(ISBLANK(E17),"Insert data",E17)),"")</f>
        <v/>
      </c>
      <c r="G17" s="749"/>
      <c r="H17" s="21"/>
      <c r="I17" s="21"/>
      <c r="J17" s="21"/>
      <c r="K17" s="21"/>
      <c r="L17" s="21"/>
      <c r="M17" s="35"/>
    </row>
    <row r="18" spans="2:15" s="4" customFormat="1" ht="24" customHeight="1" outlineLevel="1" x14ac:dyDescent="0.4">
      <c r="B18" s="20"/>
      <c r="C18" s="150" t="s">
        <v>135</v>
      </c>
      <c r="D18" s="21"/>
      <c r="E18" s="21"/>
      <c r="F18" s="21"/>
      <c r="H18" s="21"/>
      <c r="I18" s="303" t="s">
        <v>136</v>
      </c>
      <c r="J18" s="47"/>
      <c r="K18" s="47"/>
      <c r="L18" s="45"/>
      <c r="M18" s="35"/>
    </row>
    <row r="19" spans="2:15" s="14" customFormat="1" outlineLevel="1" x14ac:dyDescent="0.4">
      <c r="B19" s="23"/>
      <c r="C19" s="166" t="s">
        <v>137</v>
      </c>
      <c r="D19" s="164" t="s">
        <v>138</v>
      </c>
      <c r="E19" s="164" t="s">
        <v>139</v>
      </c>
      <c r="F19" s="164" t="s">
        <v>140</v>
      </c>
      <c r="G19" s="4"/>
      <c r="H19" s="24"/>
      <c r="I19" s="42"/>
      <c r="J19" s="164" t="s">
        <v>137</v>
      </c>
      <c r="K19" s="164" t="s">
        <v>141</v>
      </c>
      <c r="L19" s="37"/>
      <c r="M19" s="63"/>
    </row>
    <row r="20" spans="2:15" s="4" customFormat="1" outlineLevel="1" x14ac:dyDescent="0.4">
      <c r="B20" s="20"/>
      <c r="C20" s="617" t="str">
        <f>IF(D13="Do not use defaults", "", "Nitrogen fertiliser (unspecified)")</f>
        <v/>
      </c>
      <c r="D20" s="618" t="str">
        <f>IF(D13="Do not use defaults", "",INDEX(N_fertiliser_N_composition,MATCH(C20,N_Fertilisers,0)))</f>
        <v/>
      </c>
      <c r="E20" s="27" t="str">
        <f>IF(D13="Do not use defaults","", "kg(Nitrogen)/Ha")</f>
        <v/>
      </c>
      <c r="F20" s="619" t="str">
        <f>IF(D13="Do not use defaults", "",VLOOKUP(D13,Default_crop_data[],2,FALSE))</f>
        <v/>
      </c>
      <c r="H20" s="1"/>
      <c r="I20" s="43"/>
      <c r="J20" s="27" t="str">
        <f t="shared" ref="J20:J26" si="0">IF(C20&gt;0,C20,"")</f>
        <v/>
      </c>
      <c r="K20" s="91" t="str">
        <f>IFERROR(IF(C20&gt;0,IF(ISBLANK(E20),"Insert unit",IF(ISBLANK(F20),"Insert data",(IF(E20="kg(fertiliser)/HA",F20*D20,F20)*INDEX(N_Fertiliser_EF,MATCH(C20,N_Fertilisers,0))/F17)/1000)),""),"")</f>
        <v/>
      </c>
      <c r="L20" s="39"/>
      <c r="M20" s="35"/>
    </row>
    <row r="21" spans="2:15" s="4" customFormat="1" outlineLevel="1" x14ac:dyDescent="0.4">
      <c r="B21" s="20"/>
      <c r="C21" s="151"/>
      <c r="D21" s="92"/>
      <c r="E21" s="138"/>
      <c r="F21" s="137"/>
      <c r="H21" s="1"/>
      <c r="I21" s="43"/>
      <c r="J21" s="27" t="str">
        <f t="shared" si="0"/>
        <v/>
      </c>
      <c r="K21" s="91" t="str">
        <f>IFERROR(IF(C21&gt;0,IF(ISBLANK(E21),"Insert unit",IF(ISBLANK(F21),"Insert data",(IF(E21="kg(fertiliser)/HA",F21*D21,F21)*INDEX(N_Fertiliser_EF,MATCH(C21,N_Fertilisers,0))/F17)/1000)),""),"")</f>
        <v/>
      </c>
      <c r="L21" s="39"/>
      <c r="M21" s="35"/>
    </row>
    <row r="22" spans="2:15" s="4" customFormat="1" outlineLevel="1" x14ac:dyDescent="0.4">
      <c r="B22" s="20"/>
      <c r="C22" s="151"/>
      <c r="D22" s="92" t="str">
        <f>IF(C22&gt;0,INDEX(N_fertiliser_N_composition,MATCH(C22,N_Fertilisers,0)),"")</f>
        <v/>
      </c>
      <c r="E22" s="138"/>
      <c r="F22" s="137"/>
      <c r="H22" s="1"/>
      <c r="I22" s="43"/>
      <c r="J22" s="27" t="str">
        <f t="shared" si="0"/>
        <v/>
      </c>
      <c r="K22" s="91" t="str">
        <f>IFERROR(IF(C22&gt;0,IF(ISBLANK(E22),"Insert unit",IF(ISBLANK(F22),"Insert data",(IF(E22="kg(fertiliser)/HA",F22*D22,F22)*INDEX(N_Fertiliser_EF,MATCH(C22,N_Fertilisers,0))/F17)/1000)),""),"")</f>
        <v/>
      </c>
      <c r="L22" s="39"/>
      <c r="M22" s="35"/>
    </row>
    <row r="23" spans="2:15" s="4" customFormat="1" outlineLevel="1" x14ac:dyDescent="0.4">
      <c r="B23" s="20"/>
      <c r="C23" s="151"/>
      <c r="D23" s="92" t="str">
        <f>IF(C23&gt;0,INDEX(N_fertiliser_N_composition,MATCH(C23,N_Fertilisers,0)),"")</f>
        <v/>
      </c>
      <c r="E23" s="138"/>
      <c r="F23" s="137"/>
      <c r="H23" s="1"/>
      <c r="I23" s="43"/>
      <c r="J23" s="27" t="str">
        <f t="shared" si="0"/>
        <v/>
      </c>
      <c r="K23" s="91" t="str">
        <f>IFERROR(IF(C23&gt;0,IF(ISBLANK(E23),"Insert unit",IF(ISBLANK(F23),"Insert data",(IF(E23="kg(fertiliser)/HA",F23*D23,F23)*INDEX(N_Fertiliser_EF,MATCH(C23,N_Fertilisers,0))/F17)/1000)),""),"")</f>
        <v/>
      </c>
      <c r="L23" s="39"/>
      <c r="M23" s="35"/>
    </row>
    <row r="24" spans="2:15" s="4" customFormat="1" outlineLevel="1" x14ac:dyDescent="0.4">
      <c r="B24" s="20"/>
      <c r="C24" s="151"/>
      <c r="D24" s="136"/>
      <c r="E24" s="138"/>
      <c r="F24" s="137"/>
      <c r="H24" s="1"/>
      <c r="I24" s="43"/>
      <c r="J24" s="27" t="str">
        <f t="shared" si="0"/>
        <v/>
      </c>
      <c r="K24" s="91" t="str">
        <f>IFERROR(IF(C24&gt;0,IF(ISBLANK(E24),"Insert unit",IF(OR(ISBLANK(F24),ISBLANK(D24)),"Insert data",(IF(E24="kg(fertiliser)/HA",F24*D24,F24)*INDEX(N_Fertiliser_EF,MATCH("nitrogen fertiliser (unspecified)",N_Fertilisers,0))/F17)/1000)),""),"")</f>
        <v/>
      </c>
      <c r="L24" s="39"/>
      <c r="M24" s="35"/>
    </row>
    <row r="25" spans="2:15" s="4" customFormat="1" outlineLevel="1" x14ac:dyDescent="0.4">
      <c r="B25" s="20"/>
      <c r="C25" s="151"/>
      <c r="D25" s="136"/>
      <c r="E25" s="138"/>
      <c r="F25" s="137"/>
      <c r="H25" s="1"/>
      <c r="I25" s="43"/>
      <c r="J25" s="27" t="str">
        <f t="shared" si="0"/>
        <v/>
      </c>
      <c r="K25" s="91" t="str">
        <f>IFERROR(IF(C25&gt;0,IF(ISBLANK(E25),"Insert unit",IF(OR(ISBLANK(F25),ISBLANK(D25)),"Insert data",(IF(E25="kg(fertiliser)/HA",F25*D25,F25)*INDEX(N_Fertiliser_EF,MATCH("nitrogen fertiliser (unspecified)",N_Fertilisers,0))/F17)/1000)),""),"")</f>
        <v/>
      </c>
      <c r="L25" s="39"/>
      <c r="M25" s="35"/>
    </row>
    <row r="26" spans="2:15" s="4" customFormat="1" outlineLevel="1" x14ac:dyDescent="0.4">
      <c r="B26" s="20"/>
      <c r="C26" s="151"/>
      <c r="D26" s="136"/>
      <c r="E26" s="138"/>
      <c r="F26" s="137"/>
      <c r="G26" s="14"/>
      <c r="H26" s="1"/>
      <c r="I26" s="43"/>
      <c r="J26" s="27" t="str">
        <f t="shared" si="0"/>
        <v/>
      </c>
      <c r="K26" s="91" t="str">
        <f>IFERROR(IF(C26&gt;0,IF(ISBLANK(E26),"Insert unit",IF(OR(ISBLANK(F26),ISBLANK(D26)),"Insert data",(IF(E26="kg(fertiliser)/HA",F26*D26,F26)*INDEX(N_Fertiliser_EF,MATCH("nitrogen fertiliser (unspecified)",N_Fertilisers,0))/F17)/1000)),""),"")</f>
        <v/>
      </c>
      <c r="L26" s="39"/>
      <c r="M26" s="35"/>
    </row>
    <row r="27" spans="2:15" s="4" customFormat="1" outlineLevel="1" x14ac:dyDescent="0.4">
      <c r="B27" s="20"/>
      <c r="C27" s="653" t="s">
        <v>142</v>
      </c>
      <c r="D27" s="654" t="s">
        <v>138</v>
      </c>
      <c r="E27" s="654" t="s">
        <v>139</v>
      </c>
      <c r="F27" s="655" t="s">
        <v>140</v>
      </c>
      <c r="G27" s="14"/>
      <c r="H27" s="1"/>
      <c r="I27" s="43"/>
      <c r="J27" s="166" t="s">
        <v>142</v>
      </c>
      <c r="K27" s="164" t="s">
        <v>141</v>
      </c>
      <c r="L27" s="39"/>
      <c r="M27" s="35"/>
    </row>
    <row r="28" spans="2:15" s="4" customFormat="1" outlineLevel="1" x14ac:dyDescent="0.4">
      <c r="B28" s="20"/>
      <c r="C28" s="649" t="str">
        <f>IF(D13="Do not use defaults", "", "Digestate")</f>
        <v/>
      </c>
      <c r="D28" s="618" t="str">
        <f>IF(D13="Do not use defaults", "",INDEX(Organic_fertilisers_N_Composition,MATCH(C28,Organic_fertilisers,0)))</f>
        <v/>
      </c>
      <c r="E28" s="27" t="str">
        <f>IF(D13="Do not use defaults", "", "t(fertiliser)/Ha")</f>
        <v/>
      </c>
      <c r="F28" s="651" t="str">
        <f>IF(D13="Do not use defaults", "",VLOOKUP(D13,Default_crop_data[],5,FALSE))</f>
        <v/>
      </c>
      <c r="G28" s="14"/>
      <c r="H28" s="1"/>
      <c r="I28" s="43"/>
      <c r="J28" s="27" t="str">
        <f t="shared" ref="J28:J33" si="1">IF(C28&gt;0,C28,"")</f>
        <v/>
      </c>
      <c r="K28" s="91" t="str">
        <f>IFERROR(IF(C28&gt;0,IF(ISBLANK(E28),"Insert unit",IF(ISBLANK(F28),"Insert data",(IF(E28="kg(fertiliser)/HA",F28*D28,IF(E28="t(fertiliser)/Ha",F28*1000*D28,F28))*INDEX(Organic_fertiliser_EF,MATCH(C28,Organic_fertilisers,0))/F17)/1000)),""),"")</f>
        <v/>
      </c>
      <c r="L28" s="39"/>
      <c r="M28" s="35"/>
      <c r="O28" s="660"/>
    </row>
    <row r="29" spans="2:15" s="4" customFormat="1" outlineLevel="1" x14ac:dyDescent="0.4">
      <c r="B29" s="20"/>
      <c r="C29" s="650"/>
      <c r="D29" s="92" t="str">
        <f>IF(C29&gt;0,INDEX(Organic_fertilisers_N_Composition,MATCH(C29,Organic_fertilisers,0)),"")</f>
        <v/>
      </c>
      <c r="E29" s="138"/>
      <c r="F29" s="652"/>
      <c r="G29" s="14"/>
      <c r="H29" s="1"/>
      <c r="I29" s="43"/>
      <c r="J29" s="27" t="str">
        <f t="shared" si="1"/>
        <v/>
      </c>
      <c r="K29" s="91" t="str">
        <f>IFERROR(IF(C29&gt;0,IF(ISBLANK(E29),"Insert unit",IF(ISBLANK(F29),"Insert data",(IF(E29="kg(fertiliser)/HA",F29*D29,IF(E29="t(fertiliser)/Ha",F29*1000*D29,F29))*INDEX(Organic_fertiliser_EF,MATCH(C29,Organic_fertilisers,0))/F17)/1000)),""),"")</f>
        <v/>
      </c>
      <c r="L29" s="39"/>
      <c r="M29" s="35"/>
    </row>
    <row r="30" spans="2:15" s="4" customFormat="1" outlineLevel="1" x14ac:dyDescent="0.4">
      <c r="B30" s="20"/>
      <c r="C30" s="650"/>
      <c r="D30" s="92" t="str">
        <f>IF(C30&gt;0,INDEX(Organic_fertilisers_N_Composition,MATCH(C30,Organic_fertilisers,0)),"")</f>
        <v/>
      </c>
      <c r="E30" s="138"/>
      <c r="F30" s="652"/>
      <c r="G30" s="14"/>
      <c r="H30" s="1"/>
      <c r="I30" s="43"/>
      <c r="J30" s="27" t="str">
        <f t="shared" si="1"/>
        <v/>
      </c>
      <c r="K30" s="91" t="str">
        <f>IFERROR(IF(C30&gt;0,IF(ISBLANK(E30),"Insert unit",IF(ISBLANK(F30),"Insert data",(IF(E30="kg(fertiliser)/HA",F30*D30,IF(E30="t(fertiliser)/Ha",F30*1000*D30,F30))*INDEX(Organic_fertiliser_EF,MATCH(C30,Organic_fertilisers,0))/F17)/1000)),""),"")</f>
        <v/>
      </c>
      <c r="L30" s="39"/>
      <c r="M30" s="35"/>
    </row>
    <row r="31" spans="2:15" s="4" customFormat="1" outlineLevel="1" x14ac:dyDescent="0.4">
      <c r="B31" s="20"/>
      <c r="C31" s="650"/>
      <c r="D31" s="92" t="str">
        <f>IF(C31&gt;0,INDEX(Organic_fertilisers_N_Composition,MATCH(C31,Organic_fertilisers,0)),"")</f>
        <v/>
      </c>
      <c r="E31" s="138"/>
      <c r="F31" s="652"/>
      <c r="G31" s="14"/>
      <c r="H31" s="1"/>
      <c r="I31" s="43"/>
      <c r="J31" s="27" t="str">
        <f t="shared" si="1"/>
        <v/>
      </c>
      <c r="K31" s="91" t="str">
        <f>IFERROR(IF(C31&gt;0,IF(ISBLANK(E31),"Insert unit",IF(ISBLANK(F31),"Insert data",(IF(E31="kg(fertiliser)/HA",F31*D31,IF(E31="t(fertiliser)/Ha",F31*1000*D31,F31))*INDEX(Organic_fertiliser_EF,MATCH(C31,Organic_fertilisers,0))/F17)/1000)),""),"")</f>
        <v/>
      </c>
      <c r="L31" s="39"/>
      <c r="M31" s="35"/>
    </row>
    <row r="32" spans="2:15" s="4" customFormat="1" outlineLevel="1" x14ac:dyDescent="0.4">
      <c r="B32" s="20"/>
      <c r="C32" s="650"/>
      <c r="D32" s="136"/>
      <c r="E32" s="138"/>
      <c r="F32" s="652"/>
      <c r="G32" s="14"/>
      <c r="H32" s="1"/>
      <c r="I32" s="43"/>
      <c r="J32" s="27" t="str">
        <f t="shared" si="1"/>
        <v/>
      </c>
      <c r="K32" s="91" t="str">
        <f>IFERROR(IF(C32&gt;0,IF(ISBLANK(E32),"Insert unit",IF(ISBLANK(F32),"Insert data",(IF(E32="kg(fertiliser)/HA",F32*D32,IF(E32="t(fertiliser)/Ha",F32*1000*D32,F32))*INDEX(Organic_fertiliser_EF,MATCH(C32,Organic_fertilisers,0))/F18)/1000)),""),"")</f>
        <v/>
      </c>
      <c r="L32" s="39"/>
      <c r="M32" s="35"/>
    </row>
    <row r="33" spans="2:13" s="4" customFormat="1" outlineLevel="1" x14ac:dyDescent="0.4">
      <c r="B33" s="20"/>
      <c r="C33" s="656"/>
      <c r="D33" s="657"/>
      <c r="E33" s="658"/>
      <c r="F33" s="659"/>
      <c r="G33" s="14"/>
      <c r="H33" s="1"/>
      <c r="I33" s="43"/>
      <c r="J33" s="27" t="str">
        <f t="shared" si="1"/>
        <v/>
      </c>
      <c r="K33" s="91" t="str">
        <f>IFERROR(IF(C33&gt;0,IF(ISBLANK(E33),"Insert unit",IF(ISBLANK(F33),"Insert data",(IF(E33="kg(fertiliser)/HA",F33*D33,IF(E33="t(fertiliser)/Ha",F33*1000*D33,F33))*INDEX(Organic_fertiliser_EF,MATCH(C33,Organic_fertilisers,0))/F19)/1000)),""),"")</f>
        <v/>
      </c>
      <c r="L33" s="39"/>
      <c r="M33" s="35"/>
    </row>
    <row r="34" spans="2:13" s="4" customFormat="1" outlineLevel="1" x14ac:dyDescent="0.4">
      <c r="B34" s="20"/>
      <c r="C34" s="166" t="s">
        <v>143</v>
      </c>
      <c r="D34" s="164" t="s">
        <v>138</v>
      </c>
      <c r="E34" s="164" t="s">
        <v>139</v>
      </c>
      <c r="F34" s="164" t="s">
        <v>140</v>
      </c>
      <c r="G34" s="14"/>
      <c r="H34" s="1"/>
      <c r="I34" s="43"/>
      <c r="J34" s="166" t="str">
        <f>IF(C34&gt;0,C34,"")</f>
        <v>Low in-field emissions fertiliser</v>
      </c>
      <c r="K34" s="164" t="s">
        <v>141</v>
      </c>
      <c r="L34" s="39"/>
      <c r="M34" s="35"/>
    </row>
    <row r="35" spans="2:13" s="4" customFormat="1" outlineLevel="1" x14ac:dyDescent="0.4">
      <c r="B35" s="20"/>
      <c r="C35" s="151"/>
      <c r="D35" s="92"/>
      <c r="E35" s="138"/>
      <c r="F35" s="137"/>
      <c r="G35" s="14"/>
      <c r="H35" s="1"/>
      <c r="I35" s="43"/>
      <c r="J35" s="27" t="str">
        <f>IF(C35&gt;0,C35,"")</f>
        <v/>
      </c>
      <c r="K35" s="91" t="str" cm="1">
        <f t="array" ref="K35">IFERROR(IF(C35&gt;0,IF(ISBLANK(E35),"Insert unit",IF(ISBLANK(F35),"Insert data",(IF(E35="kg(fertiliser)/Ha",F35*D35,IF(E35="t(fertiliser)/Ha",F35*1000*D35,F35))*(Low_infield_EF_table[Emission Factor (gCO2eq/kgnitrogen)])/F17)/1000)),""),"")</f>
        <v/>
      </c>
      <c r="L35" s="39"/>
      <c r="M35" s="35"/>
    </row>
    <row r="36" spans="2:13" s="14" customFormat="1" outlineLevel="1" x14ac:dyDescent="0.4">
      <c r="B36" s="23"/>
      <c r="C36" s="666" t="s">
        <v>144</v>
      </c>
      <c r="D36" s="666" t="s">
        <v>145</v>
      </c>
      <c r="E36" s="666" t="s">
        <v>138</v>
      </c>
      <c r="F36" s="666" t="s">
        <v>139</v>
      </c>
      <c r="G36" s="166" t="s">
        <v>140</v>
      </c>
      <c r="H36" s="24"/>
      <c r="I36" s="42"/>
      <c r="J36" s="166" t="s">
        <v>144</v>
      </c>
      <c r="K36" s="164" t="s">
        <v>141</v>
      </c>
      <c r="L36" s="37"/>
      <c r="M36" s="63"/>
    </row>
    <row r="37" spans="2:13" s="4" customFormat="1" outlineLevel="1" x14ac:dyDescent="0.4">
      <c r="B37" s="20"/>
      <c r="C37" s="617" t="str">
        <f>IF(D13="Do not use defaults", "", "P2O5 fertiliser (unspecified)")</f>
        <v/>
      </c>
      <c r="D37" s="618" t="str" cm="1">
        <f t="array" ref="D37">IF(D13="Do not use defaults", "",INDEX(P_fertiliser_P_composition,MATCH(C37,P_fertilisers,0)))</f>
        <v/>
      </c>
      <c r="E37" s="618" t="str">
        <f>IF(C37="P2O5 fertiliser (unspecified)",0, "")</f>
        <v/>
      </c>
      <c r="F37" s="27" t="str">
        <f>IF(D13="Do not use defaults","", "t(kg(P2O5)/Ha")</f>
        <v/>
      </c>
      <c r="G37" s="619" t="str">
        <f>IF(D13="Do not use defaults","",VLOOKUP(D13,Default_crop_data[],3,FALSE))</f>
        <v/>
      </c>
      <c r="H37" s="1"/>
      <c r="I37" s="43"/>
      <c r="J37" s="27" t="str">
        <f>IF(C37&gt;0,C37,"")</f>
        <v/>
      </c>
      <c r="K37" s="91" t="str">
        <f>IFERROR(IF(C37&gt;0,IF(ISBLANK(F37),"Insert unit",IF(ISBLANK(G37),"Insert data",(IF(F37="kg(fertiliser)/HA",G37*D37,G37)*INDEX(P_fertiliser_EF,MATCH(C37,P_fertilisers,0))/F17)/1000)),""),"")</f>
        <v/>
      </c>
      <c r="L37" s="39"/>
      <c r="M37" s="35"/>
    </row>
    <row r="38" spans="2:13" s="4" customFormat="1" outlineLevel="1" x14ac:dyDescent="0.4">
      <c r="B38" s="20"/>
      <c r="C38" s="151"/>
      <c r="D38" s="92" t="str">
        <f>IF(C38&gt;0,INDEX(P_fertiliser_P_composition,MATCH(C38,P_fertilisers,0)),"")</f>
        <v/>
      </c>
      <c r="E38" s="92"/>
      <c r="F38" s="138"/>
      <c r="G38" s="137"/>
      <c r="H38" s="1"/>
      <c r="I38" s="43"/>
      <c r="J38" s="27" t="str">
        <f>IF(C38&gt;0,C38,"")</f>
        <v/>
      </c>
      <c r="K38" s="91" t="str">
        <f>IFERROR(IF(C38&gt;0,IF(ISBLANK(F38),"Insert unit",IF(ISBLANK(G38),"Insert data",(IF(F38="kg(fertiliser)/HA",G38*D38,G38)*INDEX(P_fertiliser_EF,MATCH(C38,P_fertilisers,0))/F17)/1000)),""),"")</f>
        <v/>
      </c>
      <c r="L38" s="39"/>
      <c r="M38" s="35"/>
    </row>
    <row r="39" spans="2:13" s="4" customFormat="1" outlineLevel="1" x14ac:dyDescent="0.4">
      <c r="B39" s="20"/>
      <c r="C39" s="151"/>
      <c r="D39" s="92" t="str">
        <f>IF(C39&gt;0,INDEX(P_fertiliser_P_composition,MATCH(C39,P_fertilisers,0)),"")</f>
        <v/>
      </c>
      <c r="E39" s="92"/>
      <c r="F39" s="138"/>
      <c r="G39" s="137"/>
      <c r="H39" s="1"/>
      <c r="I39" s="43"/>
      <c r="J39" s="27"/>
      <c r="K39" s="91" t="str">
        <f>IFERROR(IF(C39&gt;0,IF(ISBLANK(F39),"Insert unit",IF(ISBLANK(G39),"Insert data",(IF(F39="kg(fertiliser)/HA",G39*D39,G39)*INDEX(P_fertiliser_EF,MATCH(C39,P_fertilisers,0))/F17)/1000)),""),"")</f>
        <v/>
      </c>
      <c r="L39" s="39"/>
      <c r="M39" s="35"/>
    </row>
    <row r="40" spans="2:13" s="4" customFormat="1" outlineLevel="1" x14ac:dyDescent="0.4">
      <c r="B40" s="20"/>
      <c r="C40" s="151"/>
      <c r="D40" s="92" t="str">
        <f>IF(C40&gt;0,INDEX(P_fertiliser_P_composition,MATCH(C40,P_fertilisers,0)),"")</f>
        <v/>
      </c>
      <c r="E40" s="92"/>
      <c r="F40" s="138"/>
      <c r="G40" s="137"/>
      <c r="H40" s="1"/>
      <c r="I40" s="43"/>
      <c r="J40" s="27"/>
      <c r="K40" s="91" t="str">
        <f>IFERROR(IF(C40&gt;0,IF(ISBLANK(F40),"Insert unit",IF(ISBLANK(G40),"Insert data",(IF(F40="kg(fertiliser)/HA",G40*D40,G40)*INDEX(P_fertiliser_EF,MATCH(C40,P_fertilisers,0))/F17)/1000)),""),"")</f>
        <v/>
      </c>
      <c r="L40" s="39"/>
      <c r="M40" s="35"/>
    </row>
    <row r="41" spans="2:13" s="4" customFormat="1" outlineLevel="1" x14ac:dyDescent="0.4">
      <c r="B41" s="20"/>
      <c r="C41" s="151"/>
      <c r="D41" s="136"/>
      <c r="E41" s="136"/>
      <c r="F41" s="138"/>
      <c r="G41" s="137"/>
      <c r="H41" s="1"/>
      <c r="I41" s="43"/>
      <c r="J41" s="27"/>
      <c r="K41" s="91" t="str">
        <f>IFERROR(IF(C41&gt;0,IF(ISBLANK(F41),"Insert unit",IF(OR(ISBLANK(F41),ISBLANK(D41),ISBLANK(E41)),"Insert data",(IF(F41="kg(fertiliser)/HA",G41*D41,G41)*INDEX(P_fertiliser_EF,MATCH("p2O5 fertiliser (unspecified)",P_fertilisers,0))/F17)/1000)),""),"")</f>
        <v/>
      </c>
      <c r="L41" s="39"/>
      <c r="M41" s="35"/>
    </row>
    <row r="42" spans="2:13" s="4" customFormat="1" outlineLevel="1" x14ac:dyDescent="0.4">
      <c r="B42" s="20"/>
      <c r="C42" s="151"/>
      <c r="D42" s="136"/>
      <c r="E42" s="136"/>
      <c r="F42" s="138"/>
      <c r="G42" s="137"/>
      <c r="H42" s="1"/>
      <c r="I42" s="43"/>
      <c r="J42" s="27" t="str">
        <f>IF(C42&gt;0,C42,"")</f>
        <v/>
      </c>
      <c r="K42" s="91" t="str">
        <f>IFERROR(IF(C42&gt;0,IF(ISBLANK(F42),"Insert unit",IF(OR(ISBLANK(F42),ISBLANK(D42),ISBLANK(E42)),"Insert data",(IF(F42="kg(fertiliser)/HA",G42*D42,G42)*INDEX(P_fertiliser_EF,MATCH("p2O5 fertiliser (unspecified)",P_fertilisers,0))/F17)/1000)),""),"")</f>
        <v/>
      </c>
      <c r="L42" s="39"/>
      <c r="M42" s="35"/>
    </row>
    <row r="43" spans="2:13" s="4" customFormat="1" outlineLevel="1" x14ac:dyDescent="0.4">
      <c r="B43" s="20"/>
      <c r="C43" s="151"/>
      <c r="D43" s="136"/>
      <c r="E43" s="136"/>
      <c r="F43" s="138"/>
      <c r="G43" s="137"/>
      <c r="H43" s="1"/>
      <c r="I43" s="43"/>
      <c r="J43" s="27" t="str">
        <f>IF(C43&gt;0,C43,"")</f>
        <v/>
      </c>
      <c r="K43" s="91" t="str">
        <f>IFERROR(IF(C43&gt;0,IF(ISBLANK(F43),"Insert unit",IF(OR(ISBLANK(F43),ISBLANK(D43),ISBLANK(E43)),"Insert data",(IF(F43="kg(fertiliser)/HA",G43*D43,G43)*INDEX(P_fertiliser_EF,MATCH("p2O5 fertiliser (unspecified)",P_fertilisers,0))/F17)/1000)),""),"")</f>
        <v/>
      </c>
      <c r="L43" s="39"/>
      <c r="M43" s="35"/>
    </row>
    <row r="44" spans="2:13" s="14" customFormat="1" outlineLevel="1" x14ac:dyDescent="0.4">
      <c r="B44" s="23"/>
      <c r="C44" s="166" t="s">
        <v>146</v>
      </c>
      <c r="D44" s="166" t="s">
        <v>147</v>
      </c>
      <c r="E44" s="166" t="s">
        <v>138</v>
      </c>
      <c r="F44" s="166" t="s">
        <v>139</v>
      </c>
      <c r="G44" s="166" t="s">
        <v>140</v>
      </c>
      <c r="H44" s="24"/>
      <c r="I44" s="42"/>
      <c r="J44" s="166" t="s">
        <v>146</v>
      </c>
      <c r="K44" s="164" t="s">
        <v>141</v>
      </c>
      <c r="L44" s="37"/>
      <c r="M44" s="35"/>
    </row>
    <row r="45" spans="2:13" s="4" customFormat="1" outlineLevel="1" x14ac:dyDescent="0.4">
      <c r="B45" s="20"/>
      <c r="C45" s="617" t="str">
        <f>IF(D13="Do not use defaults", "", "K2O fertiliser (unspecified)")</f>
        <v/>
      </c>
      <c r="D45" s="618" t="str" cm="1">
        <f t="array" ref="D45">IF(D13="Do not use defaults", "",INDEX(K_fertiliser_K_composition,MATCH(C45,K_fertilisers,0)))</f>
        <v/>
      </c>
      <c r="E45" s="618" t="str" cm="1">
        <f t="array" ref="E45">IF(D13="Do not use defaults", "",INDEX(K_fertiliser_N_composition,MATCH(C45,K_fertilisers,0)))</f>
        <v/>
      </c>
      <c r="F45" s="27" t="str">
        <f>IF(D13="Do not use defaults","", "t(kg(K2O)/Ha")</f>
        <v/>
      </c>
      <c r="G45" s="619" t="str">
        <f>IF(D13="Do not use defaults", "",VLOOKUP(D13,Default_crop_data[],4,FALSE))</f>
        <v/>
      </c>
      <c r="H45" s="1"/>
      <c r="I45" s="43"/>
      <c r="J45" s="27" t="str">
        <f t="shared" ref="J45:J51" si="2">IF(C45&gt;0,C45,"")</f>
        <v/>
      </c>
      <c r="K45" s="91" t="str">
        <f>IFERROR(IF(C45&gt;0,IF(ISBLANK(F45),"Insert unit",IF(ISBLANK(G45),"Insert data",(IF(F45="kg(fertiliser)/HA",G45*D45,G45)*INDEX(K_Fertiliser_EF,MATCH(C45,K_fertilisers,0))/F17)/1000)),""),"")</f>
        <v/>
      </c>
      <c r="L45" s="39"/>
      <c r="M45" s="35"/>
    </row>
    <row r="46" spans="2:13" s="4" customFormat="1" outlineLevel="1" x14ac:dyDescent="0.4">
      <c r="B46" s="20"/>
      <c r="C46" s="151"/>
      <c r="D46" s="92" t="str">
        <f>IF(C46&gt;0,INDEX(K_fertiliser_K_composition,MATCH(C46,K_fertilisers,0)),"")</f>
        <v/>
      </c>
      <c r="E46" s="92" t="str">
        <f>IF(C46&gt;0,INDEX(K_fertiliser_N_composition,MATCH(C46,K_fertilisers,0)),"")</f>
        <v/>
      </c>
      <c r="F46" s="138"/>
      <c r="G46" s="137"/>
      <c r="H46" s="1"/>
      <c r="I46" s="43"/>
      <c r="J46" s="27" t="str">
        <f t="shared" si="2"/>
        <v/>
      </c>
      <c r="K46" s="91" t="str">
        <f>IFERROR(IF(C46&gt;0,IF(ISBLANK(F46),"Insert unit",IF(ISBLANK(G46),"Insert data",(IF(F46="kg(fertiliser)/HA",G46*D46,G46)*INDEX(K_Fertiliser_EF,MATCH(C46,K_fertilisers,0))/F17)/1000)),""),"")</f>
        <v/>
      </c>
      <c r="L46" s="39"/>
      <c r="M46" s="35"/>
    </row>
    <row r="47" spans="2:13" s="4" customFormat="1" outlineLevel="1" x14ac:dyDescent="0.4">
      <c r="B47" s="20"/>
      <c r="C47" s="151"/>
      <c r="D47" s="92" t="str">
        <f>IF(C47&gt;0,INDEX(K_fertiliser_K_composition,MATCH(C47,K_fertilisers,0)),"")</f>
        <v/>
      </c>
      <c r="E47" s="92" t="str">
        <f>IF(C47&gt;0,INDEX(K_fertiliser_N_composition,MATCH(C47,K_fertilisers,0)),"")</f>
        <v/>
      </c>
      <c r="F47" s="138"/>
      <c r="G47" s="137"/>
      <c r="H47" s="1"/>
      <c r="I47" s="43"/>
      <c r="J47" s="27" t="str">
        <f t="shared" si="2"/>
        <v/>
      </c>
      <c r="K47" s="91" t="str">
        <f>IFERROR(IF(C47&gt;0,IF(ISBLANK(F47),"Insert unit",IF(ISBLANK(G47),"Insert data",(IF(F47="kg(fertiliser)/HA",G47*D47,G47)*INDEX(K_Fertiliser_EF,MATCH(C47,K_fertilisers,0))/F17)/1000)),""),"")</f>
        <v/>
      </c>
      <c r="L47" s="39"/>
      <c r="M47" s="35"/>
    </row>
    <row r="48" spans="2:13" s="4" customFormat="1" outlineLevel="1" x14ac:dyDescent="0.4">
      <c r="B48" s="20"/>
      <c r="C48" s="151"/>
      <c r="D48" s="92"/>
      <c r="E48" s="92"/>
      <c r="F48" s="138"/>
      <c r="G48" s="137"/>
      <c r="H48" s="1"/>
      <c r="I48" s="43"/>
      <c r="J48" s="27" t="str">
        <f t="shared" si="2"/>
        <v/>
      </c>
      <c r="K48" s="91" t="str">
        <f>IFERROR(IF(C48&gt;0,IF(ISBLANK(F48),"Insert unit",IF(ISBLANK(G48),"Insert data",(IF(F48="kg(fertiliser)/HA",G48*D48,G48)*INDEX(K_Fertiliser_EF,MATCH(C48,K_fertilisers,0))/F17)/1000)),""),"")</f>
        <v/>
      </c>
      <c r="L48" s="39"/>
      <c r="M48" s="35"/>
    </row>
    <row r="49" spans="2:13" s="4" customFormat="1" outlineLevel="1" x14ac:dyDescent="0.4">
      <c r="B49" s="20"/>
      <c r="C49" s="151"/>
      <c r="D49" s="136"/>
      <c r="E49" s="136"/>
      <c r="F49" s="138"/>
      <c r="G49" s="137"/>
      <c r="H49" s="1"/>
      <c r="I49" s="43"/>
      <c r="J49" s="27" t="str">
        <f t="shared" si="2"/>
        <v/>
      </c>
      <c r="K49" s="91" t="str">
        <f>IFERROR(IF(C49&gt;0,IF(ISBLANK(F49),"Insert unit",IF(OR(ISBLANK(F49),ISBLANK(D49),ISBLANK(E49)),"Insert data",(IF(F49="kg(fertiliser)/HA",G49*D49,G49)*INDEX(K_Fertiliser_EF,MATCH("K2O fertiliser (unspecified)",K_fertilisers,0))/F17)/1000)),""),"")</f>
        <v/>
      </c>
      <c r="L49" s="39"/>
      <c r="M49" s="35"/>
    </row>
    <row r="50" spans="2:13" s="4" customFormat="1" outlineLevel="1" x14ac:dyDescent="0.4">
      <c r="B50" s="20"/>
      <c r="C50" s="151"/>
      <c r="D50" s="136"/>
      <c r="E50" s="136"/>
      <c r="F50" s="138"/>
      <c r="G50" s="137"/>
      <c r="H50" s="1"/>
      <c r="I50" s="43"/>
      <c r="J50" s="27" t="str">
        <f t="shared" si="2"/>
        <v/>
      </c>
      <c r="K50" s="91" t="str">
        <f>IFERROR(IF(C50&gt;0,IF(ISBLANK(F50),"Insert unit",IF(OR(ISBLANK(F50),ISBLANK(D50),ISBLANK(E50)),"Insert data",(IF(F50="kg(fertiliser)/HA",G50*D50,G50)*INDEX(K_Fertiliser_EF,MATCH("K2O fertiliser (unspecified)",K_fertilisers,0))/F17)/1000)),""),"")</f>
        <v/>
      </c>
      <c r="L50" s="39"/>
      <c r="M50" s="35"/>
    </row>
    <row r="51" spans="2:13" s="4" customFormat="1" outlineLevel="1" x14ac:dyDescent="0.4">
      <c r="B51" s="20"/>
      <c r="C51" s="151"/>
      <c r="D51" s="136"/>
      <c r="E51" s="136"/>
      <c r="F51" s="138"/>
      <c r="G51" s="137"/>
      <c r="H51" s="1"/>
      <c r="I51" s="43"/>
      <c r="J51" s="27" t="str">
        <f t="shared" si="2"/>
        <v/>
      </c>
      <c r="K51" s="91" t="str">
        <f>IFERROR(IF(C51&gt;0,IF(ISBLANK(F51),"Insert unit",IF(OR(ISBLANK(F51),ISBLANK(D51),ISBLANK(E51)),"Insert data",(IF(F51="kg(fertiliser)/HA",G51*D51,G51)*INDEX(K_Fertiliser_EF,MATCH("K2O fertiliser (unspecified)",K_fertilisers,0))/F17)/1000)),""),"")</f>
        <v/>
      </c>
      <c r="L51" s="39"/>
      <c r="M51" s="35"/>
    </row>
    <row r="52" spans="2:13" s="14" customFormat="1" outlineLevel="1" x14ac:dyDescent="0.4">
      <c r="B52" s="23"/>
      <c r="C52" s="166" t="s">
        <v>148</v>
      </c>
      <c r="D52" s="166" t="s">
        <v>149</v>
      </c>
      <c r="E52" s="166" t="s">
        <v>138</v>
      </c>
      <c r="F52" s="166" t="s">
        <v>139</v>
      </c>
      <c r="G52" s="166" t="s">
        <v>140</v>
      </c>
      <c r="H52" s="24"/>
      <c r="I52" s="42"/>
      <c r="J52" s="166" t="s">
        <v>148</v>
      </c>
      <c r="K52" s="164" t="s">
        <v>141</v>
      </c>
      <c r="L52" s="37"/>
      <c r="M52" s="63"/>
    </row>
    <row r="53" spans="2:13" s="4" customFormat="1" outlineLevel="1" x14ac:dyDescent="0.4">
      <c r="B53" s="20"/>
      <c r="C53" s="617" t="str">
        <f>IF(D13="Do not use defaults", "", "Lime fertiliser (CaO)")</f>
        <v/>
      </c>
      <c r="D53" s="618" t="str" cm="1">
        <f t="array" ref="D53">IF(D13="Do not use defaults", "",INDEX(Other_fertiliser_nutrient_composition,MATCH(C53,Other_fertilisers,0)))</f>
        <v/>
      </c>
      <c r="E53" s="618" t="str">
        <f>IF(D13="Do not use defaults", "",INDEX(Other_fertiliser_N_compostion,MATCH(C53,Other_fertilisers,0)))</f>
        <v/>
      </c>
      <c r="F53" s="27" t="str">
        <f>IF(D13="Do not use defaults","", "kg(nutrient)/Ha")</f>
        <v/>
      </c>
      <c r="G53" s="619" t="str">
        <f>IF(D13="Do not use defaults", "",VLOOKUP(D13,Default_crop_data[],6,FALSE))</f>
        <v/>
      </c>
      <c r="H53" s="1"/>
      <c r="I53" s="43"/>
      <c r="J53" s="27" t="str">
        <f>IF(C53&gt;0,C53,"")</f>
        <v/>
      </c>
      <c r="K53" s="91" t="str">
        <f>IFERROR(IF(C53&gt;0,IF(ISBLANK(F53),"Insert unit",IF(ISBLANK(G53),"Insert data",(IF(F53="kg(fertiliser)/HA",G53*D53,G53)*INDEX(Other_fertiliser_EF,MATCH(C53,Other_fertilisers,0))/F17)/1000)),""),"")</f>
        <v/>
      </c>
      <c r="L53" s="39"/>
      <c r="M53" s="35"/>
    </row>
    <row r="54" spans="2:13" s="4" customFormat="1" outlineLevel="1" x14ac:dyDescent="0.4">
      <c r="B54" s="20"/>
      <c r="C54" s="151"/>
      <c r="D54" s="92" t="str">
        <f>IF(C54&gt;0,INDEX(Other_fertiliser_nutrient_composition,MATCH(C54,Other_fertilisers,0)),"")</f>
        <v/>
      </c>
      <c r="E54" s="92" t="str">
        <f>IF(C54&gt;0,INDEX(Other_fertiliser_N_compostion,MATCH(C54,Other_fertilisers,0)),"")</f>
        <v/>
      </c>
      <c r="F54" s="138"/>
      <c r="G54" s="137"/>
      <c r="H54" s="1"/>
      <c r="I54" s="43"/>
      <c r="J54" s="27" t="str">
        <f>IF(C54&gt;0,C54,"")</f>
        <v/>
      </c>
      <c r="K54" s="91" t="str">
        <f>IFERROR(IF(C54&gt;0,IF(ISBLANK(F54),"Insert unit",IF(ISBLANK(G54),"Insert data",(IF(F54="kg(fertiliser)/HA",G54*D54,G54)*INDEX(Other_fertiliser_EF,MATCH(C54,Other_fertilisers,0))/F17)/1000)),""),"")</f>
        <v/>
      </c>
      <c r="L54" s="39"/>
      <c r="M54" s="35"/>
    </row>
    <row r="55" spans="2:13" s="4" customFormat="1" outlineLevel="1" x14ac:dyDescent="0.4">
      <c r="B55" s="20"/>
      <c r="C55" s="151"/>
      <c r="D55" s="92" t="str">
        <f>IF(C55&gt;0,INDEX(Other_fertiliser_nutrient_composition,MATCH(C55,Other_fertilisers,0)),"")</f>
        <v/>
      </c>
      <c r="E55" s="92" t="str">
        <f>IF(C55&gt;0,INDEX(Other_fertiliser_N_compostion,MATCH(C55,Other_fertilisers,0)),"")</f>
        <v/>
      </c>
      <c r="F55" s="138"/>
      <c r="G55" s="137"/>
      <c r="H55" s="1"/>
      <c r="I55" s="43"/>
      <c r="J55" s="27" t="str">
        <f>IF(C55&gt;0,C55,"")</f>
        <v/>
      </c>
      <c r="K55" s="91" t="str">
        <f>IFERROR(IF(C55&gt;0,IF(ISBLANK(F55),"Insert unit",IF(ISBLANK(G55),"Insert data",(IF(F55="kg(fertiliser)/HA",G55*D55,G55)*INDEX(Other_fertiliser_EF,MATCH(C55,Other_fertilisers,0))/F17)/1000)),""),"")</f>
        <v/>
      </c>
      <c r="L55" s="39"/>
      <c r="M55" s="35"/>
    </row>
    <row r="56" spans="2:13" s="4" customFormat="1" outlineLevel="1" x14ac:dyDescent="0.4">
      <c r="B56" s="20"/>
      <c r="C56" s="151"/>
      <c r="D56" s="92" t="str">
        <f>IF(C56&gt;0,INDEX(Other_fertiliser_nutrient_composition,MATCH(C56,Other_fertilisers,0)),"")</f>
        <v/>
      </c>
      <c r="E56" s="92" t="str">
        <f>IF(C56&gt;0,INDEX(Other_fertiliser_N_compostion,MATCH(C56,Other_fertilisers,0)),"")</f>
        <v/>
      </c>
      <c r="F56" s="138"/>
      <c r="G56" s="137"/>
      <c r="H56" s="1"/>
      <c r="I56" s="43"/>
      <c r="J56" s="27" t="str">
        <f>IF(C56&gt;0,C56,"")</f>
        <v/>
      </c>
      <c r="K56" s="91" t="str">
        <f>IFERROR(IF(C56&gt;0,IF(ISBLANK(F56),"Insert unit",IF(ISBLANK(G56),"Insert data",(IF(F56="kg(fertiliser)/HA",G56*D56,G56)*INDEX(Other_fertiliser_EF,MATCH(C56,Other_fertilisers,0))/F17)/1000)),""),"")</f>
        <v/>
      </c>
      <c r="L56" s="39"/>
      <c r="M56" s="35"/>
    </row>
    <row r="57" spans="2:13" s="4" customFormat="1" outlineLevel="1" x14ac:dyDescent="0.4">
      <c r="B57" s="20"/>
      <c r="C57" s="151"/>
      <c r="D57" s="92" t="str">
        <f>IF(C57&gt;0,INDEX(Other_fertiliser_nutrient_composition,MATCH(C57,Other_fertilisers,0)),"")</f>
        <v/>
      </c>
      <c r="E57" s="92" t="str">
        <f>IF(C57&gt;0,INDEX(Other_fertiliser_N_compostion,MATCH(C57,Other_fertilisers,0)),"")</f>
        <v/>
      </c>
      <c r="F57" s="138"/>
      <c r="G57" s="137"/>
      <c r="H57" s="1"/>
      <c r="I57" s="43"/>
      <c r="J57" s="27" t="str">
        <f>IF(C57&gt;0,C57,"")</f>
        <v/>
      </c>
      <c r="K57" s="91" t="str">
        <f>IFERROR(IF(C57&gt;0,IF(ISBLANK(F57),"Insert unit",IF(ISBLANK(G57),"Insert data",(IF(F57="kg(fertiliser)/HA",G57*D57,G57)*INDEX(Other_fertiliser_EF,MATCH(C57,Other_fertilisers,0))/F17)/1000)),""),"")</f>
        <v/>
      </c>
      <c r="L57" s="39"/>
      <c r="M57" s="35"/>
    </row>
    <row r="58" spans="2:13" s="4" customFormat="1" outlineLevel="1" x14ac:dyDescent="0.4">
      <c r="B58" s="20"/>
      <c r="C58" s="24"/>
      <c r="D58" s="21"/>
      <c r="E58" s="21"/>
      <c r="F58" s="21"/>
      <c r="G58" s="21"/>
      <c r="H58" s="21"/>
      <c r="I58" s="41"/>
      <c r="J58" s="36"/>
      <c r="K58" s="36"/>
      <c r="L58" s="37"/>
      <c r="M58" s="35"/>
    </row>
    <row r="59" spans="2:13" s="4" customFormat="1" outlineLevel="1" x14ac:dyDescent="0.4">
      <c r="B59" s="20"/>
      <c r="C59" s="185" t="s">
        <v>150</v>
      </c>
      <c r="D59" s="21"/>
      <c r="G59" s="21"/>
      <c r="H59" s="21"/>
      <c r="I59" s="41"/>
      <c r="J59" s="36"/>
      <c r="K59" s="36"/>
      <c r="L59" s="37"/>
      <c r="M59" s="35"/>
    </row>
    <row r="60" spans="2:13" s="4" customFormat="1" outlineLevel="1" x14ac:dyDescent="0.4">
      <c r="B60" s="20"/>
      <c r="C60" s="166" t="s">
        <v>151</v>
      </c>
      <c r="D60" s="164" t="s">
        <v>140</v>
      </c>
      <c r="I60" s="41"/>
      <c r="J60" s="36"/>
      <c r="K60" s="164" t="s">
        <v>141</v>
      </c>
      <c r="L60" s="37"/>
      <c r="M60" s="35"/>
    </row>
    <row r="61" spans="2:13" s="4" customFormat="1" outlineLevel="1" x14ac:dyDescent="0.4">
      <c r="B61" s="20"/>
      <c r="C61" s="152" t="s">
        <v>152</v>
      </c>
      <c r="D61" s="30" t="str">
        <f>IFERROR(SUM(IFERROR(IF(E20="kg(fertiliser)/Ha",F20*D20,F20),0),IFERROR(IF(E21="kg(fertiliser)/Ha",F21*D21,F21),0),IFERROR(IF(E22="kg(fertiliser)/Ha",F22*D22,F22),0),IFERROR(IF(E23="kg(fertiliser)/Ha",F23*D23,F23),0),IFERROR(IF(E24="kg(fertiliser)/Ha",F24*D24,F24),0),IFERROR(IF(E25="kg(fertiliser)/Ha",F25*D25,F25),0),IFERROR(IF(E26="kg(fertiliser)/Ha",F26*D26,F26),0),IFERROR(IF(E28="kg(fertiliser)/Ha",F28*D28,IF(E28="kg(nitrogen)/Ha",F28,F28*1000*D28)),0),IFERROR(IF(E29="kg(fertiliser)/Ha",F29*D29,IF(E29="kg(nitrogen)/Ha",F29,F29*1000*D29)),0),IFERROR(IF(E30="kg(fertiliser)/Ha",F30*D30,IF(E30="kg(nitrogen)/Ha",F30,F30*1000*D30)),0),IFERROR(IF(E31="kg(fertiliser)/Ha",F31*D31,IF(E31="kg(nitrogen)/Ha",F31,F31*1000*D31)),0),IFERROR(IF(E32="kg(fertiliser)/Ha",F32*D32,IF(E32="kg(nitrogen)/Ha",F32,F32*1000*D32)),0),IFERROR(IF(E33="kg(fertiliser)/Ha",F33*D33,IF(E33="kg(nitrogen)/Ha",F33,F33*1000*D33)),0),IFERROR(IF(E35="kg(fertiliser)/Ha",F35*D35,IF(E35="kg(nitrogen)/Ha",F35,F35*1000*D35)),0),IFERROR(IF(F37="kg(fertiliser)/Ha",G37*E37,G37*E37/D37),0),IFERROR(IF(F38="kg(fertiliser)/Ha",G38*E38,G38*E38/D38),0),IFERROR(IF(F39="kg(fertiliser)/Ha",G39*E39,G39*E39/D39),0),IFERROR(IF(F40="kg(fertiliser)/Ha",G40*E40,G40*E40/D40),0),IFERROR(IF(F41="kg(fertiliser)/Ha",G41*E41,G41*E41/D41),0),IFERROR(IF(F42="kg(fertiliser)/Ha",G42*E42,G42*E42/D42),0),IFERROR(IF(F43="kg(fertiliser)/Ha",G43*E43,G43*E43/D43),0),IFERROR(IF(F45="kg(fertiliser)/Ha",G45*E45,G45*E45/D45),0),IFERROR(IF(F46="kg(fertiliser)/Ha",G46*E46,G46*E46/D46),0),IFERROR(IF(F47="kg(fertiliser)/Ha",G47*E47,G47*E47/D47),0),IFERROR(IF(F48="kg(fertiliser)/Ha",G48*E48,G48*E48/D48),0),IFERROR(IF(F49="kg(fertiliser)/Ha",G49*E49,G49*E49/D49),0),IFERROR(IF(F50="kg(fertiliser)/Ha",G50*E50,G50*E50/D50),0),IFERROR(IF(F51="kg(fertiliser)/Ha",G51*E51,G51*E51/D51),0),IFERROR(IF(F53="kg(fertiliser)/Ha",G53*E53,G53*E53/D53),0),IFERROR(IF(F54="kg(fertiliser)/Ha",G54*E54,G54*E54/D54),0),IFERROR(IF(F55="kg(fertiliser)/Ha",G55*E55,G55*E55/D55),0),IFERROR(IF(F56="kg(fertiliser)/Ha",G56*E56,G56*E56/D56),0),IFERROR(IF(F57="kg(fertiliser)/Ha",G57*E57,G57*E57/D57),0)), "")</f>
        <v/>
      </c>
      <c r="E61" s="1"/>
      <c r="I61" s="43"/>
      <c r="J61" s="164" t="s">
        <v>153</v>
      </c>
      <c r="K61" s="52" t="str">
        <f>IFERROR(SUM(IFERROR(IF(E20="kg(fertiliser)/Ha",F20*D20,F20)*INDEX(Soil_EFs,MATCH("Inorganic",Soil_EFs_N_type,0)),0),IFERROR(IF(E21="kg(fertiliser)/Ha",F21*D21,F21)*INDEX(Soil_EFs,MATCH("Inorganic",Soil_EFs_N_type,0)),0),IFERROR(IF(E22="kg(fertiliser)/Ha",F22*D22,F22)*INDEX(Soil_EFs,MATCH("Inorganic",Soil_EFs_N_type,0)),0),IFERROR(IF(E23="kg(fertiliser)/Ha",F23*D23,F23)*INDEX(Soil_EFs,MATCH("Inorganic",Soil_EFs_N_type,0)),0),IFERROR(IF(E24="kg(fertiliser)/Ha",F24*D24,F24)*INDEX(Soil_EFs,MATCH("Inorganic",Soil_EFs_N_type,0)),0),IFERROR(IF(E25="kg(fertiliser)/Ha",F25*D25,F25)*INDEX(Soil_EFs,MATCH("Inorganic",Soil_EFs_N_type,0)),0),IFERROR(IF(E26="kg(fertiliser)/Ha",F26*D26,F26)*INDEX(Soil_EFs,MATCH("Inorganic",Soil_EFs_N_type,0)),0),IFERROR(IF(E28="kg(fertiliser)/HA",F28*D28,IF(E28="t(fertiliser)/Ha",F28*1000*D28,F28))*INDEX(Soil_EFs,MATCH("organic",Soil_EFs_N_type,0)),0),IFERROR(IF(E29="kg(fertiliser)/HA",F29*D29,IF(E29="t(fertiliser)/Ha",F29*1000*D29,F29))*INDEX(Soil_EFs,MATCH("organic",Soil_EFs_N_type,0)),0),IFERROR(IF(E30="kg(fertiliser)/HA",F30*D30,IF(E30="t(fertiliser)/Ha",F30*1000*D30,F30))*INDEX(Soil_EFs,MATCH("organic",Soil_EFs_N_type,0)),0),IFERROR(IF(E31="kg(fertiliser)/HA",F31*D31,IF(E31="t(fertiliser)/Ha",F31*1000*D31,F31))*INDEX(Soil_EFs,MATCH("organic",Soil_EFs_N_type,0)),0),IFERROR(IF(E32="kg(fertiliser)/HA",F32*D32,IF(E32="t(fertiliser)/Ha",F32*1000*D32,F32))*INDEX(Soil_EFs,MATCH("organic",Soil_EFs_N_type,0)),0),IFERROR(IF(E33="kg(fertiliser)/HA",F33*D33,IF(E33="t(fertiliser)/Ha",F33*1000*D33,F33))*INDEX(Soil_EFs,MATCH("organic",Soil_EFs_N_type,0)),0),IFERROR(IF(E35="kg(fertiliser)/HA",F35*D35,IF(E35="t(fertiliser)/Ha",F35*1000*D35,F35))*'Reference values'!$D$348,0),IFERROR(IF(F37="kg(fertiliser)/Ha",G37*E37,G37*E37/D37)*INDEX(Soil_EFs,MATCH("Inorganic",Soil_EFs_N_type,0)),0),IFERROR(IF(F38="kg(fertiliser)/Ha",G38*E38,G38*E38/D38)*INDEX(Soil_EFs,MATCH("Inorganic",Soil_EFs_N_type,0)),0),IFERROR(IF(F39="kg(fertiliser)/Ha",G39*E39,G39*E39/D39)*INDEX(Soil_EFs,MATCH("Inorganic",Soil_EFs_N_type,0)),0),IFERROR(IF(F40="kg(fertiliser)/Ha",G40*E40,G40*E40/D40)*INDEX(Soil_EFs,MATCH("Inorganic",Soil_EFs_N_type,0)),0),IFERROR(IF(F41="kg(fertiliser)/Ha",G41*E41,G41*E41/D41)*INDEX(Soil_EFs,MATCH("Inorganic",Soil_EFs_N_type,0)),0),IFERROR(IF(F42="kg(fertiliser)/Ha",G42*E42,G42*E42/D42)*INDEX(Soil_EFs,MATCH("Inorganic",Soil_EFs_N_type,0)),0),IFERROR(IF(F43="kg(fertiliser)/Ha",G43*E43,G43*E43/D43)*INDEX(Soil_EFs,MATCH("Inorganic",Soil_EFs_N_type,0)),0),IFERROR(IF(F45="kg(fertiliser)/Ha",G45*E45,G45*E45/D45)*INDEX(Soil_EFs,MATCH("Inorganic",Soil_EFs_N_type,0)),0),IFERROR(IF(F46="kg(fertiliser)/Ha",G46*E46,G46*E46/D46)*INDEX(Soil_EFs,MATCH("Inorganic",Soil_EFs_N_type,0)),0),IFERROR(IF(F47="kg(fertiliser)/Ha",G47*E47,G47*E47/D47)*INDEX(Soil_EFs,MATCH("Inorganic",Soil_EFs_N_type,0)),0),IFERROR(IF(F48="kg(fertiliser)/Ha",G48*E48,G48*E48/D48)*INDEX(Soil_EFs,MATCH("Inorganic",Soil_EFs_N_type,0)),0),IFERROR(IF(F49="kg(fertiliser)/Ha",G49*E49,G49*E49/D49)*INDEX(Soil_EFs,MATCH("Inorganic",Soil_EFs_N_type,0)),0),IFERROR(IF(F50="kg(fertiliser)/Ha",G50*E50,G50*E50/D50)*INDEX(Soil_EFs,MATCH("Inorganic",Soil_EFs_N_type,0)),0),IFERROR(IF(F51="kg(fertiliser)/Ha",G51*E51,G51*E51/D51)*INDEX(Soil_EFs,MATCH("Inorganic",Soil_EFs_N_type,0)),0),IFERROR(IF(F53="kg(fertiliser)/Ha",G53*E53,G53*E53/D53)*INDEX(Soil_EFs,MATCH("Inorganic",Soil_EFs_N_type,0)),0),IFERROR(IF(F54="kg(fertiliser)/Ha",G54*E54,G54*E54/D54)*INDEX(Soil_EFs,MATCH("Inorganic",Soil_EFs_N_type,0)),0),IFERROR(IF(F55="kg(fertiliser)/Ha",G55*E55,G55*E55/D55)*INDEX(Soil_EFs,MATCH("Inorganic",Soil_EFs_N_type,0)),0),IFERROR(IF(F56="kg(fertiliser)/Ha",G56*E56,G56*E56/D56)*INDEX(Soil_EFs,MATCH("Inorganic",Soil_EFs_N_type,0)),0),IFERROR(IF(F57="kg(fertiliser)/Ha",G57*E57,G57*E57/D57)*INDEX(Soil_EFs,MATCH),0))/F17,"")</f>
        <v/>
      </c>
      <c r="L61" s="38"/>
      <c r="M61" s="35"/>
    </row>
    <row r="62" spans="2:13" s="4" customFormat="1" ht="14.25" customHeight="1" outlineLevel="1" x14ac:dyDescent="0.4">
      <c r="B62" s="20"/>
      <c r="C62" s="24"/>
      <c r="D62" s="21"/>
      <c r="E62" s="21"/>
      <c r="F62" s="21"/>
      <c r="G62" s="21"/>
      <c r="H62" s="21"/>
      <c r="I62" s="41"/>
      <c r="J62" s="36"/>
      <c r="K62" s="36"/>
      <c r="L62" s="37"/>
      <c r="M62" s="35"/>
    </row>
    <row r="63" spans="2:13" s="4" customFormat="1" outlineLevel="1" x14ac:dyDescent="0.4">
      <c r="B63" s="20"/>
      <c r="C63" s="150" t="s">
        <v>154</v>
      </c>
      <c r="D63" s="21"/>
      <c r="E63" s="21"/>
      <c r="F63" s="21"/>
      <c r="G63" s="21"/>
      <c r="H63" s="21"/>
      <c r="I63" s="41"/>
      <c r="J63" s="36"/>
      <c r="K63" s="36"/>
      <c r="L63" s="37"/>
      <c r="M63" s="35"/>
    </row>
    <row r="64" spans="2:13" s="14" customFormat="1" ht="30.6" outlineLevel="1" x14ac:dyDescent="0.4">
      <c r="B64" s="23"/>
      <c r="C64" s="166" t="s">
        <v>155</v>
      </c>
      <c r="D64" s="166" t="s">
        <v>156</v>
      </c>
      <c r="E64" s="166" t="s">
        <v>139</v>
      </c>
      <c r="F64" s="166" t="s">
        <v>140</v>
      </c>
      <c r="G64" s="24"/>
      <c r="H64" s="24"/>
      <c r="I64" s="42"/>
      <c r="J64" s="166" t="s">
        <v>155</v>
      </c>
      <c r="K64" s="164" t="s">
        <v>141</v>
      </c>
      <c r="L64" s="37"/>
      <c r="M64" s="63"/>
    </row>
    <row r="65" spans="2:13" s="4" customFormat="1" outlineLevel="1" x14ac:dyDescent="0.4">
      <c r="B65" s="20"/>
      <c r="C65" s="617" t="str">
        <f>IF(D13="Do not use defaults", "", "Pesticides")</f>
        <v/>
      </c>
      <c r="D65" s="620" t="str">
        <f>IF(C65="Pesticides", 100%, "")</f>
        <v/>
      </c>
      <c r="E65" s="27" t="str">
        <f>IF(C65="Pesticides", "kg(active ingredient)/Ha", "")</f>
        <v/>
      </c>
      <c r="F65" s="30" t="str">
        <f>IF(D13="Do not use defaults","",VLOOKUP(D13,Default_crop_data[],7,FALSE))</f>
        <v/>
      </c>
      <c r="G65" s="1"/>
      <c r="H65" s="1"/>
      <c r="I65" s="43"/>
      <c r="J65" s="27" t="str">
        <f>IF(C65&gt;0,C65,"")</f>
        <v/>
      </c>
      <c r="K65" s="91" t="str">
        <f>IFERROR(IF(C65&gt;0,IF(ISBLANK(E65),"Insert unit",IF(OR(ISBLANK(F65),AND(ISBLANK(D65),E65="kg(pesticide)/Ha")),"Insert data",(IF(E65="kg(pesticide)/HA",F65*D65,F65)*INDEX(Pesticide_EF,MATCH("Pesticide (any)",Pesticides,0))/F17)/1000)),""),"")</f>
        <v/>
      </c>
      <c r="L65" s="39"/>
      <c r="M65" s="35"/>
    </row>
    <row r="66" spans="2:13" s="4" customFormat="1" outlineLevel="1" x14ac:dyDescent="0.4">
      <c r="B66" s="20"/>
      <c r="C66" s="151"/>
      <c r="D66" s="139"/>
      <c r="E66" s="138"/>
      <c r="F66" s="134"/>
      <c r="G66" s="1"/>
      <c r="H66" s="1"/>
      <c r="I66" s="43"/>
      <c r="J66" s="27" t="str">
        <f>IF(C66&gt;0,C66,"")</f>
        <v/>
      </c>
      <c r="K66" s="91" t="str">
        <f>IFERROR(IF(C66&gt;0,IF(ISBLANK(G66),"Insert data",(IF(F66="kg(fertiliser)/HA",G66*D66,G66)*INDEX(Other_fertiliser_EF,MATCH(C66,Other_fertilisers,0))/F17)/1000),""),"")</f>
        <v/>
      </c>
      <c r="L66" s="39"/>
      <c r="M66" s="35"/>
    </row>
    <row r="67" spans="2:13" s="4" customFormat="1" outlineLevel="1" x14ac:dyDescent="0.4">
      <c r="B67" s="20"/>
      <c r="C67" s="151"/>
      <c r="D67" s="139"/>
      <c r="E67" s="138"/>
      <c r="F67" s="134"/>
      <c r="G67" s="1"/>
      <c r="H67" s="1"/>
      <c r="I67" s="43"/>
      <c r="J67" s="27" t="str">
        <f>IF(C67&gt;0,C67,"")</f>
        <v/>
      </c>
      <c r="K67" s="91" t="str">
        <f>IFERROR(IF(C67&gt;0,IF(ISBLANK(G67),"Insert data",(IF(F67="kg(fertiliser)/HA",G67*D67,G67)*INDEX(Other_fertiliser_EF,MATCH(C67,Other_fertilisers,0))/F17)/1000),""),"")</f>
        <v/>
      </c>
      <c r="L67" s="39"/>
      <c r="M67" s="35"/>
    </row>
    <row r="68" spans="2:13" s="4" customFormat="1" outlineLevel="1" x14ac:dyDescent="0.4">
      <c r="B68" s="20"/>
      <c r="C68" s="151"/>
      <c r="D68" s="139"/>
      <c r="E68" s="138"/>
      <c r="F68" s="134"/>
      <c r="G68" s="1"/>
      <c r="H68" s="1"/>
      <c r="I68" s="43"/>
      <c r="J68" s="27" t="str">
        <f>IF(C68&gt;0,C68,"")</f>
        <v/>
      </c>
      <c r="K68" s="91" t="str">
        <f>IFERROR(IF(C68&gt;0,IF(ISBLANK(G68),"Insert data",(IF(F68="kg(fertiliser)/HA",G68*D68,G68)*INDEX(Other_fertiliser_EF,MATCH(C68,Other_fertilisers,0))/F17)/1000),""),"")</f>
        <v/>
      </c>
      <c r="L68" s="39"/>
      <c r="M68" s="35"/>
    </row>
    <row r="69" spans="2:13" s="4" customFormat="1" outlineLevel="1" x14ac:dyDescent="0.4">
      <c r="B69" s="20"/>
      <c r="C69" s="151"/>
      <c r="D69" s="139"/>
      <c r="E69" s="138"/>
      <c r="F69" s="134"/>
      <c r="G69" s="1"/>
      <c r="H69" s="1"/>
      <c r="I69" s="43"/>
      <c r="J69" s="27" t="str">
        <f>IF(C69&gt;0,C69,"")</f>
        <v/>
      </c>
      <c r="K69" s="91" t="str">
        <f>IFERROR(IF(C69&gt;0,IF(ISBLANK(G69),"Insert data",(IF(F69="kg(fertiliser)/HA",G69*D69,G69)*INDEX(Other_fertiliser_EF,MATCH(C69,Other_fertilisers,0))/F17)/1000),""),"")</f>
        <v/>
      </c>
      <c r="L69" s="39"/>
      <c r="M69" s="35"/>
    </row>
    <row r="70" spans="2:13" s="4" customFormat="1" outlineLevel="1" x14ac:dyDescent="0.4">
      <c r="B70" s="20"/>
      <c r="C70" s="24"/>
      <c r="D70" s="21"/>
      <c r="E70" s="21"/>
      <c r="F70" s="21"/>
      <c r="G70" s="21"/>
      <c r="H70" s="21"/>
      <c r="I70" s="41"/>
      <c r="J70" s="36"/>
      <c r="K70" s="36"/>
      <c r="L70" s="37"/>
      <c r="M70" s="35"/>
    </row>
    <row r="71" spans="2:13" s="4" customFormat="1" outlineLevel="1" x14ac:dyDescent="0.4">
      <c r="B71" s="20"/>
      <c r="C71" s="150" t="s">
        <v>157</v>
      </c>
      <c r="D71" s="21"/>
      <c r="E71" s="21"/>
      <c r="F71" s="21"/>
      <c r="G71" s="21"/>
      <c r="H71" s="21"/>
      <c r="I71" s="41"/>
      <c r="J71" s="36"/>
      <c r="K71" s="36"/>
      <c r="L71" s="37"/>
      <c r="M71" s="35"/>
    </row>
    <row r="72" spans="2:13" s="4" customFormat="1" outlineLevel="1" x14ac:dyDescent="0.4">
      <c r="B72" s="20"/>
      <c r="C72" s="167" t="s">
        <v>158</v>
      </c>
      <c r="D72" s="168" t="s">
        <v>151</v>
      </c>
      <c r="E72" s="168" t="s">
        <v>140</v>
      </c>
      <c r="F72" s="21"/>
      <c r="G72" s="21"/>
      <c r="H72" s="21"/>
      <c r="I72" s="41"/>
      <c r="J72" s="164" t="s">
        <v>158</v>
      </c>
      <c r="K72" s="164" t="s">
        <v>141</v>
      </c>
      <c r="L72" s="37"/>
      <c r="M72" s="35"/>
    </row>
    <row r="73" spans="2:13" s="4" customFormat="1" outlineLevel="1" x14ac:dyDescent="0.4">
      <c r="B73" s="20"/>
      <c r="C73" s="617" t="str">
        <f>IF(D13="Silage grass", "Grass", IF(D13="Do not use defaults", "", D13))</f>
        <v/>
      </c>
      <c r="D73" s="27" t="str">
        <f>IF(C73=D13, "kg/Ha", "")</f>
        <v/>
      </c>
      <c r="E73" s="30" t="str">
        <f>IF(D13="Do not use defaults", "",VLOOKUP(D13,Default_crop_data[],8,FALSE))</f>
        <v/>
      </c>
      <c r="F73" s="1"/>
      <c r="G73" s="1"/>
      <c r="H73" s="1"/>
      <c r="I73" s="43"/>
      <c r="J73" s="27" t="str">
        <f>IF(C73&gt;0,C73,"")</f>
        <v/>
      </c>
      <c r="K73" s="52" t="str">
        <f>IF(C73&gt;0,IFERROR(E73*INDEX(Seed_EF,MATCH(C73,Seeds,0))/F17/1000,""),"")</f>
        <v/>
      </c>
      <c r="L73" s="38"/>
      <c r="M73" s="35"/>
    </row>
    <row r="74" spans="2:13" s="4" customFormat="1" outlineLevel="1" x14ac:dyDescent="0.4">
      <c r="B74" s="20"/>
      <c r="C74" s="153"/>
      <c r="D74" s="138"/>
      <c r="E74" s="140"/>
      <c r="F74" s="1"/>
      <c r="G74" s="1"/>
      <c r="H74" s="1"/>
      <c r="I74" s="43"/>
      <c r="J74" s="27" t="str">
        <f>IF(C74&gt;0,C74,"")</f>
        <v/>
      </c>
      <c r="K74" s="52" t="str">
        <f>IF(C74&gt;0,IFERROR(E74*INDEX(Seed_EF,MATCH(C74,Seeds,0))/F18/1000,""),"")</f>
        <v/>
      </c>
      <c r="L74" s="38"/>
      <c r="M74" s="35"/>
    </row>
    <row r="75" spans="2:13" s="4" customFormat="1" outlineLevel="1" x14ac:dyDescent="0.4">
      <c r="B75" s="20"/>
      <c r="C75" s="24"/>
      <c r="D75" s="21"/>
      <c r="E75" s="21"/>
      <c r="F75" s="21"/>
      <c r="G75" s="21"/>
      <c r="H75" s="21"/>
      <c r="I75" s="41"/>
      <c r="J75" s="36"/>
      <c r="K75" s="36"/>
      <c r="L75" s="37"/>
      <c r="M75" s="35"/>
    </row>
    <row r="76" spans="2:13" s="12" customFormat="1" ht="15" customHeight="1" outlineLevel="1" x14ac:dyDescent="0.35">
      <c r="B76" s="20"/>
      <c r="C76" s="25" t="s">
        <v>159</v>
      </c>
      <c r="D76" s="1"/>
      <c r="E76" s="1"/>
      <c r="F76" s="1"/>
      <c r="G76" s="1"/>
      <c r="H76" s="1"/>
      <c r="I76" s="43"/>
      <c r="J76" s="34"/>
      <c r="K76" s="34"/>
      <c r="L76" s="44"/>
      <c r="M76" s="54"/>
    </row>
    <row r="77" spans="2:13" s="12" customFormat="1" ht="15" customHeight="1" outlineLevel="1" x14ac:dyDescent="0.35">
      <c r="B77" s="20"/>
      <c r="C77" s="166" t="s">
        <v>160</v>
      </c>
      <c r="D77" s="164" t="s">
        <v>151</v>
      </c>
      <c r="E77" s="164" t="s">
        <v>140</v>
      </c>
      <c r="F77" s="1"/>
      <c r="G77" s="1"/>
      <c r="H77" s="1"/>
      <c r="I77" s="43"/>
      <c r="J77" s="164" t="s">
        <v>160</v>
      </c>
      <c r="K77" s="164" t="s">
        <v>141</v>
      </c>
      <c r="L77" s="37"/>
      <c r="M77" s="54"/>
    </row>
    <row r="78" spans="2:13" s="12" customFormat="1" ht="15" customHeight="1" outlineLevel="1" x14ac:dyDescent="0.35">
      <c r="B78" s="20"/>
      <c r="C78" s="621" t="str">
        <f>IF(D13="Do not use defaults", "", "Diesel")</f>
        <v/>
      </c>
      <c r="D78" s="74" t="str">
        <f>IF(D13="Do not use defaults", "", "litres/Ha")</f>
        <v/>
      </c>
      <c r="E78" s="622" t="str">
        <f>IF(D13="Do not use defaults", "",VLOOKUP(D13,Default_crop_data[],9,FALSE))</f>
        <v/>
      </c>
      <c r="F78" s="1"/>
      <c r="G78" s="26"/>
      <c r="H78" s="1"/>
      <c r="I78" s="43"/>
      <c r="J78" s="27" t="str">
        <f>IF(C78&gt;0,C78,"")</f>
        <v/>
      </c>
      <c r="K78" s="52" t="str">
        <f>IF(D13="Do not use defaults", "", IFERROR(IF(C78&gt;0,IF(ISBLANK(E78),"Insert data",IF(D78="litres/Ha",E78*INDEX(Fuel_Densities,MATCH(C78,Fuels_for_Densities,0))/1000*INDEX(Fuel_LHV,MATCH(C78,Fuels_for_LHV,0))/F17/1000*INDEX(Fuel_EFs,MATCH(C78,Fuels_for_EF,0)),IF(D78="kg/Ha",E78*INDEX(Fuel_LHV,MATCH(C78,Fuels_for_LHV,0))/F17/1000*INDEX(Fuel_EFs,MATCH(C78,Fuels_for_EF,0)),IF(D78="tonnes/Ha",E78*INDEX(Fuel_LHV,MATCH(C78,Fuels_for_LHV,0))/F17*INDEX(Fuel_EFs,MATCH(C78,Fuels_for_EF,0)),"Insert unit")))),""),""))</f>
        <v/>
      </c>
      <c r="L78" s="40"/>
      <c r="M78" s="54"/>
    </row>
    <row r="79" spans="2:13" s="12" customFormat="1" ht="15" customHeight="1" outlineLevel="1" x14ac:dyDescent="0.35">
      <c r="B79" s="20"/>
      <c r="C79" s="621" t="str">
        <f>IF(D13="Do not use defaults", "", "Diesel")</f>
        <v/>
      </c>
      <c r="D79" s="74" t="str">
        <f>IF(D13="Do not use defaults", "", "litres/Ha")</f>
        <v/>
      </c>
      <c r="E79" s="622" t="str">
        <f>IF(D13="Do not use defaults", "",VLOOKUP(D13,Default_crop_data[],10,FALSE))</f>
        <v/>
      </c>
      <c r="F79" s="1"/>
      <c r="G79" s="1"/>
      <c r="H79" s="1"/>
      <c r="I79" s="43"/>
      <c r="J79" s="27" t="str">
        <f>IF(C79&gt;0,C79,"")</f>
        <v/>
      </c>
      <c r="K79" s="52" t="str">
        <f>IF(D13="Do not use defaults", "", IFERROR(IF(C79&gt;0,IF(ISBLANK(E79),"Insert data",IF(D79="litres/Ha",E79*INDEX(Fuel_Densities,MATCH(C79,Fuels_for_Densities,0))/1000*INDEX(Fuel_LHV,MATCH(C79,Fuels_for_LHV,0))/F17/1000*INDEX(Fuel_EFs,MATCH(C79,Fuels_for_EF,0)),IF(D79="kg/Ha",E79*INDEX(Fuel_LHV,MATCH(C79,Fuels_for_LHV,0))/F17/1000*INDEX(Fuel_EFs,MATCH(C79,Fuels_for_EF,0)),IF(D79="tonnes/Ha",E79*INDEX(Fuel_LHV,MATCH(C79,Fuels_for_LHV,0))/F17*INDEX(Fuel_EFs,MATCH(C79,Fuels_for_EF,0)),"Insert unit")))),""),""))</f>
        <v/>
      </c>
      <c r="L79" s="40"/>
      <c r="M79" s="54"/>
    </row>
    <row r="80" spans="2:13" s="12" customFormat="1" ht="15" customHeight="1" outlineLevel="1" x14ac:dyDescent="0.35">
      <c r="B80" s="20"/>
      <c r="C80" s="154"/>
      <c r="D80" s="141"/>
      <c r="E80" s="142"/>
      <c r="F80" s="1"/>
      <c r="G80" s="1"/>
      <c r="H80" s="1"/>
      <c r="I80" s="43"/>
      <c r="J80" s="27" t="str">
        <f>IF(C80&gt;0,C80,"")</f>
        <v/>
      </c>
      <c r="K80" s="52" t="str">
        <f>IFERROR(IF(C80&gt;0,IF(ISBLANK(E80),"Insert data",IF(D80="litres/Ha",E80*INDEX(Fuel_Densities,MATCH(C80,Fuels_for_Densities,0))/1000*INDEX(Fuel_LHV,MATCH(C80,Fuels_for_LHV,0))/F17/1000*INDEX(Fuel_EFs,MATCH(C80,Fuels_for_EF,0)),IF(D80="kg/Ha",E80*INDEX(Fuel_LHV,MATCH(C80,Fuels_for_LHV,0))/F17/1000*INDEX(Fuel_EFs,MATCH(C80,Fuels_for_EF,0)),IF(D80="tonnes/Ha",E80*INDEX(Fuel_LHV,MATCH(C80,Fuels_for_LHV,0))/F17*INDEX(Fuel_EFs,MATCH(C80,Fuels_for_EF,0)),"Insert unit")))),""),"")</f>
        <v/>
      </c>
      <c r="L80" s="40"/>
      <c r="M80" s="54"/>
    </row>
    <row r="81" spans="2:14" s="12" customFormat="1" ht="15" customHeight="1" outlineLevel="1" x14ac:dyDescent="0.35">
      <c r="B81" s="20"/>
      <c r="C81" s="154"/>
      <c r="D81" s="141"/>
      <c r="E81" s="142"/>
      <c r="F81" s="1"/>
      <c r="G81" s="1"/>
      <c r="H81" s="1"/>
      <c r="I81" s="43"/>
      <c r="J81" s="27" t="str">
        <f>IF(C81&gt;0,C81,"")</f>
        <v/>
      </c>
      <c r="K81" s="52" t="str">
        <f>IFERROR(IF(C81&gt;0,IF(ISBLANK(E81),"Insert data",IF(D81="litres/Ha",E81*INDEX(Fuel_Densities,MATCH(C81,Fuels_for_Densities,0))/1000*INDEX(Fuel_LHV,MATCH(C81,Fuels_for_LHV,0))/F17/1000*INDEX(Fuel_EFs,MATCH(C81,Fuels_for_EF,0)),IF(D81="kg/Ha",E81*INDEX(Fuel_LHV,MATCH(C81,Fuels_for_LHV,0))/F17/1000*INDEX(Fuel_EFs,MATCH(C81,Fuels_for_EF,0)),IF(D81="tonnes/Ha",E81*INDEX(Fuel_LHV,MATCH(C81,Fuels_for_LHV,0))/F17*INDEX(Fuel_EFs,MATCH(C81,Fuels_for_EF,0)),"Insert unit")))),""),"")</f>
        <v/>
      </c>
      <c r="L81" s="40"/>
      <c r="M81" s="54"/>
    </row>
    <row r="82" spans="2:14" s="4" customFormat="1" ht="13.5" customHeight="1" outlineLevel="1" x14ac:dyDescent="0.4">
      <c r="B82" s="20"/>
      <c r="C82" s="24"/>
      <c r="D82" s="21"/>
      <c r="E82" s="21"/>
      <c r="F82" s="21"/>
      <c r="G82" s="21"/>
      <c r="H82" s="21"/>
      <c r="I82" s="46"/>
      <c r="J82" s="58"/>
      <c r="K82" s="58"/>
      <c r="L82" s="59"/>
      <c r="M82" s="35"/>
    </row>
    <row r="83" spans="2:14" s="4" customFormat="1" ht="13.5" customHeight="1" outlineLevel="1" x14ac:dyDescent="0.4">
      <c r="B83" s="20"/>
      <c r="C83" s="25" t="s">
        <v>120</v>
      </c>
      <c r="D83" s="21"/>
      <c r="E83" s="21"/>
      <c r="F83" s="21"/>
      <c r="G83" s="21"/>
      <c r="H83" s="21"/>
      <c r="I83" s="21"/>
      <c r="J83" s="21"/>
      <c r="K83" s="21"/>
      <c r="L83" s="21"/>
      <c r="M83" s="35"/>
    </row>
    <row r="84" spans="2:14" s="4" customFormat="1" ht="13.5" customHeight="1" outlineLevel="1" x14ac:dyDescent="0.4">
      <c r="B84" s="20"/>
      <c r="C84" s="166" t="s">
        <v>161</v>
      </c>
      <c r="D84" s="622">
        <f>IFERROR((Feedstocks!D11*(Feedstocks!E11/IF(Feedstocks!I11="Default", Feedstocks!J11, Feedstocks!K11))/('Transport 1'!F19*'Feedstock conversion'!F17*'Transport 2'!F19))/F17, 0)</f>
        <v>0</v>
      </c>
      <c r="E84" s="21"/>
      <c r="F84" s="21"/>
      <c r="G84" s="21"/>
      <c r="H84" s="21"/>
      <c r="I84" s="21"/>
      <c r="J84" s="21"/>
      <c r="K84" s="21"/>
      <c r="L84" s="21"/>
      <c r="M84" s="35"/>
    </row>
    <row r="85" spans="2:14" s="4" customFormat="1" ht="13.5" customHeight="1" outlineLevel="1" x14ac:dyDescent="0.4">
      <c r="B85" s="28"/>
      <c r="C85" s="155"/>
      <c r="D85" s="29"/>
      <c r="E85" s="29"/>
      <c r="F85" s="29"/>
      <c r="G85" s="29"/>
      <c r="H85" s="29"/>
      <c r="I85" s="29"/>
      <c r="J85" s="29"/>
      <c r="K85" s="29"/>
      <c r="L85" s="29"/>
      <c r="M85" s="60"/>
    </row>
    <row r="86" spans="2:14" s="4" customFormat="1" x14ac:dyDescent="0.4">
      <c r="C86" s="14"/>
    </row>
    <row r="87" spans="2:14" s="4" customFormat="1" hidden="1" x14ac:dyDescent="0.4">
      <c r="C87" s="14"/>
    </row>
    <row r="88" spans="2:14" s="4" customFormat="1" hidden="1" x14ac:dyDescent="0.4">
      <c r="C88" s="14"/>
    </row>
    <row r="89" spans="2:14" s="4" customFormat="1" hidden="1" x14ac:dyDescent="0.4">
      <c r="C89" s="14"/>
    </row>
    <row r="90" spans="2:14" s="1" customFormat="1" ht="15" hidden="1" x14ac:dyDescent="0.35">
      <c r="C90" s="82"/>
    </row>
    <row r="91" spans="2:14" s="1" customFormat="1" hidden="1" x14ac:dyDescent="0.4">
      <c r="B91" s="4"/>
      <c r="C91" s="14"/>
      <c r="D91" s="4"/>
      <c r="E91" s="4"/>
      <c r="F91" s="4"/>
      <c r="G91" s="4"/>
      <c r="H91" s="4"/>
      <c r="I91" s="4"/>
      <c r="J91" s="4"/>
      <c r="K91" s="4"/>
      <c r="L91" s="4"/>
      <c r="M91" s="4"/>
      <c r="N91" s="4"/>
    </row>
    <row r="92" spans="2:14" s="1" customFormat="1" hidden="1" x14ac:dyDescent="0.4">
      <c r="B92" s="4"/>
      <c r="C92" s="14"/>
      <c r="D92" s="4"/>
      <c r="E92" s="4"/>
      <c r="F92" s="4"/>
      <c r="G92" s="4"/>
      <c r="H92" s="4"/>
      <c r="I92" s="4"/>
      <c r="J92" s="4"/>
      <c r="K92" s="4"/>
      <c r="L92" s="4"/>
      <c r="M92" s="4"/>
      <c r="N92" s="4"/>
    </row>
    <row r="93" spans="2:14" s="1" customFormat="1" ht="10.5" hidden="1" customHeight="1" x14ac:dyDescent="0.4">
      <c r="B93" s="4"/>
      <c r="C93" s="14"/>
      <c r="D93" s="4"/>
      <c r="E93" s="4"/>
      <c r="F93" s="4"/>
      <c r="G93" s="4"/>
      <c r="H93" s="4"/>
      <c r="I93" s="4"/>
      <c r="J93" s="4"/>
      <c r="K93" s="4"/>
      <c r="L93" s="4"/>
      <c r="M93" s="4"/>
      <c r="N93" s="4"/>
    </row>
    <row r="94" spans="2:14" s="1" customFormat="1" ht="10.5" hidden="1" customHeight="1" x14ac:dyDescent="0.4">
      <c r="B94" s="4"/>
      <c r="C94" s="14"/>
      <c r="D94" s="4"/>
      <c r="E94" s="4"/>
      <c r="F94" s="4"/>
      <c r="G94" s="4"/>
      <c r="H94" s="4"/>
      <c r="I94" s="4"/>
      <c r="J94" s="4"/>
      <c r="K94" s="4"/>
      <c r="L94" s="4"/>
      <c r="M94" s="4"/>
      <c r="N94" s="4"/>
    </row>
    <row r="95" spans="2:14" s="1" customFormat="1" ht="10.5" hidden="1" customHeight="1" x14ac:dyDescent="0.4">
      <c r="B95" s="4"/>
      <c r="C95" s="14"/>
      <c r="D95" s="4"/>
      <c r="E95" s="4"/>
      <c r="F95" s="4"/>
      <c r="G95" s="4"/>
      <c r="H95" s="4"/>
      <c r="I95" s="4"/>
      <c r="J95" s="4"/>
      <c r="K95" s="4"/>
      <c r="L95" s="4"/>
      <c r="M95" s="4"/>
      <c r="N95" s="4"/>
    </row>
    <row r="96" spans="2:14" s="1" customFormat="1" ht="10.5" hidden="1" customHeight="1" x14ac:dyDescent="0.4">
      <c r="B96" s="4"/>
      <c r="C96" s="14"/>
      <c r="D96" s="4"/>
      <c r="E96" s="4"/>
      <c r="F96" s="4"/>
      <c r="G96" s="4"/>
      <c r="H96" s="4"/>
      <c r="I96" s="4"/>
      <c r="J96" s="4"/>
      <c r="K96" s="4"/>
      <c r="L96" s="4"/>
      <c r="M96" s="4"/>
      <c r="N96" s="4"/>
    </row>
    <row r="97" spans="2:15" s="1" customFormat="1" ht="10.5" hidden="1" customHeight="1" x14ac:dyDescent="0.4">
      <c r="B97" s="4"/>
      <c r="C97" s="14"/>
      <c r="D97" s="4"/>
      <c r="E97" s="4"/>
      <c r="F97" s="4"/>
      <c r="G97" s="4"/>
      <c r="H97" s="4"/>
      <c r="I97" s="4"/>
      <c r="J97" s="4"/>
      <c r="K97" s="4"/>
      <c r="L97" s="4"/>
      <c r="M97" s="4"/>
      <c r="N97" s="4"/>
    </row>
    <row r="98" spans="2:15" s="1" customFormat="1" ht="10.5" hidden="1" customHeight="1" x14ac:dyDescent="0.4">
      <c r="B98" s="4"/>
      <c r="C98" s="14"/>
      <c r="D98" s="4"/>
      <c r="E98" s="4"/>
      <c r="F98" s="4"/>
      <c r="G98" s="4"/>
      <c r="H98" s="4"/>
      <c r="I98" s="4"/>
      <c r="J98" s="4"/>
      <c r="K98" s="4"/>
      <c r="L98" s="4"/>
      <c r="M98" s="4"/>
      <c r="N98" s="4"/>
      <c r="O98" s="4"/>
    </row>
    <row r="99" spans="2:15" s="1" customFormat="1" ht="10.5" hidden="1" customHeight="1" x14ac:dyDescent="0.4">
      <c r="C99" s="14"/>
      <c r="D99" s="4"/>
      <c r="E99" s="4"/>
      <c r="F99" s="4"/>
      <c r="G99" s="4"/>
      <c r="H99" s="4"/>
      <c r="I99" s="4"/>
      <c r="J99" s="4"/>
      <c r="K99" s="4"/>
      <c r="L99" s="4"/>
      <c r="M99" s="4"/>
      <c r="N99" s="4"/>
      <c r="O99" s="4"/>
    </row>
    <row r="100" spans="2:15" s="1" customFormat="1" ht="10.5" hidden="1" customHeight="1" x14ac:dyDescent="0.4">
      <c r="C100" s="14"/>
      <c r="D100" s="4"/>
      <c r="E100" s="4"/>
      <c r="F100" s="4"/>
      <c r="G100" s="4"/>
      <c r="H100" s="4"/>
      <c r="I100" s="4"/>
      <c r="J100" s="4"/>
      <c r="K100" s="4"/>
      <c r="L100" s="4"/>
      <c r="M100" s="4"/>
      <c r="N100" s="4"/>
      <c r="O100" s="4"/>
    </row>
    <row r="101" spans="2:15" s="1" customFormat="1" ht="10.5" hidden="1" customHeight="1" x14ac:dyDescent="0.4">
      <c r="C101" s="14"/>
      <c r="D101" s="4"/>
      <c r="E101" s="4"/>
      <c r="F101" s="4"/>
      <c r="G101" s="4"/>
      <c r="H101" s="4"/>
      <c r="I101" s="4"/>
      <c r="J101" s="4"/>
      <c r="K101" s="4"/>
      <c r="L101" s="4"/>
      <c r="M101" s="4"/>
      <c r="N101" s="4"/>
      <c r="O101" s="4"/>
    </row>
    <row r="102" spans="2:15" s="1" customFormat="1" ht="10.5" hidden="1" customHeight="1" x14ac:dyDescent="0.4">
      <c r="C102" s="14"/>
      <c r="D102" s="4"/>
      <c r="E102" s="4"/>
      <c r="F102" s="4"/>
      <c r="G102" s="4"/>
      <c r="H102" s="4"/>
      <c r="I102" s="4"/>
      <c r="J102" s="4"/>
      <c r="K102" s="4"/>
      <c r="L102" s="4"/>
      <c r="M102" s="4"/>
      <c r="N102" s="4"/>
      <c r="O102" s="4"/>
    </row>
    <row r="103" spans="2:15" s="1" customFormat="1" ht="10.5" hidden="1" customHeight="1" x14ac:dyDescent="0.4">
      <c r="C103" s="14"/>
      <c r="D103" s="4"/>
      <c r="E103" s="4"/>
      <c r="F103" s="4"/>
      <c r="G103" s="4"/>
      <c r="H103" s="4"/>
      <c r="I103" s="4"/>
      <c r="J103" s="4"/>
      <c r="K103" s="4"/>
      <c r="L103" s="4"/>
      <c r="M103" s="4"/>
      <c r="N103" s="4"/>
      <c r="O103" s="4"/>
    </row>
    <row r="104" spans="2:15" s="1" customFormat="1" hidden="1" x14ac:dyDescent="0.4">
      <c r="C104" s="14"/>
      <c r="D104" s="4"/>
      <c r="E104" s="4"/>
      <c r="F104" s="4"/>
      <c r="G104" s="4"/>
      <c r="H104" s="4"/>
      <c r="I104" s="4"/>
      <c r="J104" s="4"/>
      <c r="K104" s="4"/>
      <c r="L104" s="4"/>
      <c r="M104" s="4"/>
      <c r="N104" s="4"/>
      <c r="O104" s="4"/>
    </row>
    <row r="105" spans="2:15" s="4" customFormat="1" hidden="1" x14ac:dyDescent="0.4">
      <c r="C105" s="14"/>
    </row>
    <row r="106" spans="2:15" s="4" customFormat="1" hidden="1" x14ac:dyDescent="0.4">
      <c r="C106" s="14"/>
    </row>
    <row r="107" spans="2:15" s="4" customFormat="1" hidden="1" x14ac:dyDescent="0.4">
      <c r="C107" s="14"/>
    </row>
    <row r="108" spans="2:15" s="4" customFormat="1" ht="19.2" x14ac:dyDescent="0.45">
      <c r="B108" s="754" t="str">
        <f>"Cultivation &amp; Harvesting"&amp;" - "&amp;Feedstocks!C12</f>
        <v xml:space="preserve">Cultivation &amp; Harvesting - </v>
      </c>
      <c r="C108" s="755"/>
      <c r="D108" s="755"/>
      <c r="E108" s="755"/>
      <c r="F108" s="755"/>
      <c r="G108" s="755"/>
      <c r="H108" s="755"/>
      <c r="I108" s="755"/>
      <c r="J108" s="755"/>
      <c r="K108" s="755"/>
      <c r="L108" s="755"/>
      <c r="M108" s="756"/>
    </row>
    <row r="109" spans="2:15" s="4" customFormat="1" outlineLevel="1" x14ac:dyDescent="0.4">
      <c r="B109" s="17"/>
      <c r="C109" s="520"/>
      <c r="D109" s="19"/>
      <c r="E109" s="19"/>
      <c r="F109" s="19"/>
      <c r="G109" s="19"/>
      <c r="H109" s="19"/>
      <c r="I109" s="19"/>
      <c r="J109" s="19"/>
      <c r="K109" s="19"/>
      <c r="L109" s="19"/>
      <c r="M109" s="50"/>
    </row>
    <row r="110" spans="2:15" s="4" customFormat="1" outlineLevel="1" x14ac:dyDescent="0.4">
      <c r="B110" s="20"/>
      <c r="C110" s="356" t="s">
        <v>46</v>
      </c>
      <c r="D110" s="751"/>
      <c r="E110" s="751"/>
      <c r="F110" s="751"/>
      <c r="G110" s="1"/>
      <c r="I110" s="303" t="s">
        <v>122</v>
      </c>
      <c r="J110" s="64"/>
      <c r="K110" s="47"/>
      <c r="L110" s="45"/>
      <c r="M110" s="35"/>
    </row>
    <row r="111" spans="2:15" s="4" customFormat="1" outlineLevel="1" x14ac:dyDescent="0.4">
      <c r="B111" s="20"/>
      <c r="C111" s="163" t="s">
        <v>123</v>
      </c>
      <c r="D111" s="758" t="str">
        <f>IF(Feedstocks!$H$12&gt;0,Feedstocks!$H$12,"")</f>
        <v/>
      </c>
      <c r="E111" s="757"/>
      <c r="F111" s="752"/>
      <c r="G111" s="76"/>
      <c r="H111" s="94"/>
      <c r="I111" s="41"/>
      <c r="J111" s="36"/>
      <c r="K111" s="164" t="s">
        <v>124</v>
      </c>
      <c r="L111" s="37"/>
      <c r="M111" s="35"/>
    </row>
    <row r="112" spans="2:15" s="4" customFormat="1" outlineLevel="1" x14ac:dyDescent="0.4">
      <c r="B112" s="20"/>
      <c r="C112" s="24"/>
      <c r="D112" s="21"/>
      <c r="E112" s="21"/>
      <c r="F112" s="21"/>
      <c r="G112" s="21"/>
      <c r="H112" s="21"/>
      <c r="I112" s="41"/>
      <c r="J112" s="169" t="s">
        <v>125</v>
      </c>
      <c r="K112" s="68" t="str">
        <f>IFERROR(IF('Feedstock conversion'!E63="Yes",(K115/(IF(Feedstocks!I12="default",Feedstocks!J12,IF(Feedstocks!I12="actual",Feedstocks!K12,"Insert data (plant inputs)"))/Feedstocks!E12*'Transport 1'!F69*'Feedstock conversion'!D67*'Transport 2'!F69*('Digestion &amp; outputs'!$G$17/1000)))*IF('Feedstock conversion'!E92="Yes",'Feedstock conversion'!J95,1)*'Digestion &amp; outputs'!$K$23,IF('Feedstock conversion'!E63="No",(K115/(IF(Feedstocks!I12="default",Feedstocks!J12,IF(Feedstocks!I12="actual",Feedstocks!K12,"Insert data (plant inputs)"))/Feedstocks!E12*'Transport 1'!F69*'Transport 2'!F69*('Digestion &amp; outputs'!$G$17/1000)))*'Digestion &amp; outputs'!$K$23,"")),"")</f>
        <v/>
      </c>
      <c r="L112" s="37"/>
      <c r="M112" s="35"/>
    </row>
    <row r="113" spans="2:13" s="4" customFormat="1" ht="18" customHeight="1" outlineLevel="1" x14ac:dyDescent="0.4">
      <c r="B113" s="20"/>
      <c r="C113" s="286" t="s">
        <v>126</v>
      </c>
      <c r="D113" s="673" t="s">
        <v>127</v>
      </c>
      <c r="G113" s="21"/>
      <c r="H113" s="21"/>
      <c r="I113" s="41"/>
      <c r="J113" s="67"/>
      <c r="K113" s="67"/>
      <c r="L113" s="37"/>
      <c r="M113" s="35"/>
    </row>
    <row r="114" spans="2:13" s="4" customFormat="1" outlineLevel="1" x14ac:dyDescent="0.4">
      <c r="B114" s="20"/>
      <c r="C114" s="14"/>
      <c r="G114" s="21"/>
      <c r="H114" s="21"/>
      <c r="I114" s="41"/>
      <c r="J114" s="36"/>
      <c r="K114" s="164" t="s">
        <v>128</v>
      </c>
      <c r="L114" s="37"/>
      <c r="M114" s="35"/>
    </row>
    <row r="115" spans="2:13" s="4" customFormat="1" outlineLevel="1" x14ac:dyDescent="0.4">
      <c r="B115" s="20"/>
      <c r="C115" s="150" t="s">
        <v>129</v>
      </c>
      <c r="G115" s="21"/>
      <c r="H115" s="21"/>
      <c r="I115" s="41"/>
      <c r="J115" s="169" t="s">
        <v>130</v>
      </c>
      <c r="K115" s="52">
        <f>IFERROR(SUM(K120:K126,K128:K133,K137:K143,K145:K151,K153:K157,K161,K165:K169,K173,K178:K181),"")</f>
        <v>0</v>
      </c>
      <c r="L115" s="37"/>
      <c r="M115" s="35"/>
    </row>
    <row r="116" spans="2:13" s="4" customFormat="1" outlineLevel="1" x14ac:dyDescent="0.4">
      <c r="B116" s="20"/>
      <c r="C116" s="166" t="s">
        <v>131</v>
      </c>
      <c r="D116" s="164" t="s">
        <v>132</v>
      </c>
      <c r="E116" s="164" t="s">
        <v>133</v>
      </c>
      <c r="F116" s="164" t="s">
        <v>134</v>
      </c>
      <c r="G116" s="748" t="str">
        <f>IF(C117="actual","Must insert actual data for fertiliser application","")</f>
        <v/>
      </c>
      <c r="H116" s="21"/>
      <c r="I116" s="46"/>
      <c r="J116" s="58"/>
      <c r="K116" s="58"/>
      <c r="L116" s="59"/>
      <c r="M116" s="35"/>
    </row>
    <row r="117" spans="2:13" s="4" customFormat="1" outlineLevel="1" x14ac:dyDescent="0.4">
      <c r="B117" s="20"/>
      <c r="C117" s="151" t="s">
        <v>96</v>
      </c>
      <c r="D117" s="93" t="str">
        <f>IFERROR(INDEX(Crop_yields,MATCH(D113,Crops_for_yields,0)),"")</f>
        <v/>
      </c>
      <c r="E117" s="135"/>
      <c r="F117" s="31" t="str">
        <f>IFERROR(IF(C117="Default",D117,IF(ISBLANK(E117),"Insert data",E117)),"")</f>
        <v/>
      </c>
      <c r="G117" s="749"/>
      <c r="H117" s="21"/>
      <c r="I117" s="21"/>
      <c r="J117" s="21"/>
      <c r="K117" s="21"/>
      <c r="L117" s="21"/>
      <c r="M117" s="35"/>
    </row>
    <row r="118" spans="2:13" s="4" customFormat="1" ht="24" customHeight="1" outlineLevel="1" x14ac:dyDescent="0.4">
      <c r="B118" s="20"/>
      <c r="C118" s="150" t="s">
        <v>135</v>
      </c>
      <c r="D118" s="21"/>
      <c r="E118" s="21"/>
      <c r="F118" s="21"/>
      <c r="H118" s="21"/>
      <c r="I118" s="303" t="s">
        <v>136</v>
      </c>
      <c r="J118" s="47"/>
      <c r="K118" s="47"/>
      <c r="L118" s="45"/>
      <c r="M118" s="35"/>
    </row>
    <row r="119" spans="2:13" s="14" customFormat="1" outlineLevel="1" x14ac:dyDescent="0.4">
      <c r="B119" s="23"/>
      <c r="C119" s="166" t="s">
        <v>137</v>
      </c>
      <c r="D119" s="164" t="s">
        <v>138</v>
      </c>
      <c r="E119" s="164" t="s">
        <v>139</v>
      </c>
      <c r="F119" s="164" t="s">
        <v>140</v>
      </c>
      <c r="G119" s="4"/>
      <c r="H119" s="24"/>
      <c r="I119" s="42"/>
      <c r="J119" s="164" t="s">
        <v>137</v>
      </c>
      <c r="K119" s="164" t="s">
        <v>141</v>
      </c>
      <c r="L119" s="37"/>
      <c r="M119" s="63"/>
    </row>
    <row r="120" spans="2:13" s="4" customFormat="1" outlineLevel="1" x14ac:dyDescent="0.4">
      <c r="B120" s="20"/>
      <c r="C120" s="617" t="str">
        <f>IF(D113="Do not use defaults", "", "Nitrogen fertiliser (unspecified)")</f>
        <v/>
      </c>
      <c r="D120" s="618" t="str">
        <f>IF(D113="Do not use defaults", "",INDEX(N_fertiliser_N_composition,MATCH(C120,N_Fertilisers,0)))</f>
        <v/>
      </c>
      <c r="E120" s="27" t="str">
        <f>IF(D113="Do not use defaults","", "kg(Nitrogen)/Ha")</f>
        <v/>
      </c>
      <c r="F120" s="619" t="str">
        <f>IF(D113="Do not use defaults", "",VLOOKUP(D113,Default_crop_data[],2,FALSE))</f>
        <v/>
      </c>
      <c r="H120" s="1"/>
      <c r="I120" s="43"/>
      <c r="J120" s="27" t="str">
        <f t="shared" ref="J120:J126" si="3">IF(C120&gt;0,C120,"")</f>
        <v/>
      </c>
      <c r="K120" s="91" t="str">
        <f>IFERROR(IF(C120&gt;0,IF(ISBLANK(E120),"Insert unit",IF(ISBLANK(F120),"Insert data",(IF(E120="kg(fertiliser)/HA",F120*D120,F120)*INDEX(N_Fertiliser_EF,MATCH(C120,N_Fertilisers,0))/F117)/1000)),""),"")</f>
        <v/>
      </c>
      <c r="L120" s="39"/>
      <c r="M120" s="35"/>
    </row>
    <row r="121" spans="2:13" s="4" customFormat="1" outlineLevel="1" x14ac:dyDescent="0.4">
      <c r="B121" s="20"/>
      <c r="C121" s="151"/>
      <c r="D121" s="92" t="str">
        <f>IF(C121&gt;0,INDEX(N_fertiliser_N_composition,MATCH(C121,N_Fertilisers,0)),"")</f>
        <v/>
      </c>
      <c r="E121" s="138"/>
      <c r="F121" s="137"/>
      <c r="H121" s="1"/>
      <c r="I121" s="43"/>
      <c r="J121" s="27" t="str">
        <f t="shared" si="3"/>
        <v/>
      </c>
      <c r="K121" s="91" t="str">
        <f>IFERROR(IF(C121&gt;0,IF(ISBLANK(E121),"Insert unit",IF(ISBLANK(F121),"Insert data",(IF(E121="kg(fertiliser)/HA",F121*D121,F121)*INDEX(N_Fertiliser_EF,MATCH(C121,N_Fertilisers,0))/F117)/1000)),""),"")</f>
        <v/>
      </c>
      <c r="L121" s="39"/>
      <c r="M121" s="35"/>
    </row>
    <row r="122" spans="2:13" s="4" customFormat="1" outlineLevel="1" x14ac:dyDescent="0.4">
      <c r="B122" s="20"/>
      <c r="C122" s="151"/>
      <c r="D122" s="92" t="str">
        <f>IF(C122&gt;0,INDEX(N_fertiliser_N_composition,MATCH(C122,N_Fertilisers,0)),"")</f>
        <v/>
      </c>
      <c r="E122" s="138"/>
      <c r="F122" s="137"/>
      <c r="H122" s="1"/>
      <c r="I122" s="43"/>
      <c r="J122" s="27" t="str">
        <f t="shared" si="3"/>
        <v/>
      </c>
      <c r="K122" s="91" t="str">
        <f>IFERROR(IF(C122&gt;0,IF(ISBLANK(E122),"Insert unit",IF(ISBLANK(F122),"Insert data",(IF(E122="kg(fertiliser)/HA",F122*D122,F122)*INDEX(N_Fertiliser_EF,MATCH(C122,N_Fertilisers,0))/F117)/1000)),""),"")</f>
        <v/>
      </c>
      <c r="L122" s="39"/>
      <c r="M122" s="35"/>
    </row>
    <row r="123" spans="2:13" s="4" customFormat="1" outlineLevel="1" x14ac:dyDescent="0.4">
      <c r="B123" s="20"/>
      <c r="C123" s="151"/>
      <c r="D123" s="92" t="str">
        <f>IF(C123&gt;0,INDEX(N_fertiliser_N_composition,MATCH(C123,N_Fertilisers,0)),"")</f>
        <v/>
      </c>
      <c r="E123" s="138"/>
      <c r="F123" s="137"/>
      <c r="H123" s="1"/>
      <c r="I123" s="43"/>
      <c r="J123" s="27" t="str">
        <f t="shared" si="3"/>
        <v/>
      </c>
      <c r="K123" s="91" t="str">
        <f>IFERROR(IF(C123&gt;0,IF(ISBLANK(E123),"Insert unit",IF(ISBLANK(F123),"Insert data",(IF(E123="kg(fertiliser)/HA",F123*D123,F123)*INDEX(N_Fertiliser_EF,MATCH(C123,N_Fertilisers,0))/F117)/1000)),""),"")</f>
        <v/>
      </c>
      <c r="L123" s="39"/>
      <c r="M123" s="35"/>
    </row>
    <row r="124" spans="2:13" s="4" customFormat="1" outlineLevel="1" x14ac:dyDescent="0.4">
      <c r="B124" s="20"/>
      <c r="C124" s="151"/>
      <c r="D124" s="136"/>
      <c r="E124" s="138"/>
      <c r="F124" s="137"/>
      <c r="H124" s="1"/>
      <c r="I124" s="43"/>
      <c r="J124" s="27" t="str">
        <f t="shared" si="3"/>
        <v/>
      </c>
      <c r="K124" s="91" t="str">
        <f>IFERROR(IF(C124&gt;0,IF(ISBLANK(E124),"Insert unit",IF(OR(ISBLANK(F124),ISBLANK(D124)),"Insert data",(IF(E124="kg(fertiliser)/HA",F124*D124,F124)*INDEX(N_Fertiliser_EF,MATCH("nitrogen fertiliser (unspecified)",N_Fertilisers,0))/F117)/1000)),""),"")</f>
        <v/>
      </c>
      <c r="L124" s="39"/>
      <c r="M124" s="35"/>
    </row>
    <row r="125" spans="2:13" s="4" customFormat="1" outlineLevel="1" x14ac:dyDescent="0.4">
      <c r="B125" s="20"/>
      <c r="C125" s="151"/>
      <c r="D125" s="136"/>
      <c r="E125" s="138"/>
      <c r="F125" s="137"/>
      <c r="H125" s="1"/>
      <c r="I125" s="43"/>
      <c r="J125" s="27" t="str">
        <f t="shared" si="3"/>
        <v/>
      </c>
      <c r="K125" s="91" t="str">
        <f>IFERROR(IF(C125&gt;0,IF(ISBLANK(E125),"Insert unit",IF(OR(ISBLANK(F125),ISBLANK(D125)),"Insert data",(IF(E125="kg(fertiliser)/HA",F125*D125,F125)*INDEX(N_Fertiliser_EF,MATCH("nitrogen fertiliser (unspecified)",N_Fertilisers,0))/F117)/1000)),""),"")</f>
        <v/>
      </c>
      <c r="L125" s="39"/>
      <c r="M125" s="35"/>
    </row>
    <row r="126" spans="2:13" s="4" customFormat="1" outlineLevel="1" x14ac:dyDescent="0.4">
      <c r="B126" s="20"/>
      <c r="C126" s="151"/>
      <c r="D126" s="136"/>
      <c r="E126" s="138"/>
      <c r="F126" s="137"/>
      <c r="G126" s="14"/>
      <c r="H126" s="1"/>
      <c r="I126" s="43"/>
      <c r="J126" s="27" t="str">
        <f t="shared" si="3"/>
        <v/>
      </c>
      <c r="K126" s="91" t="str">
        <f>IFERROR(IF(C126&gt;0,IF(ISBLANK(E126),"Insert unit",IF(OR(ISBLANK(F126),ISBLANK(D126)),"Insert data",(IF(E126="kg(fertiliser)/HA",F126*D126,F126)*INDEX(N_Fertiliser_EF,MATCH("nitrogen fertiliser (unspecified)",N_Fertilisers,0))/F117)/1000)),""),"")</f>
        <v/>
      </c>
      <c r="L126" s="39"/>
      <c r="M126" s="35"/>
    </row>
    <row r="127" spans="2:13" s="4" customFormat="1" outlineLevel="1" x14ac:dyDescent="0.4">
      <c r="B127" s="20"/>
      <c r="C127" s="653" t="s">
        <v>142</v>
      </c>
      <c r="D127" s="654" t="s">
        <v>138</v>
      </c>
      <c r="E127" s="654" t="s">
        <v>139</v>
      </c>
      <c r="F127" s="655" t="s">
        <v>140</v>
      </c>
      <c r="G127" s="14"/>
      <c r="H127" s="1"/>
      <c r="I127" s="43"/>
      <c r="J127" s="166" t="s">
        <v>142</v>
      </c>
      <c r="K127" s="164" t="s">
        <v>141</v>
      </c>
      <c r="L127" s="39"/>
      <c r="M127" s="35"/>
    </row>
    <row r="128" spans="2:13" s="4" customFormat="1" outlineLevel="1" x14ac:dyDescent="0.4">
      <c r="B128" s="20"/>
      <c r="C128" s="649" t="str">
        <f>IF(D113="Do not use defaults", "", "Digestate")</f>
        <v/>
      </c>
      <c r="D128" s="618" t="str">
        <f>IF(D113="Do not use defaults", "",INDEX(Organic_fertilisers_N_Composition,MATCH(C128,Organic_fertilisers,0)))</f>
        <v/>
      </c>
      <c r="E128" s="27" t="str">
        <f>IF(D113="Do not use defaults", "", "t(fertiliser)/Ha")</f>
        <v/>
      </c>
      <c r="F128" s="651" t="str">
        <f>IF(D113="Do not use defaults", "",VLOOKUP(D113,Default_crop_data[],5,FALSE))</f>
        <v/>
      </c>
      <c r="G128" s="14"/>
      <c r="H128" s="1"/>
      <c r="I128" s="43"/>
      <c r="J128" s="27" t="str">
        <f t="shared" ref="J128:J133" si="4">IF(C128&gt;0,C128,"")</f>
        <v/>
      </c>
      <c r="K128" s="91" t="str">
        <f>IFERROR(IF(C128&gt;0,IF(ISBLANK(E128),"Insert unit",IF(ISBLANK(F128),"Insert data",(IF(E128="kg(fertiliser)/HA",F128*D128,IF(E128="t(fertiliser)/Ha",F128*1000*D128,F128))*INDEX(Organic_fertiliser_EF,MATCH(C128,Organic_fertilisers,0))/F117)/1000)),""),"")</f>
        <v/>
      </c>
      <c r="L128" s="39"/>
      <c r="M128" s="35"/>
    </row>
    <row r="129" spans="2:13" s="4" customFormat="1" outlineLevel="1" x14ac:dyDescent="0.4">
      <c r="B129" s="20"/>
      <c r="C129" s="650"/>
      <c r="D129" s="92" t="str">
        <f>IF(C129&gt;0,INDEX(Organic_fertilisers_N_Composition,MATCH(C129,Organic_fertilisers,0)),"")</f>
        <v/>
      </c>
      <c r="E129" s="138"/>
      <c r="F129" s="652"/>
      <c r="G129" s="14"/>
      <c r="H129" s="1"/>
      <c r="I129" s="43"/>
      <c r="J129" s="27" t="str">
        <f t="shared" si="4"/>
        <v/>
      </c>
      <c r="K129" s="91" t="str">
        <f>IFERROR(IF(C129&gt;0,IF(ISBLANK(E129),"Insert unit",IF(ISBLANK(F129),"Insert data",(IF(E129="kg(fertiliser)/HA",F129*D129,IF(E129="t(fertiliser)/Ha",F129*1000*D129,F129))*INDEX(Organic_fertiliser_EF,MATCH(C129,Organic_fertilisers,0))/F117)/1000)),""),"")</f>
        <v/>
      </c>
      <c r="L129" s="39"/>
      <c r="M129" s="35"/>
    </row>
    <row r="130" spans="2:13" s="4" customFormat="1" outlineLevel="1" x14ac:dyDescent="0.4">
      <c r="B130" s="20"/>
      <c r="C130" s="650"/>
      <c r="D130" s="92" t="str">
        <f>IF(C130&gt;0,INDEX(Organic_fertilisers_N_Composition,MATCH(C130,Organic_fertilisers,0)),"")</f>
        <v/>
      </c>
      <c r="E130" s="138"/>
      <c r="F130" s="652"/>
      <c r="G130" s="14"/>
      <c r="H130" s="1"/>
      <c r="I130" s="43"/>
      <c r="J130" s="27" t="str">
        <f t="shared" si="4"/>
        <v/>
      </c>
      <c r="K130" s="91" t="str">
        <f>IFERROR(IF(C130&gt;0,IF(ISBLANK(E130),"Insert unit",IF(ISBLANK(F130),"Insert data",(IF(E130="kg(fertiliser)/HA",F130*D130,IF(E130="t(fertiliser)/Ha",F130*1000*D130,F130))*INDEX(Organic_fertiliser_EF,MATCH(C130,Organic_fertilisers,0))/F117)/1000)),""),"")</f>
        <v/>
      </c>
      <c r="L130" s="39"/>
      <c r="M130" s="35"/>
    </row>
    <row r="131" spans="2:13" s="4" customFormat="1" outlineLevel="1" x14ac:dyDescent="0.4">
      <c r="B131" s="20"/>
      <c r="C131" s="650"/>
      <c r="D131" s="92" t="str">
        <f>IF(C131&gt;0,INDEX(Organic_fertilisers_N_Composition,MATCH(C131,Organic_fertilisers,0)),"")</f>
        <v/>
      </c>
      <c r="E131" s="138"/>
      <c r="F131" s="652"/>
      <c r="G131" s="14"/>
      <c r="H131" s="1"/>
      <c r="I131" s="43"/>
      <c r="J131" s="27" t="str">
        <f t="shared" si="4"/>
        <v/>
      </c>
      <c r="K131" s="91" t="str">
        <f>IFERROR(IF(C131&gt;0,IF(ISBLANK(E131),"Insert unit",IF(ISBLANK(F131),"Insert data",(IF(E131="kg(fertiliser)/HA",F131*D131,IF(E131="t(fertiliser)/Ha",F131*1000*D131,F131))*INDEX(Organic_fertiliser_EF,MATCH(C131,Organic_fertilisers,0))/F117)/1000)),""),"")</f>
        <v/>
      </c>
      <c r="L131" s="39"/>
      <c r="M131" s="35"/>
    </row>
    <row r="132" spans="2:13" s="4" customFormat="1" outlineLevel="1" x14ac:dyDescent="0.4">
      <c r="B132" s="20"/>
      <c r="C132" s="650"/>
      <c r="D132" s="136"/>
      <c r="E132" s="138"/>
      <c r="F132" s="652"/>
      <c r="G132" s="14"/>
      <c r="H132" s="1"/>
      <c r="I132" s="43"/>
      <c r="J132" s="27" t="str">
        <f t="shared" si="4"/>
        <v/>
      </c>
      <c r="K132" s="91" t="str">
        <f>IFERROR(IF(C132&gt;0,IF(ISBLANK(E132),"Insert unit",IF(ISBLANK(F132),"Insert data",0)),""),"")</f>
        <v/>
      </c>
      <c r="L132" s="39"/>
      <c r="M132" s="35"/>
    </row>
    <row r="133" spans="2:13" s="4" customFormat="1" outlineLevel="1" x14ac:dyDescent="0.4">
      <c r="B133" s="20"/>
      <c r="C133" s="656"/>
      <c r="D133" s="657"/>
      <c r="E133" s="658"/>
      <c r="F133" s="659"/>
      <c r="G133" s="14"/>
      <c r="H133" s="1"/>
      <c r="I133" s="43"/>
      <c r="J133" s="27" t="str">
        <f t="shared" si="4"/>
        <v/>
      </c>
      <c r="K133" s="91" t="str">
        <f>IFERROR(IF(C133&gt;0,IF(ISBLANK(E133),"Insert unit",IF(ISBLANK(F133),"Insert data",0)),""),"")</f>
        <v/>
      </c>
      <c r="L133" s="39"/>
      <c r="M133" s="35"/>
    </row>
    <row r="134" spans="2:13" s="4" customFormat="1" outlineLevel="1" x14ac:dyDescent="0.4">
      <c r="B134" s="20"/>
      <c r="C134" s="166" t="s">
        <v>143</v>
      </c>
      <c r="D134" s="164" t="s">
        <v>138</v>
      </c>
      <c r="E134" s="164" t="s">
        <v>139</v>
      </c>
      <c r="F134" s="164" t="s">
        <v>140</v>
      </c>
      <c r="G134" s="14"/>
      <c r="H134" s="1"/>
      <c r="I134" s="43"/>
      <c r="J134" s="166" t="str">
        <f>IF(C134&gt;0,C134,"")</f>
        <v>Low in-field emissions fertiliser</v>
      </c>
      <c r="K134" s="164" t="s">
        <v>141</v>
      </c>
      <c r="L134" s="39"/>
      <c r="M134" s="35"/>
    </row>
    <row r="135" spans="2:13" s="4" customFormat="1" outlineLevel="1" x14ac:dyDescent="0.4">
      <c r="B135" s="20"/>
      <c r="C135" s="151"/>
      <c r="D135" s="92"/>
      <c r="E135" s="138"/>
      <c r="F135" s="137"/>
      <c r="G135" s="14"/>
      <c r="H135" s="1"/>
      <c r="I135" s="43"/>
      <c r="J135" s="27" t="str">
        <f>IF(C135&gt;0,C135,"")</f>
        <v/>
      </c>
      <c r="K135" s="91" t="str" cm="1">
        <f t="array" ref="K135">IFERROR(IF(C135&gt;0,IF(ISBLANK(E135),"Insert unit",IF(ISBLANK(F135),"Insert data",(IF(E135="kg(fertiliser)/Ha",F135*D135,IF(E135="t(fertiliser)/Ha",F135*1000*D135,F135))*(Low_infield_EF_table[Emission Factor (gCO2eq/kgnitrogen)])/F117)/1000)),""),"")</f>
        <v/>
      </c>
      <c r="L135" s="39"/>
      <c r="M135" s="35"/>
    </row>
    <row r="136" spans="2:13" s="14" customFormat="1" outlineLevel="1" x14ac:dyDescent="0.4">
      <c r="B136" s="23"/>
      <c r="C136" s="166" t="s">
        <v>144</v>
      </c>
      <c r="D136" s="166" t="s">
        <v>145</v>
      </c>
      <c r="E136" s="166" t="s">
        <v>138</v>
      </c>
      <c r="F136" s="166" t="s">
        <v>139</v>
      </c>
      <c r="G136" s="166" t="s">
        <v>140</v>
      </c>
      <c r="H136" s="24"/>
      <c r="I136" s="42"/>
      <c r="J136" s="166" t="s">
        <v>144</v>
      </c>
      <c r="K136" s="164" t="s">
        <v>141</v>
      </c>
      <c r="L136" s="37"/>
      <c r="M136" s="63"/>
    </row>
    <row r="137" spans="2:13" s="4" customFormat="1" outlineLevel="1" x14ac:dyDescent="0.4">
      <c r="B137" s="20"/>
      <c r="C137" s="617" t="str">
        <f>IF(D113="Do not use defaults", "", "P2O5 fertiliser (unspecified)")</f>
        <v/>
      </c>
      <c r="D137" s="618" t="str" cm="1">
        <f t="array" ref="D137">IF(D113="Do not use defaults", "",INDEX(P_fertiliser_P_composition,MATCH(C137,P_fertilisers,0)))</f>
        <v/>
      </c>
      <c r="E137" s="618" t="str">
        <f>IF(C137="P2O5 fertiliser (unspecified)",0, "")</f>
        <v/>
      </c>
      <c r="F137" s="27" t="str">
        <f>IF(D113="Do not use defaults","", "t(kg(P2O5)/Ha")</f>
        <v/>
      </c>
      <c r="G137" s="619" t="str">
        <f>IF(D113="Do not use defaults","",VLOOKUP(D113,Default_crop_data[],3,FALSE))</f>
        <v/>
      </c>
      <c r="H137" s="1"/>
      <c r="I137" s="43"/>
      <c r="J137" s="27" t="str">
        <f>IF(C137&gt;0,C137,"")</f>
        <v/>
      </c>
      <c r="K137" s="91" t="str">
        <f>IFERROR(IF(C137&gt;0,IF(ISBLANK(F137),"Insert unit",IF(ISBLANK(G137),"Insert data",(IF(F137="kg(fertiliser)/HA",G137*D137,G137)*INDEX(P_fertiliser_EF,MATCH(C137,P_fertilisers,0))/F117)/1000)),""),"")</f>
        <v/>
      </c>
      <c r="L137" s="39"/>
      <c r="M137" s="35"/>
    </row>
    <row r="138" spans="2:13" s="4" customFormat="1" outlineLevel="1" x14ac:dyDescent="0.4">
      <c r="B138" s="20"/>
      <c r="C138" s="151"/>
      <c r="D138" s="92" t="str">
        <f>IF(C138&gt;0,INDEX(P_fertiliser_P_composition,MATCH(C138,P_fertilisers,0)),"")</f>
        <v/>
      </c>
      <c r="E138" s="92"/>
      <c r="F138" s="138"/>
      <c r="G138" s="137"/>
      <c r="H138" s="1"/>
      <c r="I138" s="43"/>
      <c r="J138" s="27" t="str">
        <f>IF(C138&gt;0,C138,"")</f>
        <v/>
      </c>
      <c r="K138" s="91" t="str">
        <f>IFERROR(IF(C138&gt;0,IF(ISBLANK(F138),"Insert unit",IF(ISBLANK(G138),"Insert data",(IF(F138="kg(fertiliser)/HA",G138*D138,G138)*INDEX(P_fertiliser_EF,MATCH(C138,P_fertilisers,0))/F117)/1000)),""),"")</f>
        <v/>
      </c>
      <c r="L138" s="39"/>
      <c r="M138" s="35"/>
    </row>
    <row r="139" spans="2:13" s="4" customFormat="1" outlineLevel="1" x14ac:dyDescent="0.4">
      <c r="B139" s="20"/>
      <c r="C139" s="151"/>
      <c r="D139" s="92" t="str">
        <f>IF(C139&gt;0,INDEX(P_fertiliser_P_composition,MATCH(C139,P_fertilisers,0)),"")</f>
        <v/>
      </c>
      <c r="E139" s="92"/>
      <c r="F139" s="138"/>
      <c r="G139" s="137"/>
      <c r="H139" s="1"/>
      <c r="I139" s="43"/>
      <c r="J139" s="27"/>
      <c r="K139" s="91" t="str">
        <f>IFERROR(IF(C139&gt;0,IF(ISBLANK(F139),"Insert unit",IF(ISBLANK(G139),"Insert data",(IF(F139="kg(fertiliser)/HA",G139*D139,G139)*INDEX(P_fertiliser_EF,MATCH(C139,P_fertilisers,0))/F117)/1000)),""),"")</f>
        <v/>
      </c>
      <c r="L139" s="39"/>
      <c r="M139" s="35"/>
    </row>
    <row r="140" spans="2:13" s="4" customFormat="1" outlineLevel="1" x14ac:dyDescent="0.4">
      <c r="B140" s="20"/>
      <c r="C140" s="151"/>
      <c r="D140" s="92" t="str">
        <f>IF(C140&gt;0,INDEX(P_fertiliser_P_composition,MATCH(C140,P_fertilisers,0)),"")</f>
        <v/>
      </c>
      <c r="E140" s="92"/>
      <c r="F140" s="138"/>
      <c r="G140" s="137"/>
      <c r="H140" s="1"/>
      <c r="I140" s="43"/>
      <c r="J140" s="27"/>
      <c r="K140" s="91" t="str">
        <f>IFERROR(IF(C140&gt;0,IF(ISBLANK(F140),"Insert unit",IF(ISBLANK(G140),"Insert data",(IF(F140="kg(fertiliser)/HA",G140*D140,G140)*INDEX(P_fertiliser_EF,MATCH(C140,P_fertilisers,0))/F117)/1000)),""),"")</f>
        <v/>
      </c>
      <c r="L140" s="39"/>
      <c r="M140" s="35"/>
    </row>
    <row r="141" spans="2:13" s="4" customFormat="1" outlineLevel="1" x14ac:dyDescent="0.4">
      <c r="B141" s="20"/>
      <c r="C141" s="151"/>
      <c r="D141" s="136"/>
      <c r="E141" s="136"/>
      <c r="F141" s="138"/>
      <c r="G141" s="137"/>
      <c r="H141" s="1"/>
      <c r="I141" s="43"/>
      <c r="J141" s="27"/>
      <c r="K141" s="91" t="str">
        <f>IFERROR(IF(C141&gt;0,IF(ISBLANK(F141),"Insert unit",IF(OR(ISBLANK(F141),ISBLANK(D141),ISBLANK(E141)),"Insert data",(IF(F141="kg(fertiliser)/HA",G141*D141,G141)*INDEX(P_fertiliser_EF,MATCH("p2O5 fertiliser (unspecified)",P_fertilisers,0))/F117)/1000)),""),"")</f>
        <v/>
      </c>
      <c r="L141" s="39"/>
      <c r="M141" s="35"/>
    </row>
    <row r="142" spans="2:13" s="4" customFormat="1" outlineLevel="1" x14ac:dyDescent="0.4">
      <c r="B142" s="20"/>
      <c r="C142" s="151"/>
      <c r="D142" s="136"/>
      <c r="E142" s="136"/>
      <c r="F142" s="138"/>
      <c r="G142" s="137"/>
      <c r="H142" s="1"/>
      <c r="I142" s="43"/>
      <c r="J142" s="27" t="str">
        <f>IF(C142&gt;0,C142,"")</f>
        <v/>
      </c>
      <c r="K142" s="91" t="str">
        <f>IFERROR(IF(C142&gt;0,IF(ISBLANK(F142),"Insert unit",IF(OR(ISBLANK(F142),ISBLANK(D142),ISBLANK(E142)),"Insert data",(IF(F142="kg(fertiliser)/HA",G142*D142,G142)*INDEX(P_fertiliser_EF,MATCH("p2O5 fertiliser (unspecified)",P_fertilisers,0))/F117)/1000)),""),"")</f>
        <v/>
      </c>
      <c r="L142" s="39"/>
      <c r="M142" s="35"/>
    </row>
    <row r="143" spans="2:13" s="4" customFormat="1" outlineLevel="1" x14ac:dyDescent="0.4">
      <c r="B143" s="20"/>
      <c r="C143" s="151"/>
      <c r="D143" s="136"/>
      <c r="E143" s="136"/>
      <c r="F143" s="138"/>
      <c r="G143" s="137"/>
      <c r="H143" s="1"/>
      <c r="I143" s="43"/>
      <c r="J143" s="27" t="str">
        <f>IF(C143&gt;0,C143,"")</f>
        <v/>
      </c>
      <c r="K143" s="91" t="str">
        <f>IFERROR(IF(C143&gt;0,IF(ISBLANK(F143),"Insert unit",IF(OR(ISBLANK(F143),ISBLANK(D143),ISBLANK(E143)),"Insert data",(IF(F143="kg(fertiliser)/HA",G143*D143,G143)*INDEX(P_fertiliser_EF,MATCH("p2O5 fertiliser (unspecified)",P_fertilisers,0))/F117)/1000)),""),"")</f>
        <v/>
      </c>
      <c r="L143" s="39"/>
      <c r="M143" s="35"/>
    </row>
    <row r="144" spans="2:13" s="14" customFormat="1" outlineLevel="1" x14ac:dyDescent="0.4">
      <c r="B144" s="23"/>
      <c r="C144" s="166" t="s">
        <v>146</v>
      </c>
      <c r="D144" s="166" t="s">
        <v>147</v>
      </c>
      <c r="E144" s="166" t="s">
        <v>138</v>
      </c>
      <c r="F144" s="166" t="s">
        <v>139</v>
      </c>
      <c r="G144" s="166" t="s">
        <v>140</v>
      </c>
      <c r="H144" s="24"/>
      <c r="I144" s="42"/>
      <c r="J144" s="166" t="s">
        <v>146</v>
      </c>
      <c r="K144" s="164" t="s">
        <v>141</v>
      </c>
      <c r="L144" s="37"/>
      <c r="M144" s="35"/>
    </row>
    <row r="145" spans="2:13" s="4" customFormat="1" outlineLevel="1" x14ac:dyDescent="0.4">
      <c r="B145" s="20"/>
      <c r="C145" s="617" t="str">
        <f>IF(D113="Do not use defaults", "", "K2O fertiliser (unspecified)")</f>
        <v/>
      </c>
      <c r="D145" s="618" t="str" cm="1">
        <f t="array" ref="D145">IF(D113="Do not use defaults", "",INDEX(K_fertiliser_K_composition,MATCH(C145,K_fertilisers,0)))</f>
        <v/>
      </c>
      <c r="E145" s="618" t="str" cm="1">
        <f t="array" ref="E145">IF(D113="Do not use defaults", "",INDEX(K_fertiliser_N_composition,MATCH(C145,K_fertilisers,0)))</f>
        <v/>
      </c>
      <c r="F145" s="27" t="str">
        <f>IF(D113="Do not use defaults","", "t(kg(K2O)/Ha")</f>
        <v/>
      </c>
      <c r="G145" s="619" t="str">
        <f>IF(D113="Do not use defaults", "",VLOOKUP(D113,Default_crop_data[],4,FALSE))</f>
        <v/>
      </c>
      <c r="H145" s="1"/>
      <c r="I145" s="43"/>
      <c r="J145" s="27" t="str">
        <f t="shared" ref="J145:J151" si="5">IF(C145&gt;0,C145,"")</f>
        <v/>
      </c>
      <c r="K145" s="91" t="str">
        <f>IFERROR(IF(C145&gt;0,IF(ISBLANK(F145),"Insert unit",IF(ISBLANK(G145),"Insert data",(IF(F145="kg(fertiliser)/HA",G145*D145,G145)*INDEX(K_Fertiliser_EF,MATCH(C145,K_fertilisers,0))/F117)/1000)),""),"")</f>
        <v/>
      </c>
      <c r="L145" s="39"/>
      <c r="M145" s="35"/>
    </row>
    <row r="146" spans="2:13" s="4" customFormat="1" outlineLevel="1" x14ac:dyDescent="0.4">
      <c r="B146" s="20"/>
      <c r="C146" s="151"/>
      <c r="D146" s="92" t="str">
        <f>IF(C146&gt;0,INDEX(K_fertiliser_K_composition,MATCH(C146,K_fertilisers,0)),"")</f>
        <v/>
      </c>
      <c r="E146" s="92" t="str">
        <f>IF(C146&gt;0,INDEX(K_fertiliser_N_composition,MATCH(C146,K_fertilisers,0)),"")</f>
        <v/>
      </c>
      <c r="F146" s="138"/>
      <c r="G146" s="137"/>
      <c r="H146" s="1"/>
      <c r="I146" s="43"/>
      <c r="J146" s="27" t="str">
        <f t="shared" si="5"/>
        <v/>
      </c>
      <c r="K146" s="91" t="str">
        <f>IFERROR(IF(C146&gt;0,IF(ISBLANK(F146),"Insert unit",IF(ISBLANK(G146),"Insert data",(IF(F146="kg(fertiliser)/HA",G146*D146,G146)*INDEX(K_Fertiliser_EF,MATCH(C146,K_fertilisers,0))/F117)/1000)),""),"")</f>
        <v/>
      </c>
      <c r="L146" s="39"/>
      <c r="M146" s="35"/>
    </row>
    <row r="147" spans="2:13" s="4" customFormat="1" outlineLevel="1" x14ac:dyDescent="0.4">
      <c r="B147" s="20"/>
      <c r="C147" s="151"/>
      <c r="D147" s="92" t="str">
        <f>IF(C147&gt;0,INDEX(K_fertiliser_K_composition,MATCH(C147,K_fertilisers,0)),"")</f>
        <v/>
      </c>
      <c r="E147" s="92" t="str">
        <f>IF(C147&gt;0,INDEX(K_fertiliser_N_composition,MATCH(C147,K_fertilisers,0)),"")</f>
        <v/>
      </c>
      <c r="F147" s="138"/>
      <c r="G147" s="137"/>
      <c r="H147" s="1"/>
      <c r="I147" s="43"/>
      <c r="J147" s="27" t="str">
        <f t="shared" si="5"/>
        <v/>
      </c>
      <c r="K147" s="91" t="str">
        <f>IFERROR(IF(C147&gt;0,IF(ISBLANK(F147),"Insert unit",IF(ISBLANK(G147),"Insert data",(IF(F147="kg(fertiliser)/HA",G147*D147,G147)*INDEX(K_Fertiliser_EF,MATCH(C147,K_fertilisers,0))/F117)/1000)),""),"")</f>
        <v/>
      </c>
      <c r="L147" s="39"/>
      <c r="M147" s="35"/>
    </row>
    <row r="148" spans="2:13" s="4" customFormat="1" outlineLevel="1" x14ac:dyDescent="0.4">
      <c r="B148" s="20"/>
      <c r="C148" s="151"/>
      <c r="D148" s="92"/>
      <c r="E148" s="92"/>
      <c r="F148" s="138"/>
      <c r="G148" s="137"/>
      <c r="H148" s="1"/>
      <c r="I148" s="43"/>
      <c r="J148" s="27" t="str">
        <f t="shared" si="5"/>
        <v/>
      </c>
      <c r="K148" s="91" t="str">
        <f>IFERROR(IF(C148&gt;0,IF(ISBLANK(F148),"Insert unit",IF(ISBLANK(G148),"Insert data",(IF(F148="kg(fertiliser)/HA",G148*D148,G148)*INDEX(K_Fertiliser_EF,MATCH(C148,K_fertilisers,0))/F117)/1000)),""),"")</f>
        <v/>
      </c>
      <c r="L148" s="39"/>
      <c r="M148" s="35"/>
    </row>
    <row r="149" spans="2:13" s="4" customFormat="1" outlineLevel="1" x14ac:dyDescent="0.4">
      <c r="B149" s="20"/>
      <c r="C149" s="151"/>
      <c r="D149" s="136"/>
      <c r="E149" s="136"/>
      <c r="F149" s="138"/>
      <c r="G149" s="137"/>
      <c r="H149" s="1"/>
      <c r="I149" s="43"/>
      <c r="J149" s="27" t="str">
        <f t="shared" si="5"/>
        <v/>
      </c>
      <c r="K149" s="91" t="str">
        <f>IFERROR(IF(C149&gt;0,IF(ISBLANK(F149),"Insert unit",IF(OR(ISBLANK(F149),ISBLANK(D149),ISBLANK(E149)),"Insert data",(IF(F149="kg(fertiliser)/HA",G149*D149,G149)*INDEX(K_Fertiliser_EF,MATCH("K2O fertiliser (unspecified)",K_fertilisers,0))/F117)/1000)),""),"")</f>
        <v/>
      </c>
      <c r="L149" s="39"/>
      <c r="M149" s="35"/>
    </row>
    <row r="150" spans="2:13" s="4" customFormat="1" outlineLevel="1" x14ac:dyDescent="0.4">
      <c r="B150" s="20"/>
      <c r="C150" s="151"/>
      <c r="D150" s="136"/>
      <c r="E150" s="136"/>
      <c r="F150" s="138"/>
      <c r="G150" s="137"/>
      <c r="H150" s="1"/>
      <c r="I150" s="43"/>
      <c r="J150" s="27" t="str">
        <f t="shared" si="5"/>
        <v/>
      </c>
      <c r="K150" s="91" t="str">
        <f>IFERROR(IF(C150&gt;0,IF(ISBLANK(F150),"Insert unit",IF(OR(ISBLANK(F150),ISBLANK(D150),ISBLANK(E150)),"Insert data",(IF(F150="kg(fertiliser)/HA",G150*D150,G150)*INDEX(K_Fertiliser_EF,MATCH("K2O fertiliser (unspecified)",K_fertilisers,0))/F117)/1000)),""),"")</f>
        <v/>
      </c>
      <c r="L150" s="39"/>
      <c r="M150" s="35"/>
    </row>
    <row r="151" spans="2:13" s="4" customFormat="1" outlineLevel="1" x14ac:dyDescent="0.4">
      <c r="B151" s="20"/>
      <c r="C151" s="151"/>
      <c r="D151" s="136"/>
      <c r="E151" s="136"/>
      <c r="F151" s="138"/>
      <c r="G151" s="137"/>
      <c r="H151" s="1"/>
      <c r="I151" s="43"/>
      <c r="J151" s="27" t="str">
        <f t="shared" si="5"/>
        <v/>
      </c>
      <c r="K151" s="91" t="str">
        <f>IFERROR(IF(C151&gt;0,IF(ISBLANK(F151),"Insert unit",IF(OR(ISBLANK(F151),ISBLANK(D151),ISBLANK(E151)),"Insert data",(IF(F151="kg(fertiliser)/HA",G151*D151,G151)*INDEX(K_Fertiliser_EF,MATCH("K2O fertiliser (unspecified)",K_fertilisers,0))/F117)/1000)),""),"")</f>
        <v/>
      </c>
      <c r="L151" s="39"/>
      <c r="M151" s="35"/>
    </row>
    <row r="152" spans="2:13" s="14" customFormat="1" outlineLevel="1" x14ac:dyDescent="0.4">
      <c r="B152" s="23"/>
      <c r="C152" s="166" t="s">
        <v>148</v>
      </c>
      <c r="D152" s="166" t="s">
        <v>149</v>
      </c>
      <c r="E152" s="166" t="s">
        <v>138</v>
      </c>
      <c r="F152" s="166" t="s">
        <v>139</v>
      </c>
      <c r="G152" s="166" t="s">
        <v>140</v>
      </c>
      <c r="H152" s="24"/>
      <c r="I152" s="42"/>
      <c r="J152" s="166" t="s">
        <v>148</v>
      </c>
      <c r="K152" s="164" t="s">
        <v>141</v>
      </c>
      <c r="L152" s="37"/>
      <c r="M152" s="63"/>
    </row>
    <row r="153" spans="2:13" s="4" customFormat="1" outlineLevel="1" x14ac:dyDescent="0.4">
      <c r="B153" s="20"/>
      <c r="C153" s="617" t="str">
        <f>IF(D113="Do not use defaults", "", "Lime fertiliser (CaO)")</f>
        <v/>
      </c>
      <c r="D153" s="618" t="str" cm="1">
        <f t="array" ref="D153">IF(D113="Do not use defaults", "",INDEX(Other_fertiliser_nutrient_composition,MATCH(C153,Other_fertilisers,0)))</f>
        <v/>
      </c>
      <c r="E153" s="618" t="str">
        <f>IF(D113="Do not use defaults", "",INDEX(Other_fertiliser_N_compostion,MATCH(C153,Other_fertilisers,0)))</f>
        <v/>
      </c>
      <c r="F153" s="27" t="str">
        <f>IF(D113="Do not use defaults","", "kg(nutrient)/Ha")</f>
        <v/>
      </c>
      <c r="G153" s="619" t="str">
        <f>IF(D113="Do not use defaults", "",VLOOKUP(D113,Default_crop_data[],6,FALSE))</f>
        <v/>
      </c>
      <c r="H153" s="1"/>
      <c r="I153" s="43"/>
      <c r="J153" s="27" t="str">
        <f>IF(C153&gt;0,C153,"")</f>
        <v/>
      </c>
      <c r="K153" s="91" t="str">
        <f>IFERROR(IF(C153&gt;0,IF(ISBLANK(F153),"Insert unit",IF(ISBLANK(G153),"Insert data",(IF(F153="kg(fertiliser)/HA",G153*D153,G153)*INDEX(Other_fertiliser_EF,MATCH(C153,Other_fertilisers,0))/F117)/1000)),""),"")</f>
        <v/>
      </c>
      <c r="L153" s="39"/>
      <c r="M153" s="35"/>
    </row>
    <row r="154" spans="2:13" s="4" customFormat="1" outlineLevel="1" x14ac:dyDescent="0.4">
      <c r="B154" s="20"/>
      <c r="C154" s="151"/>
      <c r="D154" s="92" t="str">
        <f>IF(C154&gt;0,INDEX(Other_fertiliser_nutrient_composition,MATCH(C154,Other_fertilisers,0)),"")</f>
        <v/>
      </c>
      <c r="E154" s="92" t="str">
        <f>IF(C154&gt;0,INDEX(Other_fertiliser_N_compostion,MATCH(C154,Other_fertilisers,0)),"")</f>
        <v/>
      </c>
      <c r="F154" s="138"/>
      <c r="G154" s="137"/>
      <c r="H154" s="1"/>
      <c r="I154" s="43"/>
      <c r="J154" s="27" t="str">
        <f>IF(C154&gt;0,C154,"")</f>
        <v/>
      </c>
      <c r="K154" s="91" t="str">
        <f>IFERROR(IF(C154&gt;0,IF(ISBLANK(F154),"Insert unit",IF(ISBLANK(G154),"Insert data",(IF(F154="kg(fertiliser)/HA",G154*D154,G154)*INDEX(Other_fertiliser_EF,MATCH(C154,Other_fertilisers,0))/F117)/1000)),""),"")</f>
        <v/>
      </c>
      <c r="L154" s="39"/>
      <c r="M154" s="35"/>
    </row>
    <row r="155" spans="2:13" s="4" customFormat="1" outlineLevel="1" x14ac:dyDescent="0.4">
      <c r="B155" s="20"/>
      <c r="C155" s="151"/>
      <c r="D155" s="92" t="str">
        <f>IF(C155&gt;0,INDEX(Other_fertiliser_nutrient_composition,MATCH(C155,Other_fertilisers,0)),"")</f>
        <v/>
      </c>
      <c r="E155" s="92" t="str">
        <f>IF(C155&gt;0,INDEX(Other_fertiliser_N_compostion,MATCH(C155,Other_fertilisers,0)),"")</f>
        <v/>
      </c>
      <c r="F155" s="138"/>
      <c r="G155" s="137"/>
      <c r="H155" s="1"/>
      <c r="I155" s="43"/>
      <c r="J155" s="27" t="str">
        <f>IF(C155&gt;0,C155,"")</f>
        <v/>
      </c>
      <c r="K155" s="91" t="str">
        <f>IFERROR(IF(C155&gt;0,IF(ISBLANK(F155),"Insert unit",IF(ISBLANK(G155),"Insert data",(IF(F155="kg(fertiliser)/HA",G155*D155,G155)*INDEX(Other_fertiliser_EF,MATCH(C155,Other_fertilisers,0))/F117)/1000)),""),"")</f>
        <v/>
      </c>
      <c r="L155" s="39"/>
      <c r="M155" s="35"/>
    </row>
    <row r="156" spans="2:13" s="4" customFormat="1" outlineLevel="1" x14ac:dyDescent="0.4">
      <c r="B156" s="20"/>
      <c r="C156" s="151"/>
      <c r="D156" s="92" t="str">
        <f>IF(C156&gt;0,INDEX(Other_fertiliser_nutrient_composition,MATCH(C156,Other_fertilisers,0)),"")</f>
        <v/>
      </c>
      <c r="E156" s="92" t="str">
        <f>IF(C156&gt;0,INDEX(Other_fertiliser_N_compostion,MATCH(C156,Other_fertilisers,0)),"")</f>
        <v/>
      </c>
      <c r="F156" s="138"/>
      <c r="G156" s="137"/>
      <c r="H156" s="1"/>
      <c r="I156" s="43"/>
      <c r="J156" s="27" t="str">
        <f>IF(C156&gt;0,C156,"")</f>
        <v/>
      </c>
      <c r="K156" s="91" t="str">
        <f>IFERROR(IF(C156&gt;0,IF(ISBLANK(F156),"Insert unit",IF(ISBLANK(G156),"Insert data",(IF(F156="kg(fertiliser)/HA",G156*D156,G156)*INDEX(Other_fertiliser_EF,MATCH(C156,Other_fertilisers,0))/F117)/1000)),""),"")</f>
        <v/>
      </c>
      <c r="L156" s="39"/>
      <c r="M156" s="35"/>
    </row>
    <row r="157" spans="2:13" s="4" customFormat="1" outlineLevel="1" x14ac:dyDescent="0.4">
      <c r="B157" s="20"/>
      <c r="C157" s="151"/>
      <c r="D157" s="92" t="str">
        <f>IF(C157&gt;0,INDEX(Other_fertiliser_nutrient_composition,MATCH(C157,Other_fertilisers,0)),"")</f>
        <v/>
      </c>
      <c r="E157" s="92" t="str">
        <f>IF(C157&gt;0,INDEX(Other_fertiliser_N_compostion,MATCH(C157,Other_fertilisers,0)),"")</f>
        <v/>
      </c>
      <c r="F157" s="138"/>
      <c r="G157" s="137"/>
      <c r="H157" s="1"/>
      <c r="I157" s="43"/>
      <c r="J157" s="27" t="str">
        <f>IF(C157&gt;0,C157,"")</f>
        <v/>
      </c>
      <c r="K157" s="91" t="str">
        <f>IFERROR(IF(C157&gt;0,IF(ISBLANK(F157),"Insert unit",IF(ISBLANK(G157),"Insert data",(IF(F157="kg(fertiliser)/HA",G157*D157,G157)*INDEX(Other_fertiliser_EF,MATCH(C157,Other_fertilisers,0))/F117)/1000)),""),"")</f>
        <v/>
      </c>
      <c r="L157" s="39"/>
      <c r="M157" s="35"/>
    </row>
    <row r="158" spans="2:13" s="4" customFormat="1" outlineLevel="1" x14ac:dyDescent="0.4">
      <c r="B158" s="20"/>
      <c r="C158" s="24"/>
      <c r="D158" s="21"/>
      <c r="E158" s="21"/>
      <c r="F158" s="21"/>
      <c r="G158" s="21"/>
      <c r="H158" s="21"/>
      <c r="I158" s="41"/>
      <c r="J158" s="36"/>
      <c r="K158" s="36"/>
      <c r="L158" s="37"/>
      <c r="M158" s="35"/>
    </row>
    <row r="159" spans="2:13" s="4" customFormat="1" outlineLevel="1" x14ac:dyDescent="0.4">
      <c r="B159" s="20"/>
      <c r="C159" s="185" t="s">
        <v>150</v>
      </c>
      <c r="D159" s="21"/>
      <c r="G159" s="21"/>
      <c r="H159" s="21"/>
      <c r="I159" s="41"/>
      <c r="J159" s="36"/>
      <c r="K159" s="36"/>
      <c r="L159" s="37"/>
      <c r="M159" s="35"/>
    </row>
    <row r="160" spans="2:13" s="4" customFormat="1" outlineLevel="1" x14ac:dyDescent="0.4">
      <c r="B160" s="20"/>
      <c r="C160" s="166" t="s">
        <v>151</v>
      </c>
      <c r="D160" s="164" t="s">
        <v>140</v>
      </c>
      <c r="I160" s="41"/>
      <c r="J160" s="36"/>
      <c r="K160" s="164" t="s">
        <v>141</v>
      </c>
      <c r="L160" s="37"/>
      <c r="M160" s="35"/>
    </row>
    <row r="161" spans="2:13" s="4" customFormat="1" outlineLevel="1" x14ac:dyDescent="0.4">
      <c r="B161" s="20"/>
      <c r="C161" s="152" t="s">
        <v>152</v>
      </c>
      <c r="D161" s="30" t="str">
        <f>IFERROR(SUM(IFERROR(IF(E120="kg(fertiliser)/Ha",F120*D120,F120),0),IFERROR(IF(E121="kg(fertiliser)/Ha",F121*D121,F121),0),IFERROR(IF(E122="kg(fertiliser)/Ha",F122*D122,F122),0),IFERROR(IF(E123="kg(fertiliser)/Ha",F123*D123,F123),0),IFERROR(IF(E124="kg(fertiliser)/Ha",F124*D124,F124),0),IFERROR(IF(E125="kg(fertiliser)/Ha",F125*D125,F125),0),IFERROR(IF(E126="kg(fertiliser)/Ha",F126*D126,F126),0),IFERROR(IF(E128="kg(fertiliser)/Ha",F128*D128,IF(E128="kg(nitrogen)/Ha",F128,F128*1000*D128)),0),IFERROR(IF(E129="kg(fertiliser)/Ha",F129*D129,IF(E129="kg(nitrogen)/Ha",F129,F129*1000*D129)),0),IFERROR(IF(E130="kg(fertiliser)/Ha",F130*D130,IF(E130="kg(nitrogen)/Ha",F130,F130*1000*D130)),0),IFERROR(IF(E131="kg(fertiliser)/Ha",F131*D131,IF(E131="kg(nitrogen)/Ha",F131,F131*1000*D131)),0),IFERROR(IF(E132="kg(fertiliser)/Ha",F132*D132,IF(E132="kg(nitrogen)/Ha",F132,F132*1000*D132)),0),IFERROR(IF(E133="kg(fertiliser)/Ha",F133*D133,IF(E133="kg(nitrogen)/Ha",F133,F133*1000*D133)),0),IFERROR(IF(E135="kg(fertiliser)/Ha",F135*D135,IF(E135="kg(nitrogen)/Ha",F135,F135*1000*D135)),0),IFERROR(IF(F137="kg(fertiliser)/Ha",G137*E137,G137*E137/D137),0),IFERROR(IF(F138="kg(fertiliser)/Ha",G138*E138,G138*E138/D138),0),IFERROR(IF(F139="kg(fertiliser)/Ha",G139*E139,G139*E139/D139),0),IFERROR(IF(F140="kg(fertiliser)/Ha",G140*E140,G140*E140/D140),0),IFERROR(IF(F141="kg(fertiliser)/Ha",G141*E141,G141*E141/D141),0),IFERROR(IF(F142="kg(fertiliser)/Ha",G142*E142,G142*E142/D142),0),IFERROR(IF(F143="kg(fertiliser)/Ha",G143*E143,G143*E143/D143),0),IFERROR(IF(F145="kg(fertiliser)/Ha",G145*E145,G145*E145/D145),0),IFERROR(IF(F146="kg(fertiliser)/Ha",G146*E146,G146*E146/D146),0),IFERROR(IF(F147="kg(fertiliser)/Ha",G147*E147,G147*E147/D147),0),IFERROR(IF(F148="kg(fertiliser)/Ha",G148*E148,G148*E148/D148),0),IFERROR(IF(F149="kg(fertiliser)/Ha",G149*E149,G149*E149/D149),0),IFERROR(IF(F150="kg(fertiliser)/Ha",G150*E150,G150*E150/D150),0),IFERROR(IF(F151="kg(fertiliser)/Ha",G151*E151,G151*E151/D151),0),IFERROR(IF(F153="kg(fertiliser)/Ha",G153*E153,G153*E153/D153),0),IFERROR(IF(F154="kg(fertiliser)/Ha",G154*E154,G154*E154/D154),0),IFERROR(IF(F155="kg(fertiliser)/Ha",G155*E155,G155*E155/D155),0),IFERROR(IF(F156="kg(fertiliser)/Ha",G156*E156,G156*E156/D156),0),IFERROR(IF(F157="kg(fertiliser)/Ha",G157*E157,G157*E157/D157),0)), "")</f>
        <v/>
      </c>
      <c r="E161" s="1"/>
      <c r="I161" s="43"/>
      <c r="J161" s="164" t="s">
        <v>153</v>
      </c>
      <c r="K161" s="52" t="str">
        <f>IFERROR(SUM(IFERROR(IF(E120="kg(fertiliser)/Ha",F120*D120,F120)*INDEX(Soil_EFs,MATCH("Inorganic",Soil_EFs_N_type,0)),0),IFERROR(IF(E121="kg(fertiliser)/Ha",F121*D121,F121)*INDEX(Soil_EFs,MATCH("Inorganic",Soil_EFs_N_type,0)),0),IFERROR(IF(E122="kg(fertiliser)/Ha",F122*D122,F122)*INDEX(Soil_EFs,MATCH("Inorganic",Soil_EFs_N_type,0)),0),IFERROR(IF(E123="kg(fertiliser)/Ha",F123*D123,F123)*INDEX(Soil_EFs,MATCH("Inorganic",Soil_EFs_N_type,0)),0),IFERROR(IF(E124="kg(fertiliser)/Ha",F124*D124,F124)*INDEX(Soil_EFs,MATCH("Inorganic",Soil_EFs_N_type,0)),0),IFERROR(IF(E125="kg(fertiliser)/Ha",F125*D125,F125)*INDEX(Soil_EFs,MATCH("Inorganic",Soil_EFs_N_type,0)),0),IFERROR(IF(E126="kg(fertiliser)/Ha",F126*D126,F126)*INDEX(Soil_EFs,MATCH("Inorganic",Soil_EFs_N_type,0)),0),IFERROR(IF(E128="kg(fertiliser)/HA",F128*D128,IF(E128="t(fertiliser)/Ha",F128*1000*D128,F128))*INDEX(Soil_EFs,MATCH("organic",Soil_EFs_N_type,0)),0),IFERROR(IF(E129="kg(fertiliser)/HA",F129*D129,IF(E129="t(fertiliser)/Ha",F129*1000*D129,F129))*INDEX(Soil_EFs,MATCH("organic",Soil_EFs_N_type,0)),0),IFERROR(IF(E130="kg(fertiliser)/HA",F130*D130,IF(E130="t(fertiliser)/Ha",F130*1000*D130,F130))*INDEX(Soil_EFs,MATCH("organic",Soil_EFs_N_type,0)),0),IFERROR(IF(E131="kg(fertiliser)/HA",F131*D131,IF(E131="t(fertiliser)/Ha",F131*1000*D131,F131))*INDEX(Soil_EFs,MATCH("organic",Soil_EFs_N_type,0)),0),IFERROR(IF(E132="kg(fertiliser)/HA",F132*D132,IF(E132="t(fertiliser)/Ha",F132*1000*D132,F132))*INDEX(Soil_EFs,MATCH("organic",Soil_EFs_N_type,0)),0),IFERROR(IF(E133="kg(fertiliser)/HA",F133*D133,IF(E133="t(fertiliser)/Ha",F133*1000*D133,F133))*INDEX(Soil_EFs,MATCH("organic",Soil_EFs_N_type,0)),0),IFERROR(IF(E135="kg(fertiliser)/HA",F135*D135,IF(E135="t(fertiliser)/Ha",F135*1000*D135,F135))*'Reference values'!$D$348,0),IFERROR(IF(F137="kg(fertiliser)/Ha",G137*E137,G137*E137/D137)*INDEX(Soil_EFs,MATCH("Inorganic",Soil_EFs_N_type,0)),0),IFERROR(IF(F138="kg(fertiliser)/Ha",G138*E138,G138*E138/D138)*INDEX(Soil_EFs,MATCH("Inorganic",Soil_EFs_N_type,0)),0),IFERROR(IF(F139="kg(fertiliser)/Ha",G139*E139,G139*E139/D139)*INDEX(Soil_EFs,MATCH("Inorganic",Soil_EFs_N_type,0)),0),IFERROR(IF(F140="kg(fertiliser)/Ha",G140*E140,G140*E140/D140)*INDEX(Soil_EFs,MATCH("Inorganic",Soil_EFs_N_type,0)),0),IFERROR(IF(F141="kg(fertiliser)/Ha",G141*E141,G141*E141/D141)*INDEX(Soil_EFs,MATCH("Inorganic",Soil_EFs_N_type,0)),0),IFERROR(IF(F142="kg(fertiliser)/Ha",G142*E142,G142*E142/D142)*INDEX(Soil_EFs,MATCH("Inorganic",Soil_EFs_N_type,0)),0),IFERROR(IF(F143="kg(fertiliser)/Ha",G143*E143,G143*E143/D143)*INDEX(Soil_EFs,MATCH("Inorganic",Soil_EFs_N_type,0)),0),IFERROR(IF(F145="kg(fertiliser)/Ha",G145*E145,G145*E145/D145)*INDEX(Soil_EFs,MATCH("Inorganic",Soil_EFs_N_type,0)),0),IFERROR(IF(F146="kg(fertiliser)/Ha",G146*E146,G146*E146/D146)*INDEX(Soil_EFs,MATCH("Inorganic",Soil_EFs_N_type,0)),0),IFERROR(IF(F147="kg(fertiliser)/Ha",G147*E147,G147*E147/D147)*INDEX(Soil_EFs,MATCH("Inorganic",Soil_EFs_N_type,0)),0),IFERROR(IF(F148="kg(fertiliser)/Ha",G148*E148,G148*E148/D148)*INDEX(Soil_EFs,MATCH("Inorganic",Soil_EFs_N_type,0)),0),IFERROR(IF(F149="kg(fertiliser)/Ha",G149*E149,G149*E149/D149)*INDEX(Soil_EFs,MATCH("Inorganic",Soil_EFs_N_type,0)),0),IFERROR(IF(F150="kg(fertiliser)/Ha",G150*E150,G150*E150/D150)*INDEX(Soil_EFs,MATCH("Inorganic",Soil_EFs_N_type,0)),0),IFERROR(IF(F151="kg(fertiliser)/Ha",G151*E151,G151*E151/D151)*INDEX(Soil_EFs,MATCH("Inorganic",Soil_EFs_N_type,0)),0),IFERROR(IF(F153="kg(fertiliser)/Ha",G153*E153,G153*E153/D153)*INDEX(Soil_EFs,MATCH("Inorganic",Soil_EFs_N_type,0)),0),IFERROR(IF(F154="kg(fertiliser)/Ha",G154*E154,G154*E154/D154)*INDEX(Soil_EFs,MATCH("Inorganic",Soil_EFs_N_type,0)),0),IFERROR(IF(F155="kg(fertiliser)/Ha",G155*E155,G155*E155/D155)*INDEX(Soil_EFs,MATCH("Inorganic",Soil_EFs_N_type,0)),0),IFERROR(IF(F156="kg(fertiliser)/Ha",G156*E156,G156*E156/D156)*INDEX(Soil_EFs,MATCH("Inorganic",Soil_EFs_N_type,0)),0),IFERROR(IF(F157="kg(fertiliser)/Ha",G157*E157,G157*E157/D157)*INDEX(Soil_EFs,MATCH),0))/F117,"")</f>
        <v/>
      </c>
      <c r="L161" s="38"/>
      <c r="M161" s="35"/>
    </row>
    <row r="162" spans="2:13" s="4" customFormat="1" ht="14.25" customHeight="1" outlineLevel="1" x14ac:dyDescent="0.4">
      <c r="B162" s="20"/>
      <c r="C162" s="24"/>
      <c r="D162" s="21"/>
      <c r="E162" s="21"/>
      <c r="F162" s="21"/>
      <c r="G162" s="21"/>
      <c r="H162" s="21"/>
      <c r="I162" s="41"/>
      <c r="J162" s="36"/>
      <c r="K162" s="36"/>
      <c r="L162" s="37"/>
      <c r="M162" s="35"/>
    </row>
    <row r="163" spans="2:13" s="4" customFormat="1" outlineLevel="1" x14ac:dyDescent="0.4">
      <c r="B163" s="20"/>
      <c r="C163" s="150" t="s">
        <v>154</v>
      </c>
      <c r="D163" s="21"/>
      <c r="E163" s="21"/>
      <c r="F163" s="21"/>
      <c r="G163" s="21"/>
      <c r="H163" s="21"/>
      <c r="I163" s="41"/>
      <c r="J163" s="36"/>
      <c r="K163" s="36"/>
      <c r="L163" s="37"/>
      <c r="M163" s="35"/>
    </row>
    <row r="164" spans="2:13" s="14" customFormat="1" ht="30.6" outlineLevel="1" x14ac:dyDescent="0.4">
      <c r="B164" s="23"/>
      <c r="C164" s="166" t="s">
        <v>155</v>
      </c>
      <c r="D164" s="166" t="s">
        <v>156</v>
      </c>
      <c r="E164" s="166" t="s">
        <v>139</v>
      </c>
      <c r="F164" s="166" t="s">
        <v>140</v>
      </c>
      <c r="G164" s="24"/>
      <c r="H164" s="24"/>
      <c r="I164" s="42"/>
      <c r="J164" s="166" t="s">
        <v>155</v>
      </c>
      <c r="K164" s="164" t="s">
        <v>141</v>
      </c>
      <c r="L164" s="37"/>
      <c r="M164" s="63"/>
    </row>
    <row r="165" spans="2:13" s="4" customFormat="1" outlineLevel="1" x14ac:dyDescent="0.4">
      <c r="B165" s="20"/>
      <c r="C165" s="617" t="str">
        <f>IF(D113="Do not use defaults", "", "Pesticides")</f>
        <v/>
      </c>
      <c r="D165" s="620" t="str">
        <f>IF(C165="Pesticides", 100%, "")</f>
        <v/>
      </c>
      <c r="E165" s="27" t="str">
        <f>IF(C165="Pesticides", "kg(active ingredient)/Ha", "")</f>
        <v/>
      </c>
      <c r="F165" s="27" t="str">
        <f>IF(D113="Do not use defaults","",VLOOKUP(D113,Default_crop_data[],7,FALSE))</f>
        <v/>
      </c>
      <c r="G165" s="1"/>
      <c r="H165" s="1"/>
      <c r="I165" s="43"/>
      <c r="J165" s="27" t="str">
        <f>IF(C165&gt;0,C165,"")</f>
        <v/>
      </c>
      <c r="K165" s="91" t="str">
        <f>IFERROR(IF(C165&gt;0,IF(ISBLANK(E165),"Insert unit",IF(OR(ISBLANK(F165),AND(ISBLANK(D165),E165="kg(pesticide)/Ha")),"Insert data",(IF(E165="kg(pesticide)/HA",F165*D165,F165)*INDEX(Pesticide_EF,MATCH("Pesticide (any)",Pesticides,0))/F117)/1000)),""),"")</f>
        <v/>
      </c>
      <c r="L165" s="39"/>
      <c r="M165" s="35"/>
    </row>
    <row r="166" spans="2:13" s="4" customFormat="1" outlineLevel="1" x14ac:dyDescent="0.4">
      <c r="B166" s="20"/>
      <c r="C166" s="151"/>
      <c r="D166" s="139"/>
      <c r="E166" s="138"/>
      <c r="F166" s="134"/>
      <c r="G166" s="1"/>
      <c r="H166" s="1"/>
      <c r="I166" s="43"/>
      <c r="J166" s="27" t="str">
        <f>IF(C166&gt;0,C166,"")</f>
        <v/>
      </c>
      <c r="K166" s="91" t="str">
        <f>IFERROR(IF(C166&gt;0,IF(ISBLANK(G166),"Insert data",(IF(F166="kg(fertiliser)/HA",G166*D166,G166)*INDEX(Other_fertiliser_EF,MATCH(C166,Other_fertilisers,0))/F117)/1000),""),"")</f>
        <v/>
      </c>
      <c r="L166" s="39"/>
      <c r="M166" s="35"/>
    </row>
    <row r="167" spans="2:13" s="4" customFormat="1" outlineLevel="1" x14ac:dyDescent="0.4">
      <c r="B167" s="20"/>
      <c r="C167" s="151"/>
      <c r="D167" s="139"/>
      <c r="E167" s="138"/>
      <c r="F167" s="134"/>
      <c r="G167" s="1"/>
      <c r="H167" s="1"/>
      <c r="I167" s="43"/>
      <c r="J167" s="27" t="str">
        <f>IF(C167&gt;0,C167,"")</f>
        <v/>
      </c>
      <c r="K167" s="91" t="str">
        <f>IFERROR(IF(C167&gt;0,IF(ISBLANK(G167),"Insert data",(IF(F167="kg(fertiliser)/HA",G167*D167,G167)*INDEX(Other_fertiliser_EF,MATCH(C167,Other_fertilisers,0))/F117)/1000),""),"")</f>
        <v/>
      </c>
      <c r="L167" s="39"/>
      <c r="M167" s="35"/>
    </row>
    <row r="168" spans="2:13" s="4" customFormat="1" outlineLevel="1" x14ac:dyDescent="0.4">
      <c r="B168" s="20"/>
      <c r="C168" s="151"/>
      <c r="D168" s="139"/>
      <c r="E168" s="138"/>
      <c r="F168" s="134"/>
      <c r="G168" s="1"/>
      <c r="H168" s="1"/>
      <c r="I168" s="43"/>
      <c r="J168" s="27" t="str">
        <f>IF(C168&gt;0,C168,"")</f>
        <v/>
      </c>
      <c r="K168" s="91" t="str">
        <f>IFERROR(IF(C168&gt;0,IF(ISBLANK(G168),"Insert data",(IF(F168="kg(fertiliser)/HA",G168*D168,G168)*INDEX(Other_fertiliser_EF,MATCH(C168,Other_fertilisers,0))/F117)/1000),""),"")</f>
        <v/>
      </c>
      <c r="L168" s="39"/>
      <c r="M168" s="35"/>
    </row>
    <row r="169" spans="2:13" s="4" customFormat="1" outlineLevel="1" x14ac:dyDescent="0.4">
      <c r="B169" s="20"/>
      <c r="C169" s="151"/>
      <c r="D169" s="139"/>
      <c r="E169" s="138"/>
      <c r="F169" s="134"/>
      <c r="G169" s="1"/>
      <c r="H169" s="1"/>
      <c r="I169" s="43"/>
      <c r="J169" s="27" t="str">
        <f>IF(C169&gt;0,C169,"")</f>
        <v/>
      </c>
      <c r="K169" s="91" t="str">
        <f>IFERROR(IF(C169&gt;0,IF(ISBLANK(G169),"Insert data",(IF(F169="kg(fertiliser)/HA",G169*D169,G169)*INDEX(Other_fertiliser_EF,MATCH(C169,Other_fertilisers,0))/F117)/1000),""),"")</f>
        <v/>
      </c>
      <c r="L169" s="39"/>
      <c r="M169" s="35"/>
    </row>
    <row r="170" spans="2:13" s="4" customFormat="1" outlineLevel="1" x14ac:dyDescent="0.4">
      <c r="B170" s="20"/>
      <c r="C170" s="24"/>
      <c r="D170" s="21"/>
      <c r="E170" s="21"/>
      <c r="F170" s="21"/>
      <c r="G170" s="21"/>
      <c r="H170" s="21"/>
      <c r="I170" s="41"/>
      <c r="J170" s="36"/>
      <c r="K170" s="36"/>
      <c r="L170" s="37"/>
      <c r="M170" s="35"/>
    </row>
    <row r="171" spans="2:13" s="4" customFormat="1" outlineLevel="1" x14ac:dyDescent="0.4">
      <c r="B171" s="20"/>
      <c r="C171" s="150" t="s">
        <v>157</v>
      </c>
      <c r="D171" s="21"/>
      <c r="E171" s="21"/>
      <c r="F171" s="21"/>
      <c r="G171" s="21"/>
      <c r="H171" s="21"/>
      <c r="I171" s="41"/>
      <c r="J171" s="36"/>
      <c r="K171" s="36"/>
      <c r="L171" s="37"/>
      <c r="M171" s="35"/>
    </row>
    <row r="172" spans="2:13" s="4" customFormat="1" outlineLevel="1" x14ac:dyDescent="0.4">
      <c r="B172" s="20"/>
      <c r="C172" s="167" t="s">
        <v>158</v>
      </c>
      <c r="D172" s="168" t="s">
        <v>151</v>
      </c>
      <c r="E172" s="168" t="s">
        <v>140</v>
      </c>
      <c r="F172" s="21"/>
      <c r="G172" s="21"/>
      <c r="H172" s="21"/>
      <c r="I172" s="41"/>
      <c r="J172" s="164" t="s">
        <v>158</v>
      </c>
      <c r="K172" s="164" t="s">
        <v>141</v>
      </c>
      <c r="L172" s="37"/>
      <c r="M172" s="35"/>
    </row>
    <row r="173" spans="2:13" s="4" customFormat="1" outlineLevel="1" x14ac:dyDescent="0.4">
      <c r="B173" s="20"/>
      <c r="C173" s="617" t="str">
        <f>IF(D113="Silage grass", "Grass", IF(D113="Do not use defaults", "", D113))</f>
        <v/>
      </c>
      <c r="D173" s="27" t="str">
        <f>IF(C173=D113, "kg/Ha", "")</f>
        <v/>
      </c>
      <c r="E173" s="30" t="str">
        <f>IF(D113="Do not use defaults", "",VLOOKUP(D113,Default_crop_data[],8,FALSE))</f>
        <v/>
      </c>
      <c r="F173" s="1"/>
      <c r="G173" s="1"/>
      <c r="H173" s="1"/>
      <c r="I173" s="43"/>
      <c r="J173" s="27" t="str">
        <f>IF(C173&gt;0,C173,"")</f>
        <v/>
      </c>
      <c r="K173" s="52" t="str">
        <f>IF(C173&gt;0,IFERROR(E173*INDEX(Seed_EF,MATCH(C173,Seeds,0))/F117/1000,""),"")</f>
        <v/>
      </c>
      <c r="L173" s="38"/>
      <c r="M173" s="35"/>
    </row>
    <row r="174" spans="2:13" s="4" customFormat="1" outlineLevel="1" x14ac:dyDescent="0.4">
      <c r="B174" s="20"/>
      <c r="C174" s="153"/>
      <c r="D174" s="138"/>
      <c r="E174" s="140"/>
      <c r="F174" s="1"/>
      <c r="G174" s="1"/>
      <c r="H174" s="1"/>
      <c r="I174" s="43"/>
      <c r="J174" s="27" t="str">
        <f>IF(C174&gt;0,C174,"")</f>
        <v/>
      </c>
      <c r="K174" s="52" t="str">
        <f>IF(C174&gt;0,IFERROR(E174*INDEX(Seed_EF,MATCH(C174,Seeds,0))/F118/1000,""),"")</f>
        <v/>
      </c>
      <c r="L174" s="38"/>
      <c r="M174" s="35"/>
    </row>
    <row r="175" spans="2:13" s="4" customFormat="1" outlineLevel="1" x14ac:dyDescent="0.4">
      <c r="B175" s="20"/>
      <c r="C175" s="24"/>
      <c r="D175" s="21"/>
      <c r="E175" s="21"/>
      <c r="F175" s="21"/>
      <c r="G175" s="21"/>
      <c r="H175" s="21"/>
      <c r="I175" s="41"/>
      <c r="J175" s="36"/>
      <c r="K175" s="36"/>
      <c r="L175" s="37"/>
      <c r="M175" s="35"/>
    </row>
    <row r="176" spans="2:13" s="12" customFormat="1" ht="15" customHeight="1" outlineLevel="1" x14ac:dyDescent="0.35">
      <c r="B176" s="20"/>
      <c r="C176" s="25" t="s">
        <v>159</v>
      </c>
      <c r="D176" s="1"/>
      <c r="E176" s="1"/>
      <c r="F176" s="1"/>
      <c r="G176" s="1"/>
      <c r="H176" s="1"/>
      <c r="I176" s="43"/>
      <c r="J176" s="34"/>
      <c r="K176" s="34"/>
      <c r="L176" s="44"/>
      <c r="M176" s="54"/>
    </row>
    <row r="177" spans="2:13" s="12" customFormat="1" ht="15" customHeight="1" outlineLevel="1" x14ac:dyDescent="0.35">
      <c r="B177" s="20"/>
      <c r="C177" s="166" t="s">
        <v>160</v>
      </c>
      <c r="D177" s="164" t="s">
        <v>151</v>
      </c>
      <c r="E177" s="164" t="s">
        <v>140</v>
      </c>
      <c r="F177" s="1"/>
      <c r="G177" s="1"/>
      <c r="H177" s="1"/>
      <c r="I177" s="43"/>
      <c r="J177" s="164" t="s">
        <v>160</v>
      </c>
      <c r="K177" s="164" t="s">
        <v>141</v>
      </c>
      <c r="L177" s="37"/>
      <c r="M177" s="54"/>
    </row>
    <row r="178" spans="2:13" s="12" customFormat="1" ht="15" customHeight="1" outlineLevel="1" x14ac:dyDescent="0.35">
      <c r="B178" s="20"/>
      <c r="C178" s="621" t="str">
        <f>IF(D113="Do not use defaults", "", "Diesel")</f>
        <v/>
      </c>
      <c r="D178" s="74" t="str">
        <f>IF(D113="Do not use defaults", "", "litres/Ha")</f>
        <v/>
      </c>
      <c r="E178" s="622" t="str">
        <f>IF(D113="Do not use defaults", "",VLOOKUP(D113,Default_crop_data[],9,FALSE))</f>
        <v/>
      </c>
      <c r="F178" s="1"/>
      <c r="G178" s="26"/>
      <c r="H178" s="1"/>
      <c r="I178" s="43"/>
      <c r="J178" s="27" t="str">
        <f>IF(C178&gt;0,C178,"")</f>
        <v/>
      </c>
      <c r="K178" s="52" t="str">
        <f>IF(D113="Do not use defaults", "", IFERROR(IF(C178&gt;0,IF(ISBLANK(E178),"Insert data",IF(D178="litres/Ha",E178*INDEX(Fuel_Densities,MATCH(C178,Fuels_for_Densities,0))/1000*INDEX(Fuel_LHV,MATCH(C178,Fuels_for_LHV,0))/F117/1000*INDEX(Fuel_EFs,MATCH(C178,Fuels_for_EF,0)),IF(D178="kg/Ha",E178*INDEX(Fuel_LHV,MATCH(C178,Fuels_for_LHV,0))/F117/1000*INDEX(Fuel_EFs,MATCH(C178,Fuels_for_EF,0)),IF(D178="tonnes/Ha",E178*INDEX(Fuel_LHV,MATCH(C178,Fuels_for_LHV,0))/F117*INDEX(Fuel_EFs,MATCH(C178,Fuels_for_EF,0)),"Insert unit")))),""),""))</f>
        <v/>
      </c>
      <c r="L178" s="40"/>
      <c r="M178" s="54"/>
    </row>
    <row r="179" spans="2:13" s="12" customFormat="1" ht="15" customHeight="1" outlineLevel="1" x14ac:dyDescent="0.35">
      <c r="B179" s="20"/>
      <c r="C179" s="621" t="str">
        <f>IF(D113="Do not use defaults", "", "Diesel")</f>
        <v/>
      </c>
      <c r="D179" s="74" t="str">
        <f>IF(D113="Do not use defaults", "", "litres/Ha")</f>
        <v/>
      </c>
      <c r="E179" s="622" t="str">
        <f>IF(D113="Do not use defaults", "",VLOOKUP(D113,Default_crop_data[],10,FALSE))</f>
        <v/>
      </c>
      <c r="F179" s="1"/>
      <c r="G179" s="1"/>
      <c r="H179" s="1"/>
      <c r="I179" s="43"/>
      <c r="J179" s="27" t="str">
        <f>IF(C179&gt;0,C179,"")</f>
        <v/>
      </c>
      <c r="K179" s="52" t="str">
        <f>IF(D113="Do not use defaults", "", IFERROR(IF(C179&gt;0,IF(ISBLANK(E179),"Insert data",IF(D179="litres/Ha",E179*INDEX(Fuel_Densities,MATCH(C179,Fuels_for_Densities,0))/1000*INDEX(Fuel_LHV,MATCH(C179,Fuels_for_LHV,0))/F117/1000*INDEX(Fuel_EFs,MATCH(C179,Fuels_for_EF,0)),IF(D179="kg/Ha",E179*INDEX(Fuel_LHV,MATCH(C179,Fuels_for_LHV,0))/F117/1000*INDEX(Fuel_EFs,MATCH(C179,Fuels_for_EF,0)),IF(D179="tonnes/Ha",E179*INDEX(Fuel_LHV,MATCH(C179,Fuels_for_LHV,0))/F117*INDEX(Fuel_EFs,MATCH(C179,Fuels_for_EF,0)),"Insert unit")))),""),""))</f>
        <v/>
      </c>
      <c r="L179" s="40"/>
      <c r="M179" s="54"/>
    </row>
    <row r="180" spans="2:13" s="12" customFormat="1" ht="15" customHeight="1" outlineLevel="1" x14ac:dyDescent="0.35">
      <c r="B180" s="20"/>
      <c r="C180" s="154"/>
      <c r="D180" s="141"/>
      <c r="E180" s="142"/>
      <c r="F180" s="1"/>
      <c r="G180" s="1"/>
      <c r="H180" s="1"/>
      <c r="I180" s="43"/>
      <c r="J180" s="27" t="str">
        <f>IF(C180&gt;0,C180,"")</f>
        <v/>
      </c>
      <c r="K180" s="52" t="str">
        <f>IFERROR(IF(C180&gt;0,IF(ISBLANK(E180),"Insert data",IF(D180="litres/Ha",E180*INDEX(Fuel_Densities,MATCH(C180,Fuels_for_Densities,0))/1000*INDEX(Fuel_LHV,MATCH(C180,Fuels_for_LHV,0))/F117/1000*INDEX(Fuel_EFs,MATCH(C180,Fuels_for_EF,0)),IF(D180="kg/Ha",E180*INDEX(Fuel_LHV,MATCH(C180,Fuels_for_LHV,0))/F117/1000*INDEX(Fuel_EFs,MATCH(C180,Fuels_for_EF,0)),IF(D180="tonnes/Ha",E180*INDEX(Fuel_LHV,MATCH(C180,Fuels_for_LHV,0))/F117*INDEX(Fuel_EFs,MATCH(C180,Fuels_for_EF,0)),"Insert unit")))),""),"")</f>
        <v/>
      </c>
      <c r="L180" s="40"/>
      <c r="M180" s="54"/>
    </row>
    <row r="181" spans="2:13" s="12" customFormat="1" ht="15" customHeight="1" outlineLevel="1" x14ac:dyDescent="0.35">
      <c r="B181" s="20"/>
      <c r="C181" s="154"/>
      <c r="D181" s="141"/>
      <c r="E181" s="142"/>
      <c r="F181" s="1"/>
      <c r="G181" s="1"/>
      <c r="H181" s="1"/>
      <c r="I181" s="43"/>
      <c r="J181" s="27" t="str">
        <f>IF(C181&gt;0,C181,"")</f>
        <v/>
      </c>
      <c r="K181" s="52" t="str">
        <f>IFERROR(IF(C181&gt;0,IF(ISBLANK(E181),"Insert data",IF(D181="litres/Ha",E181*INDEX(Fuel_Densities,MATCH(C181,Fuels_for_Densities,0))/1000*INDEX(Fuel_LHV,MATCH(C181,Fuels_for_LHV,0))/F117/1000*INDEX(Fuel_EFs,MATCH(C181,Fuels_for_EF,0)),IF(D181="kg/Ha",E181*INDEX(Fuel_LHV,MATCH(C181,Fuels_for_LHV,0))/F117/1000*INDEX(Fuel_EFs,MATCH(C181,Fuels_for_EF,0)),IF(D181="tonnes/Ha",E181*INDEX(Fuel_LHV,MATCH(C181,Fuels_for_LHV,0))/F117*INDEX(Fuel_EFs,MATCH(C181,Fuels_for_EF,0)),"Insert unit")))),""),"")</f>
        <v/>
      </c>
      <c r="L181" s="40"/>
      <c r="M181" s="54"/>
    </row>
    <row r="182" spans="2:13" s="4" customFormat="1" ht="13.5" customHeight="1" outlineLevel="1" x14ac:dyDescent="0.4">
      <c r="B182" s="20"/>
      <c r="C182" s="24"/>
      <c r="D182" s="21"/>
      <c r="E182" s="21"/>
      <c r="F182" s="21"/>
      <c r="G182" s="21"/>
      <c r="H182" s="21"/>
      <c r="I182" s="46"/>
      <c r="J182" s="58"/>
      <c r="K182" s="58"/>
      <c r="L182" s="59"/>
      <c r="M182" s="35"/>
    </row>
    <row r="183" spans="2:13" s="4" customFormat="1" ht="13.5" customHeight="1" outlineLevel="1" x14ac:dyDescent="0.4">
      <c r="B183" s="20"/>
      <c r="C183" s="661" t="s">
        <v>120</v>
      </c>
      <c r="D183" s="21"/>
      <c r="E183" s="21"/>
      <c r="F183" s="21"/>
      <c r="G183" s="21"/>
      <c r="H183" s="21"/>
      <c r="I183" s="21"/>
      <c r="J183" s="21"/>
      <c r="K183" s="21"/>
      <c r="L183" s="21"/>
      <c r="M183" s="35"/>
    </row>
    <row r="184" spans="2:13" s="4" customFormat="1" ht="13.5" customHeight="1" outlineLevel="1" x14ac:dyDescent="0.4">
      <c r="B184" s="20"/>
      <c r="C184" s="166" t="s">
        <v>161</v>
      </c>
      <c r="D184" s="622">
        <f xml:space="preserve"> IFERROR(( Feedstocks!D12 * (Feedstocks!E12 / IF(Feedstocks!I12="Default",  Feedstocks!J12, Feedstocks!K12)) /('Transport 1'!F69 * 'Feedstock conversion'!F67 * 'Transport 2'!F69)) /F117, 0)</f>
        <v>0</v>
      </c>
      <c r="E184" s="21"/>
      <c r="F184" s="21"/>
      <c r="G184" s="21"/>
      <c r="H184" s="21"/>
      <c r="I184" s="21"/>
      <c r="J184" s="21"/>
      <c r="K184" s="21"/>
      <c r="L184" s="21"/>
      <c r="M184" s="35"/>
    </row>
    <row r="185" spans="2:13" s="4" customFormat="1" ht="13.5" customHeight="1" outlineLevel="1" x14ac:dyDescent="0.4">
      <c r="B185" s="28"/>
      <c r="C185" s="155"/>
      <c r="D185" s="29"/>
      <c r="E185" s="29"/>
      <c r="F185" s="29"/>
      <c r="G185" s="29"/>
      <c r="H185" s="29"/>
      <c r="I185" s="29"/>
      <c r="J185" s="29"/>
      <c r="K185" s="29"/>
      <c r="L185" s="29"/>
      <c r="M185" s="60"/>
    </row>
    <row r="186" spans="2:13" s="4" customFormat="1" x14ac:dyDescent="0.4">
      <c r="C186" s="14"/>
    </row>
    <row r="187" spans="2:13" s="4" customFormat="1" hidden="1" x14ac:dyDescent="0.4">
      <c r="C187" s="14"/>
    </row>
    <row r="188" spans="2:13" s="4" customFormat="1" hidden="1" x14ac:dyDescent="0.4">
      <c r="C188" s="14"/>
    </row>
    <row r="189" spans="2:13" s="4" customFormat="1" hidden="1" x14ac:dyDescent="0.4">
      <c r="C189" s="14"/>
    </row>
    <row r="190" spans="2:13" s="4" customFormat="1" hidden="1" x14ac:dyDescent="0.4">
      <c r="C190" s="14"/>
    </row>
    <row r="191" spans="2:13" s="4" customFormat="1" hidden="1" x14ac:dyDescent="0.4">
      <c r="C191" s="14"/>
    </row>
    <row r="192" spans="2:13" s="4" customFormat="1" hidden="1" x14ac:dyDescent="0.4">
      <c r="C192" s="14"/>
    </row>
    <row r="193" spans="2:13" s="4" customFormat="1" hidden="1" x14ac:dyDescent="0.4">
      <c r="C193" s="14"/>
    </row>
    <row r="194" spans="2:13" s="4" customFormat="1" hidden="1" x14ac:dyDescent="0.4">
      <c r="C194" s="14"/>
    </row>
    <row r="195" spans="2:13" s="4" customFormat="1" hidden="1" x14ac:dyDescent="0.4">
      <c r="C195" s="14"/>
    </row>
    <row r="196" spans="2:13" s="4" customFormat="1" hidden="1" x14ac:dyDescent="0.4">
      <c r="C196" s="14"/>
    </row>
    <row r="197" spans="2:13" s="4" customFormat="1" hidden="1" x14ac:dyDescent="0.4">
      <c r="C197" s="14"/>
    </row>
    <row r="198" spans="2:13" s="4" customFormat="1" hidden="1" x14ac:dyDescent="0.4">
      <c r="C198" s="14"/>
    </row>
    <row r="199" spans="2:13" s="4" customFormat="1" hidden="1" x14ac:dyDescent="0.4">
      <c r="C199" s="14"/>
    </row>
    <row r="200" spans="2:13" s="4" customFormat="1" hidden="1" x14ac:dyDescent="0.4">
      <c r="C200" s="14"/>
    </row>
    <row r="201" spans="2:13" s="4" customFormat="1" hidden="1" x14ac:dyDescent="0.4">
      <c r="C201" s="14"/>
    </row>
    <row r="202" spans="2:13" s="4" customFormat="1" hidden="1" x14ac:dyDescent="0.4">
      <c r="C202" s="14"/>
    </row>
    <row r="203" spans="2:13" s="4" customFormat="1" hidden="1" x14ac:dyDescent="0.4">
      <c r="C203" s="14"/>
    </row>
    <row r="204" spans="2:13" s="4" customFormat="1" hidden="1" x14ac:dyDescent="0.4">
      <c r="C204" s="14"/>
    </row>
    <row r="205" spans="2:13" s="4" customFormat="1" hidden="1" x14ac:dyDescent="0.4">
      <c r="C205" s="14"/>
    </row>
    <row r="206" spans="2:13" s="4" customFormat="1" hidden="1" x14ac:dyDescent="0.4">
      <c r="C206" s="14"/>
    </row>
    <row r="207" spans="2:13" s="4" customFormat="1" hidden="1" x14ac:dyDescent="0.4">
      <c r="C207" s="14"/>
    </row>
    <row r="208" spans="2:13" s="4" customFormat="1" ht="19.2" x14ac:dyDescent="0.45">
      <c r="B208" s="754" t="str">
        <f>"Cultivation &amp; Harvesting"&amp;" - "&amp;Feedstocks!C13</f>
        <v xml:space="preserve">Cultivation &amp; Harvesting - </v>
      </c>
      <c r="C208" s="755"/>
      <c r="D208" s="755"/>
      <c r="E208" s="755"/>
      <c r="F208" s="755"/>
      <c r="G208" s="755"/>
      <c r="H208" s="755"/>
      <c r="I208" s="755"/>
      <c r="J208" s="755"/>
      <c r="K208" s="755"/>
      <c r="L208" s="755"/>
      <c r="M208" s="756"/>
    </row>
    <row r="209" spans="2:13" s="4" customFormat="1" outlineLevel="1" x14ac:dyDescent="0.4">
      <c r="B209" s="17"/>
      <c r="C209" s="520"/>
      <c r="D209" s="19"/>
      <c r="E209" s="19"/>
      <c r="F209" s="19"/>
      <c r="G209" s="19"/>
      <c r="H209" s="19"/>
      <c r="I209" s="19"/>
      <c r="J209" s="19"/>
      <c r="K209" s="19"/>
      <c r="L209" s="19"/>
      <c r="M209" s="50"/>
    </row>
    <row r="210" spans="2:13" s="4" customFormat="1" outlineLevel="1" x14ac:dyDescent="0.4">
      <c r="B210" s="20"/>
      <c r="C210" s="356" t="s">
        <v>46</v>
      </c>
      <c r="D210" s="751"/>
      <c r="E210" s="751"/>
      <c r="F210" s="751"/>
      <c r="G210" s="1"/>
      <c r="I210" s="303" t="s">
        <v>122</v>
      </c>
      <c r="J210" s="64"/>
      <c r="K210" s="47"/>
      <c r="L210" s="45"/>
      <c r="M210" s="35"/>
    </row>
    <row r="211" spans="2:13" s="4" customFormat="1" outlineLevel="1" x14ac:dyDescent="0.4">
      <c r="B211" s="20"/>
      <c r="C211" s="163" t="s">
        <v>123</v>
      </c>
      <c r="D211" s="758" t="str">
        <f>IF(Feedstocks!$H$13&gt;0,Feedstocks!$H$13,"")</f>
        <v/>
      </c>
      <c r="E211" s="757"/>
      <c r="F211" s="752"/>
      <c r="G211" s="76"/>
      <c r="H211" s="94"/>
      <c r="I211" s="41"/>
      <c r="J211" s="36"/>
      <c r="K211" s="164" t="s">
        <v>124</v>
      </c>
      <c r="L211" s="37"/>
      <c r="M211" s="35"/>
    </row>
    <row r="212" spans="2:13" s="4" customFormat="1" outlineLevel="1" x14ac:dyDescent="0.4">
      <c r="B212" s="20"/>
      <c r="C212" s="24"/>
      <c r="D212" s="21"/>
      <c r="E212" s="21"/>
      <c r="F212" s="21"/>
      <c r="G212" s="21"/>
      <c r="H212" s="21"/>
      <c r="I212" s="41"/>
      <c r="J212" s="169" t="s">
        <v>125</v>
      </c>
      <c r="K212" s="68" t="str">
        <f>IFERROR(IF('Feedstock conversion'!E113="Yes",(K215/(IF(Feedstocks!I13="default",Feedstocks!J13,IF(Feedstocks!I13="actual",Feedstocks!K13,"Insert data (plant inputs)"))/Feedstocks!E13*'Transport 1'!F119*'Feedstock conversion'!D117*'Transport 2'!F119*('Digestion &amp; outputs'!$G$18/1000)))*IF('Feedstock conversion'!E142="Yes",'Feedstock conversion'!J145,1)*'Digestion &amp; outputs'!$K$23,IF('Feedstock conversion'!E113="No",(K215/(IF(Feedstocks!I13="default",Feedstocks!J13,IF(Feedstocks!I13="actual",Feedstocks!K13,"Insert data (plant inputs)"))/Feedstocks!E13*'Transport 1'!F119*'Transport 2'!F119*('Digestion &amp; outputs'!$G$18/1000)))*'Digestion &amp; outputs'!$K$23,"")),"")</f>
        <v/>
      </c>
      <c r="L212" s="37"/>
      <c r="M212" s="35"/>
    </row>
    <row r="213" spans="2:13" s="4" customFormat="1" ht="18" customHeight="1" outlineLevel="1" x14ac:dyDescent="0.4">
      <c r="B213" s="20"/>
      <c r="C213" s="286" t="s">
        <v>126</v>
      </c>
      <c r="D213" s="673" t="s">
        <v>127</v>
      </c>
      <c r="G213" s="21"/>
      <c r="H213" s="21"/>
      <c r="I213" s="41"/>
      <c r="J213" s="67"/>
      <c r="K213" s="67"/>
      <c r="L213" s="37"/>
      <c r="M213" s="35"/>
    </row>
    <row r="214" spans="2:13" s="4" customFormat="1" outlineLevel="1" x14ac:dyDescent="0.4">
      <c r="B214" s="20"/>
      <c r="C214" s="14"/>
      <c r="G214" s="21"/>
      <c r="H214" s="21"/>
      <c r="I214" s="41"/>
      <c r="J214" s="36"/>
      <c r="K214" s="164" t="s">
        <v>128</v>
      </c>
      <c r="L214" s="37"/>
      <c r="M214" s="35"/>
    </row>
    <row r="215" spans="2:13" s="4" customFormat="1" outlineLevel="1" x14ac:dyDescent="0.4">
      <c r="B215" s="20"/>
      <c r="C215" s="150" t="s">
        <v>129</v>
      </c>
      <c r="G215" s="21"/>
      <c r="H215" s="21"/>
      <c r="I215" s="41"/>
      <c r="J215" s="169" t="s">
        <v>130</v>
      </c>
      <c r="K215" s="52">
        <f>IFERROR(SUM(K220:K226,K228:K233,K237:K243,K245:K251,K253:K257,K261,K265:K269,K273,K278:K281),"")</f>
        <v>0</v>
      </c>
      <c r="L215" s="37"/>
      <c r="M215" s="35"/>
    </row>
    <row r="216" spans="2:13" s="4" customFormat="1" outlineLevel="1" x14ac:dyDescent="0.4">
      <c r="B216" s="20"/>
      <c r="C216" s="166" t="s">
        <v>131</v>
      </c>
      <c r="D216" s="164" t="s">
        <v>132</v>
      </c>
      <c r="E216" s="164" t="s">
        <v>133</v>
      </c>
      <c r="F216" s="164" t="s">
        <v>134</v>
      </c>
      <c r="G216" s="748" t="str">
        <f>IF(C217="actual","Must insert actual data for fertiliser application","")</f>
        <v/>
      </c>
      <c r="H216" s="21"/>
      <c r="I216" s="46"/>
      <c r="J216" s="58"/>
      <c r="K216" s="58"/>
      <c r="L216" s="59"/>
      <c r="M216" s="35"/>
    </row>
    <row r="217" spans="2:13" s="4" customFormat="1" outlineLevel="1" x14ac:dyDescent="0.4">
      <c r="B217" s="20"/>
      <c r="C217" s="151" t="s">
        <v>96</v>
      </c>
      <c r="D217" s="93" t="str">
        <f>IFERROR(INDEX(Crop_yields,MATCH(D213,Crops_for_yields,0)),"")</f>
        <v/>
      </c>
      <c r="E217" s="135"/>
      <c r="F217" s="31" t="str">
        <f>IFERROR(IF(C217="Default",D217,IF(ISBLANK(E217),"Insert data",E217)),"")</f>
        <v/>
      </c>
      <c r="G217" s="749"/>
      <c r="H217" s="21"/>
      <c r="I217" s="21"/>
      <c r="J217" s="21"/>
      <c r="K217" s="21"/>
      <c r="L217" s="21"/>
      <c r="M217" s="35"/>
    </row>
    <row r="218" spans="2:13" s="4" customFormat="1" ht="24" customHeight="1" outlineLevel="1" x14ac:dyDescent="0.4">
      <c r="B218" s="20"/>
      <c r="C218" s="150" t="s">
        <v>135</v>
      </c>
      <c r="D218" s="21"/>
      <c r="E218" s="21"/>
      <c r="F218" s="21"/>
      <c r="H218" s="21"/>
      <c r="I218" s="303" t="s">
        <v>136</v>
      </c>
      <c r="J218" s="47"/>
      <c r="K218" s="47"/>
      <c r="L218" s="45"/>
      <c r="M218" s="35"/>
    </row>
    <row r="219" spans="2:13" s="14" customFormat="1" outlineLevel="1" x14ac:dyDescent="0.4">
      <c r="B219" s="23"/>
      <c r="C219" s="166" t="s">
        <v>137</v>
      </c>
      <c r="D219" s="164" t="s">
        <v>138</v>
      </c>
      <c r="E219" s="164" t="s">
        <v>139</v>
      </c>
      <c r="F219" s="164" t="s">
        <v>140</v>
      </c>
      <c r="G219" s="4"/>
      <c r="H219" s="24"/>
      <c r="I219" s="42"/>
      <c r="J219" s="164" t="s">
        <v>137</v>
      </c>
      <c r="K219" s="164" t="s">
        <v>141</v>
      </c>
      <c r="L219" s="37"/>
      <c r="M219" s="63"/>
    </row>
    <row r="220" spans="2:13" s="4" customFormat="1" outlineLevel="1" x14ac:dyDescent="0.4">
      <c r="B220" s="20"/>
      <c r="C220" s="617" t="str">
        <f>IF(D213="Do not use defaults", "", "Nitrogen fertiliser (unspecified)")</f>
        <v/>
      </c>
      <c r="D220" s="618" t="str">
        <f>IF(D213="Do not use defaults", "",INDEX(N_fertiliser_N_composition,MATCH(C220,N_Fertilisers,0)))</f>
        <v/>
      </c>
      <c r="E220" s="27" t="str">
        <f>IF(D213="Do not use defaults","", "kg(Nitrogen)/Ha")</f>
        <v/>
      </c>
      <c r="F220" s="619" t="str">
        <f>IF(D213="Do not use defaults", "",VLOOKUP(D213,Default_crop_data[],2,FALSE))</f>
        <v/>
      </c>
      <c r="H220" s="1"/>
      <c r="I220" s="43"/>
      <c r="J220" s="27" t="str">
        <f t="shared" ref="J220:J226" si="6">IF(C220&gt;0,C220,"")</f>
        <v/>
      </c>
      <c r="K220" s="91" t="str">
        <f>IFERROR(IF(C220&gt;0,IF(ISBLANK(E220),"Insert unit",IF(ISBLANK(F220),"Insert data",(IF(E220="kg(fertiliser)/HA",F220*D220,F220)*INDEX(N_Fertiliser_EF,MATCH(C220,N_Fertilisers,0))/F217)/1000)),""),"")</f>
        <v/>
      </c>
      <c r="L220" s="39"/>
      <c r="M220" s="35"/>
    </row>
    <row r="221" spans="2:13" s="4" customFormat="1" outlineLevel="1" x14ac:dyDescent="0.4">
      <c r="B221" s="20"/>
      <c r="C221" s="151"/>
      <c r="D221" s="92" t="str">
        <f>IF(C221&gt;0,INDEX(N_fertiliser_N_composition,MATCH(C221,N_Fertilisers,0)),"")</f>
        <v/>
      </c>
      <c r="E221" s="138"/>
      <c r="F221" s="137"/>
      <c r="H221" s="1"/>
      <c r="I221" s="43"/>
      <c r="J221" s="27" t="str">
        <f t="shared" si="6"/>
        <v/>
      </c>
      <c r="K221" s="91" t="str">
        <f>IFERROR(IF(C221&gt;0,IF(ISBLANK(E221),"Insert unit",IF(ISBLANK(F221),"Insert data",(IF(E221="kg(fertiliser)/HA",F221*D221,F221)*INDEX(N_Fertiliser_EF,MATCH(C221,N_Fertilisers,0))/F217)/1000)),""),"")</f>
        <v/>
      </c>
      <c r="L221" s="39"/>
      <c r="M221" s="35"/>
    </row>
    <row r="222" spans="2:13" s="4" customFormat="1" outlineLevel="1" x14ac:dyDescent="0.4">
      <c r="B222" s="20"/>
      <c r="C222" s="151"/>
      <c r="D222" s="92" t="str">
        <f>IF(C222&gt;0,INDEX(N_fertiliser_N_composition,MATCH(C222,N_Fertilisers,0)),"")</f>
        <v/>
      </c>
      <c r="E222" s="138"/>
      <c r="F222" s="137"/>
      <c r="H222" s="1"/>
      <c r="I222" s="43"/>
      <c r="J222" s="27" t="str">
        <f t="shared" si="6"/>
        <v/>
      </c>
      <c r="K222" s="91" t="str">
        <f>IFERROR(IF(C222&gt;0,IF(ISBLANK(E222),"Insert unit",IF(ISBLANK(F222),"Insert data",(IF(E222="kg(fertiliser)/HA",F222*D222,F222)*INDEX(N_Fertiliser_EF,MATCH(C222,N_Fertilisers,0))/F217)/1000)),""),"")</f>
        <v/>
      </c>
      <c r="L222" s="39"/>
      <c r="M222" s="35"/>
    </row>
    <row r="223" spans="2:13" s="4" customFormat="1" outlineLevel="1" x14ac:dyDescent="0.4">
      <c r="B223" s="20"/>
      <c r="C223" s="151"/>
      <c r="D223" s="92" t="str">
        <f>IF(C223&gt;0,INDEX(N_fertiliser_N_composition,MATCH(C223,N_Fertilisers,0)),"")</f>
        <v/>
      </c>
      <c r="E223" s="138"/>
      <c r="F223" s="137"/>
      <c r="H223" s="1"/>
      <c r="I223" s="43"/>
      <c r="J223" s="27" t="str">
        <f t="shared" si="6"/>
        <v/>
      </c>
      <c r="K223" s="91" t="str">
        <f>IFERROR(IF(C223&gt;0,IF(ISBLANK(E223),"Insert unit",IF(ISBLANK(F223),"Insert data",(IF(E223="kg(fertiliser)/HA",F223*D223,F223)*INDEX(N_Fertiliser_EF,MATCH(C223,N_Fertilisers,0))/F217)/1000)),""),"")</f>
        <v/>
      </c>
      <c r="L223" s="39"/>
      <c r="M223" s="35"/>
    </row>
    <row r="224" spans="2:13" s="4" customFormat="1" outlineLevel="1" x14ac:dyDescent="0.4">
      <c r="B224" s="20"/>
      <c r="C224" s="151"/>
      <c r="D224" s="136"/>
      <c r="E224" s="138"/>
      <c r="F224" s="137"/>
      <c r="H224" s="1"/>
      <c r="I224" s="43"/>
      <c r="J224" s="27" t="str">
        <f t="shared" si="6"/>
        <v/>
      </c>
      <c r="K224" s="91" t="str">
        <f>IFERROR(IF(C224&gt;0,IF(ISBLANK(E224),"Insert unit",IF(OR(ISBLANK(F224),ISBLANK(D224)),"Insert data",(IF(E224="kg(fertiliser)/HA",F224*D224,F224)*INDEX(N_Fertiliser_EF,MATCH("nitrogen fertiliser (unspecified)",N_Fertilisers,0))/F217)/1000)),""),"")</f>
        <v/>
      </c>
      <c r="L224" s="39"/>
      <c r="M224" s="35"/>
    </row>
    <row r="225" spans="2:13" s="4" customFormat="1" outlineLevel="1" x14ac:dyDescent="0.4">
      <c r="B225" s="20"/>
      <c r="C225" s="151"/>
      <c r="D225" s="136"/>
      <c r="E225" s="138"/>
      <c r="F225" s="137"/>
      <c r="H225" s="1"/>
      <c r="I225" s="43"/>
      <c r="J225" s="27" t="str">
        <f t="shared" si="6"/>
        <v/>
      </c>
      <c r="K225" s="91" t="str">
        <f>IFERROR(IF(C225&gt;0,IF(ISBLANK(E225),"Insert unit",IF(OR(ISBLANK(F225),ISBLANK(D225)),"Insert data",(IF(E225="kg(fertiliser)/HA",F225*D225,F225)*INDEX(N_Fertiliser_EF,MATCH("nitrogen fertiliser (unspecified)",N_Fertilisers,0))/F217)/1000)),""),"")</f>
        <v/>
      </c>
      <c r="L225" s="39"/>
      <c r="M225" s="35"/>
    </row>
    <row r="226" spans="2:13" s="4" customFormat="1" outlineLevel="1" x14ac:dyDescent="0.4">
      <c r="B226" s="20"/>
      <c r="C226" s="151"/>
      <c r="D226" s="136"/>
      <c r="E226" s="138"/>
      <c r="F226" s="137"/>
      <c r="G226" s="14"/>
      <c r="H226" s="1"/>
      <c r="I226" s="43"/>
      <c r="J226" s="27" t="str">
        <f t="shared" si="6"/>
        <v/>
      </c>
      <c r="K226" s="91" t="str">
        <f>IFERROR(IF(C226&gt;0,IF(ISBLANK(E226),"Insert unit",IF(OR(ISBLANK(F226),ISBLANK(D226)),"Insert data",(IF(E226="kg(fertiliser)/HA",F226*D226,F226)*INDEX(N_Fertiliser_EF,MATCH("nitrogen fertiliser (unspecified)",N_Fertilisers,0))/F217)/1000)),""),"")</f>
        <v/>
      </c>
      <c r="L226" s="39"/>
      <c r="M226" s="35"/>
    </row>
    <row r="227" spans="2:13" s="4" customFormat="1" outlineLevel="1" x14ac:dyDescent="0.4">
      <c r="B227" s="20"/>
      <c r="C227" s="653" t="s">
        <v>142</v>
      </c>
      <c r="D227" s="654" t="s">
        <v>138</v>
      </c>
      <c r="E227" s="654" t="s">
        <v>139</v>
      </c>
      <c r="F227" s="655" t="s">
        <v>140</v>
      </c>
      <c r="G227" s="14"/>
      <c r="H227" s="1"/>
      <c r="I227" s="43"/>
      <c r="J227" s="166" t="s">
        <v>142</v>
      </c>
      <c r="K227" s="164" t="s">
        <v>141</v>
      </c>
      <c r="L227" s="39"/>
      <c r="M227" s="35"/>
    </row>
    <row r="228" spans="2:13" s="4" customFormat="1" outlineLevel="1" x14ac:dyDescent="0.4">
      <c r="B228" s="20"/>
      <c r="C228" s="649" t="str">
        <f>IF(D213="Do not use defaults", "", "Digestate")</f>
        <v/>
      </c>
      <c r="D228" s="618" t="str">
        <f>IF(D213="Do not use defaults", "",INDEX(Organic_fertilisers_N_Composition,MATCH(C228,Organic_fertilisers,0)))</f>
        <v/>
      </c>
      <c r="E228" s="27" t="str">
        <f>IF(D213="Do not use defaults", "", "t(fertiliser)/Ha")</f>
        <v/>
      </c>
      <c r="F228" s="651" t="str">
        <f>IF(D213="Do not use defaults", "",VLOOKUP(D213,Default_crop_data[],5,FALSE))</f>
        <v/>
      </c>
      <c r="G228" s="14"/>
      <c r="H228" s="1"/>
      <c r="I228" s="43"/>
      <c r="J228" s="27" t="str">
        <f t="shared" ref="J228:J233" si="7">IF(C228&gt;0,C228,"")</f>
        <v/>
      </c>
      <c r="K228" s="91" t="str">
        <f>IFERROR(IF(C228&gt;0,IF(ISBLANK(E228),"Insert unit",IF(ISBLANK(F228),"Insert data",(IF(E228="kg(fertiliser)/HA",F228*D228,IF(E228="t(fertiliser)/Ha",F228*1000*D228,F228))*INDEX(Organic_fertiliser_EF,MATCH(C228,Organic_fertilisers,0))/F217)/1000)),""),"")</f>
        <v/>
      </c>
      <c r="L228" s="39"/>
      <c r="M228" s="35"/>
    </row>
    <row r="229" spans="2:13" s="4" customFormat="1" outlineLevel="1" x14ac:dyDescent="0.4">
      <c r="B229" s="20"/>
      <c r="C229" s="650"/>
      <c r="D229" s="92" t="str">
        <f>IF(C229&gt;0,INDEX(Organic_fertilisers_N_Composition,MATCH(C229,Organic_fertilisers,0)),"")</f>
        <v/>
      </c>
      <c r="E229" s="138"/>
      <c r="F229" s="652"/>
      <c r="G229" s="14"/>
      <c r="H229" s="1"/>
      <c r="I229" s="43"/>
      <c r="J229" s="27" t="str">
        <f t="shared" si="7"/>
        <v/>
      </c>
      <c r="K229" s="91" t="str">
        <f>IFERROR(IF(C229&gt;0,IF(ISBLANK(E229),"Insert unit",IF(ISBLANK(F229),"Insert data",(IF(E229="kg(fertiliser)/HA",F229*D229,IF(E229="t(fertiliser)/Ha",F229*1000*D229,F229))*INDEX(Organic_fertiliser_EF,MATCH(C229,Organic_fertilisers,0))/F217)/1000)),""),"")</f>
        <v/>
      </c>
      <c r="L229" s="39"/>
      <c r="M229" s="35"/>
    </row>
    <row r="230" spans="2:13" s="4" customFormat="1" outlineLevel="1" x14ac:dyDescent="0.4">
      <c r="B230" s="20"/>
      <c r="C230" s="650"/>
      <c r="D230" s="92" t="str">
        <f>IF(C230&gt;0,INDEX(Organic_fertilisers_N_Composition,MATCH(C230,Organic_fertilisers,0)),"")</f>
        <v/>
      </c>
      <c r="E230" s="138"/>
      <c r="F230" s="652"/>
      <c r="G230" s="14"/>
      <c r="H230" s="1"/>
      <c r="I230" s="43"/>
      <c r="J230" s="27" t="str">
        <f t="shared" si="7"/>
        <v/>
      </c>
      <c r="K230" s="91" t="str">
        <f>IFERROR(IF(C230&gt;0,IF(ISBLANK(E230),"Insert unit",IF(ISBLANK(F230),"Insert data",(IF(E230="kg(fertiliser)/HA",F230*D230,IF(E230="t(fertiliser)/Ha",F230*1000*D230,F230))*INDEX(Organic_fertiliser_EF,MATCH(C230,Organic_fertilisers,0))/F217)/1000)),""),"")</f>
        <v/>
      </c>
      <c r="L230" s="39"/>
      <c r="M230" s="35"/>
    </row>
    <row r="231" spans="2:13" s="4" customFormat="1" outlineLevel="1" x14ac:dyDescent="0.4">
      <c r="B231" s="20"/>
      <c r="C231" s="650"/>
      <c r="D231" s="92" t="str">
        <f>IF(C231&gt;0,INDEX(Organic_fertilisers_N_Composition,MATCH(C231,Organic_fertilisers,0)),"")</f>
        <v/>
      </c>
      <c r="E231" s="138"/>
      <c r="F231" s="652"/>
      <c r="G231" s="14"/>
      <c r="H231" s="1"/>
      <c r="I231" s="43"/>
      <c r="J231" s="27" t="str">
        <f t="shared" si="7"/>
        <v/>
      </c>
      <c r="K231" s="91" t="str">
        <f>IFERROR(IF(C231&gt;0,IF(ISBLANK(E231),"Insert unit",IF(ISBLANK(F231),"Insert data",(IF(E231="kg(fertiliser)/HA",F231*D231,IF(E231="t(fertiliser)/Ha",F231*1000*D231,F231))*INDEX(Organic_fertiliser_EF,MATCH(C231,Organic_fertilisers,0))/F217)/1000)),""),"")</f>
        <v/>
      </c>
      <c r="L231" s="39"/>
      <c r="M231" s="35"/>
    </row>
    <row r="232" spans="2:13" s="4" customFormat="1" outlineLevel="1" x14ac:dyDescent="0.4">
      <c r="B232" s="20"/>
      <c r="C232" s="650"/>
      <c r="D232" s="136"/>
      <c r="E232" s="138"/>
      <c r="F232" s="652"/>
      <c r="G232" s="14"/>
      <c r="H232" s="1"/>
      <c r="I232" s="43"/>
      <c r="J232" s="27" t="str">
        <f t="shared" si="7"/>
        <v/>
      </c>
      <c r="K232" s="91" t="str">
        <f>IFERROR(IF(C232&gt;0,IF(ISBLANK(E232),"Insert unit",IF(ISBLANK(F232),"Insert data",0)),""),"")</f>
        <v/>
      </c>
      <c r="L232" s="39"/>
      <c r="M232" s="35"/>
    </row>
    <row r="233" spans="2:13" s="4" customFormat="1" outlineLevel="1" x14ac:dyDescent="0.4">
      <c r="B233" s="20"/>
      <c r="C233" s="656"/>
      <c r="D233" s="657"/>
      <c r="E233" s="658"/>
      <c r="F233" s="659"/>
      <c r="G233" s="14"/>
      <c r="H233" s="1"/>
      <c r="I233" s="43"/>
      <c r="J233" s="27" t="str">
        <f t="shared" si="7"/>
        <v/>
      </c>
      <c r="K233" s="91" t="str">
        <f>IFERROR(IF(C233&gt;0,IF(ISBLANK(E233),"Insert unit",IF(ISBLANK(F233),"Insert data",0)),""),"")</f>
        <v/>
      </c>
      <c r="L233" s="39"/>
      <c r="M233" s="35"/>
    </row>
    <row r="234" spans="2:13" s="4" customFormat="1" outlineLevel="1" x14ac:dyDescent="0.4">
      <c r="B234" s="20"/>
      <c r="C234" s="166" t="s">
        <v>143</v>
      </c>
      <c r="D234" s="164" t="s">
        <v>138</v>
      </c>
      <c r="E234" s="164" t="s">
        <v>139</v>
      </c>
      <c r="F234" s="164" t="s">
        <v>140</v>
      </c>
      <c r="G234" s="14"/>
      <c r="H234" s="1"/>
      <c r="I234" s="43"/>
      <c r="J234" s="166" t="str">
        <f>IF(C234&gt;0,C234,"")</f>
        <v>Low in-field emissions fertiliser</v>
      </c>
      <c r="K234" s="164" t="s">
        <v>141</v>
      </c>
      <c r="L234" s="39"/>
      <c r="M234" s="35"/>
    </row>
    <row r="235" spans="2:13" s="4" customFormat="1" outlineLevel="1" x14ac:dyDescent="0.4">
      <c r="B235" s="20"/>
      <c r="C235" s="151"/>
      <c r="D235" s="92"/>
      <c r="E235" s="138"/>
      <c r="F235" s="137"/>
      <c r="G235" s="14"/>
      <c r="H235" s="1"/>
      <c r="I235" s="43"/>
      <c r="J235" s="27" t="str">
        <f>IF(C235&gt;0,C235,"")</f>
        <v/>
      </c>
      <c r="K235" s="91" t="str" cm="1">
        <f t="array" ref="K235">IFERROR(IF(C235&gt;0,IF(ISBLANK(E235),"Insert unit",IF(ISBLANK(F235),"Insert data",(IF(E235="kg(fertiliser)/Ha",F235*D235,IF(E235="t(fertiliser)/Ha",F235*1000*D235,F235))*(Low_infield_EF_table[Emission Factor (gCO2eq/kgnitrogen)])/F217)/1000)),""),"")</f>
        <v/>
      </c>
      <c r="L235" s="39"/>
      <c r="M235" s="35"/>
    </row>
    <row r="236" spans="2:13" s="14" customFormat="1" outlineLevel="1" x14ac:dyDescent="0.4">
      <c r="B236" s="23"/>
      <c r="C236" s="166" t="s">
        <v>144</v>
      </c>
      <c r="D236" s="166" t="s">
        <v>145</v>
      </c>
      <c r="E236" s="166" t="s">
        <v>138</v>
      </c>
      <c r="F236" s="166" t="s">
        <v>139</v>
      </c>
      <c r="G236" s="166" t="s">
        <v>140</v>
      </c>
      <c r="H236" s="24"/>
      <c r="I236" s="42"/>
      <c r="J236" s="166" t="s">
        <v>144</v>
      </c>
      <c r="K236" s="164" t="s">
        <v>141</v>
      </c>
      <c r="L236" s="37"/>
      <c r="M236" s="63"/>
    </row>
    <row r="237" spans="2:13" s="4" customFormat="1" outlineLevel="1" x14ac:dyDescent="0.4">
      <c r="B237" s="20"/>
      <c r="C237" s="617" t="str">
        <f>IF(D213="Do not use defaults", "", "P2O5 fertiliser (unspecified)")</f>
        <v/>
      </c>
      <c r="D237" s="618" t="str" cm="1">
        <f t="array" ref="D237">IF(D213="Do not use defaults", "",INDEX(P_fertiliser_P_composition,MATCH(C237,P_fertilisers,0)))</f>
        <v/>
      </c>
      <c r="E237" s="618" t="str">
        <f>IF(C237="P2O5 fertiliser (unspecified)",0, "")</f>
        <v/>
      </c>
      <c r="F237" s="27" t="str">
        <f>IF(D213="Do not use defaults","", "t(kg(P2O5)/Ha")</f>
        <v/>
      </c>
      <c r="G237" s="619" t="str">
        <f>IF(D213="Do not use defaults","",VLOOKUP(D213,Default_crop_data[],3,FALSE))</f>
        <v/>
      </c>
      <c r="H237" s="1"/>
      <c r="I237" s="43"/>
      <c r="J237" s="27" t="str">
        <f>IF(C237&gt;0,C237,"")</f>
        <v/>
      </c>
      <c r="K237" s="91" t="str">
        <f>IFERROR(IF(C237&gt;0,IF(ISBLANK(F237),"Insert unit",IF(ISBLANK(G237),"Insert data",(IF(F237="kg(fertiliser)/HA",G237*D237,G237)*INDEX(P_fertiliser_EF,MATCH(C237,P_fertilisers,0))/F217)/1000)),""),"")</f>
        <v/>
      </c>
      <c r="L237" s="39"/>
      <c r="M237" s="35"/>
    </row>
    <row r="238" spans="2:13" s="4" customFormat="1" outlineLevel="1" x14ac:dyDescent="0.4">
      <c r="B238" s="20"/>
      <c r="C238" s="151"/>
      <c r="D238" s="92" t="str">
        <f>IF(C238&gt;0,INDEX(P_fertiliser_P_composition,MATCH(C238,P_fertilisers,0)),"")</f>
        <v/>
      </c>
      <c r="E238" s="92"/>
      <c r="F238" s="138"/>
      <c r="G238" s="137"/>
      <c r="H238" s="1"/>
      <c r="I238" s="43"/>
      <c r="J238" s="27" t="str">
        <f>IF(C238&gt;0,C238,"")</f>
        <v/>
      </c>
      <c r="K238" s="91" t="str">
        <f>IFERROR(IF(C238&gt;0,IF(ISBLANK(F238),"Insert unit",IF(ISBLANK(G238),"Insert data",(IF(F238="kg(fertiliser)/HA",G238*D238,G238)*INDEX(P_fertiliser_EF,MATCH(C238,P_fertilisers,0))/F217)/1000)),""),"")</f>
        <v/>
      </c>
      <c r="L238" s="39"/>
      <c r="M238" s="35"/>
    </row>
    <row r="239" spans="2:13" s="4" customFormat="1" outlineLevel="1" x14ac:dyDescent="0.4">
      <c r="B239" s="20"/>
      <c r="C239" s="151"/>
      <c r="D239" s="92" t="str">
        <f>IF(C239&gt;0,INDEX(P_fertiliser_P_composition,MATCH(C239,P_fertilisers,0)),"")</f>
        <v/>
      </c>
      <c r="E239" s="92"/>
      <c r="F239" s="138"/>
      <c r="G239" s="137"/>
      <c r="H239" s="1"/>
      <c r="I239" s="43"/>
      <c r="J239" s="27"/>
      <c r="K239" s="91" t="str">
        <f>IFERROR(IF(C239&gt;0,IF(ISBLANK(F239),"Insert unit",IF(ISBLANK(G239),"Insert data",(IF(F239="kg(fertiliser)/HA",G239*D239,G239)*INDEX(P_fertiliser_EF,MATCH(C239,P_fertilisers,0))/F217)/1000)),""),"")</f>
        <v/>
      </c>
      <c r="L239" s="39"/>
      <c r="M239" s="35"/>
    </row>
    <row r="240" spans="2:13" s="4" customFormat="1" outlineLevel="1" x14ac:dyDescent="0.4">
      <c r="B240" s="20"/>
      <c r="C240" s="151"/>
      <c r="D240" s="92" t="str">
        <f>IF(C240&gt;0,INDEX(P_fertiliser_P_composition,MATCH(C240,P_fertilisers,0)),"")</f>
        <v/>
      </c>
      <c r="E240" s="92"/>
      <c r="F240" s="138"/>
      <c r="G240" s="137"/>
      <c r="H240" s="1"/>
      <c r="I240" s="43"/>
      <c r="J240" s="27"/>
      <c r="K240" s="91" t="str">
        <f>IFERROR(IF(C240&gt;0,IF(ISBLANK(F240),"Insert unit",IF(ISBLANK(G240),"Insert data",(IF(F240="kg(fertiliser)/HA",G240*D240,G240)*INDEX(P_fertiliser_EF,MATCH(C240,P_fertilisers,0))/F217)/1000)),""),"")</f>
        <v/>
      </c>
      <c r="L240" s="39"/>
      <c r="M240" s="35"/>
    </row>
    <row r="241" spans="2:13" s="4" customFormat="1" outlineLevel="1" x14ac:dyDescent="0.4">
      <c r="B241" s="20"/>
      <c r="C241" s="151"/>
      <c r="D241" s="136"/>
      <c r="E241" s="136"/>
      <c r="F241" s="138"/>
      <c r="G241" s="137"/>
      <c r="H241" s="1"/>
      <c r="I241" s="43"/>
      <c r="J241" s="27"/>
      <c r="K241" s="91" t="str">
        <f>IFERROR(IF(C241&gt;0,IF(ISBLANK(F241),"Insert unit",IF(OR(ISBLANK(F241),ISBLANK(D241),ISBLANK(E241)),"Insert data",(IF(F241="kg(fertiliser)/HA",G241*D241,G241)*INDEX(P_fertiliser_EF,MATCH("p2O5 fertiliser (unspecified)",P_fertilisers,0))/F217)/1000)),""),"")</f>
        <v/>
      </c>
      <c r="L241" s="39"/>
      <c r="M241" s="35"/>
    </row>
    <row r="242" spans="2:13" s="4" customFormat="1" outlineLevel="1" x14ac:dyDescent="0.4">
      <c r="B242" s="20"/>
      <c r="C242" s="151"/>
      <c r="D242" s="136"/>
      <c r="E242" s="136"/>
      <c r="F242" s="138"/>
      <c r="G242" s="137"/>
      <c r="H242" s="1"/>
      <c r="I242" s="43"/>
      <c r="J242" s="27" t="str">
        <f>IF(C242&gt;0,C242,"")</f>
        <v/>
      </c>
      <c r="K242" s="91" t="str">
        <f>IFERROR(IF(C242&gt;0,IF(ISBLANK(F242),"Insert unit",IF(OR(ISBLANK(F242),ISBLANK(D242),ISBLANK(E242)),"Insert data",(IF(F242="kg(fertiliser)/HA",G242*D242,G242)*INDEX(P_fertiliser_EF,MATCH("p2O5 fertiliser (unspecified)",P_fertilisers,0))/F217)/1000)),""),"")</f>
        <v/>
      </c>
      <c r="L242" s="39"/>
      <c r="M242" s="35"/>
    </row>
    <row r="243" spans="2:13" s="4" customFormat="1" outlineLevel="1" x14ac:dyDescent="0.4">
      <c r="B243" s="20"/>
      <c r="C243" s="151"/>
      <c r="D243" s="136"/>
      <c r="E243" s="136"/>
      <c r="F243" s="138"/>
      <c r="G243" s="137"/>
      <c r="H243" s="1"/>
      <c r="I243" s="43"/>
      <c r="J243" s="27" t="str">
        <f>IF(C243&gt;0,C243,"")</f>
        <v/>
      </c>
      <c r="K243" s="91" t="str">
        <f>IFERROR(IF(C243&gt;0,IF(ISBLANK(F243),"Insert unit",IF(OR(ISBLANK(F243),ISBLANK(D243),ISBLANK(E243)),"Insert data",(IF(F243="kg(fertiliser)/HA",G243*D243,G243)*INDEX(P_fertiliser_EF,MATCH("p2O5 fertiliser (unspecified)",P_fertilisers,0))/F217)/1000)),""),"")</f>
        <v/>
      </c>
      <c r="L243" s="39"/>
      <c r="M243" s="35"/>
    </row>
    <row r="244" spans="2:13" s="14" customFormat="1" outlineLevel="1" x14ac:dyDescent="0.4">
      <c r="B244" s="23"/>
      <c r="C244" s="166" t="s">
        <v>146</v>
      </c>
      <c r="D244" s="166" t="s">
        <v>147</v>
      </c>
      <c r="E244" s="166" t="s">
        <v>138</v>
      </c>
      <c r="F244" s="166" t="s">
        <v>139</v>
      </c>
      <c r="G244" s="166" t="s">
        <v>140</v>
      </c>
      <c r="H244" s="24"/>
      <c r="I244" s="42"/>
      <c r="J244" s="166" t="s">
        <v>146</v>
      </c>
      <c r="K244" s="164" t="s">
        <v>141</v>
      </c>
      <c r="L244" s="37"/>
      <c r="M244" s="35"/>
    </row>
    <row r="245" spans="2:13" s="4" customFormat="1" outlineLevel="1" x14ac:dyDescent="0.4">
      <c r="B245" s="20"/>
      <c r="C245" s="617" t="str">
        <f>IF(D213="Do not use defaults", "", "K2O fertiliser (unspecified)")</f>
        <v/>
      </c>
      <c r="D245" s="618" t="str" cm="1">
        <f t="array" ref="D245">IF(D213="Do not use defaults", "",INDEX(K_fertiliser_K_composition,MATCH(C245,K_fertilisers,0)))</f>
        <v/>
      </c>
      <c r="E245" s="618" t="str" cm="1">
        <f t="array" ref="E245">IF(D213="Do not use defaults", "",INDEX(K_fertiliser_N_composition,MATCH(C245,K_fertilisers,0)))</f>
        <v/>
      </c>
      <c r="F245" s="27" t="str">
        <f>IF(D213="Do not use defaults","", "t(kg(K2O)/Ha")</f>
        <v/>
      </c>
      <c r="G245" s="619" t="str">
        <f>IF(D213="Do not use defaults", "",VLOOKUP(D213,Default_crop_data[],4,FALSE))</f>
        <v/>
      </c>
      <c r="H245" s="1"/>
      <c r="I245" s="43"/>
      <c r="J245" s="27" t="str">
        <f t="shared" ref="J245:J251" si="8">IF(C245&gt;0,C245,"")</f>
        <v/>
      </c>
      <c r="K245" s="91" t="str">
        <f>IFERROR(IF(C245&gt;0,IF(ISBLANK(F245),"Insert unit",IF(ISBLANK(G245),"Insert data",(IF(F245="kg(fertiliser)/HA",G245*D245,G245)*INDEX(K_Fertiliser_EF,MATCH(C245,K_fertilisers,0))/F217)/1000)),""),"")</f>
        <v/>
      </c>
      <c r="L245" s="39"/>
      <c r="M245" s="35"/>
    </row>
    <row r="246" spans="2:13" s="4" customFormat="1" outlineLevel="1" x14ac:dyDescent="0.4">
      <c r="B246" s="20"/>
      <c r="C246" s="151"/>
      <c r="D246" s="92" t="str">
        <f>IF(C246&gt;0,INDEX(K_fertiliser_K_composition,MATCH(C246,K_fertilisers,0)),"")</f>
        <v/>
      </c>
      <c r="E246" s="92" t="str">
        <f>IF(C246&gt;0,INDEX(K_fertiliser_N_composition,MATCH(C246,K_fertilisers,0)),"")</f>
        <v/>
      </c>
      <c r="F246" s="138"/>
      <c r="G246" s="137"/>
      <c r="H246" s="1"/>
      <c r="I246" s="43"/>
      <c r="J246" s="27" t="str">
        <f t="shared" si="8"/>
        <v/>
      </c>
      <c r="K246" s="91" t="str">
        <f>IFERROR(IF(C246&gt;0,IF(ISBLANK(F246),"Insert unit",IF(ISBLANK(G246),"Insert data",(IF(F246="kg(fertiliser)/HA",G246*D246,G246)*INDEX(K_Fertiliser_EF,MATCH(C246,K_fertilisers,0))/F217)/1000)),""),"")</f>
        <v/>
      </c>
      <c r="L246" s="39"/>
      <c r="M246" s="35"/>
    </row>
    <row r="247" spans="2:13" s="4" customFormat="1" outlineLevel="1" x14ac:dyDescent="0.4">
      <c r="B247" s="20"/>
      <c r="C247" s="151"/>
      <c r="D247" s="92" t="str">
        <f>IF(C247&gt;0,INDEX(K_fertiliser_K_composition,MATCH(C247,K_fertilisers,0)),"")</f>
        <v/>
      </c>
      <c r="E247" s="92" t="str">
        <f>IF(C247&gt;0,INDEX(K_fertiliser_N_composition,MATCH(C247,K_fertilisers,0)),"")</f>
        <v/>
      </c>
      <c r="F247" s="138"/>
      <c r="G247" s="137"/>
      <c r="H247" s="1"/>
      <c r="I247" s="43"/>
      <c r="J247" s="27" t="str">
        <f t="shared" si="8"/>
        <v/>
      </c>
      <c r="K247" s="91" t="str">
        <f>IFERROR(IF(C247&gt;0,IF(ISBLANK(F247),"Insert unit",IF(ISBLANK(G247),"Insert data",(IF(F247="kg(fertiliser)/HA",G247*D247,G247)*INDEX(K_Fertiliser_EF,MATCH(C247,K_fertilisers,0))/F217)/1000)),""),"")</f>
        <v/>
      </c>
      <c r="L247" s="39"/>
      <c r="M247" s="35"/>
    </row>
    <row r="248" spans="2:13" s="4" customFormat="1" outlineLevel="1" x14ac:dyDescent="0.4">
      <c r="B248" s="20"/>
      <c r="C248" s="151"/>
      <c r="D248" s="92"/>
      <c r="E248" s="92"/>
      <c r="F248" s="138"/>
      <c r="G248" s="137"/>
      <c r="H248" s="1"/>
      <c r="I248" s="43"/>
      <c r="J248" s="27" t="str">
        <f t="shared" si="8"/>
        <v/>
      </c>
      <c r="K248" s="91" t="str">
        <f>IFERROR(IF(C248&gt;0,IF(ISBLANK(F248),"Insert unit",IF(ISBLANK(G248),"Insert data",(IF(F248="kg(fertiliser)/HA",G248*D248,G248)*INDEX(K_Fertiliser_EF,MATCH(C248,K_fertilisers,0))/F217)/1000)),""),"")</f>
        <v/>
      </c>
      <c r="L248" s="39"/>
      <c r="M248" s="35"/>
    </row>
    <row r="249" spans="2:13" s="4" customFormat="1" outlineLevel="1" x14ac:dyDescent="0.4">
      <c r="B249" s="20"/>
      <c r="C249" s="151"/>
      <c r="D249" s="136"/>
      <c r="E249" s="136"/>
      <c r="F249" s="138"/>
      <c r="G249" s="137"/>
      <c r="H249" s="1"/>
      <c r="I249" s="43"/>
      <c r="J249" s="27" t="str">
        <f t="shared" si="8"/>
        <v/>
      </c>
      <c r="K249" s="91" t="str">
        <f>IFERROR(IF(C249&gt;0,IF(ISBLANK(F249),"Insert unit",IF(OR(ISBLANK(F249),ISBLANK(D249),ISBLANK(E249)),"Insert data",(IF(F249="kg(fertiliser)/HA",G249*D249,G249)*INDEX(K_Fertiliser_EF,MATCH("K2O fertiliser (unspecified)",K_fertilisers,0))/F217)/1000)),""),"")</f>
        <v/>
      </c>
      <c r="L249" s="39"/>
      <c r="M249" s="35"/>
    </row>
    <row r="250" spans="2:13" s="4" customFormat="1" outlineLevel="1" x14ac:dyDescent="0.4">
      <c r="B250" s="20"/>
      <c r="C250" s="151"/>
      <c r="D250" s="136"/>
      <c r="E250" s="136"/>
      <c r="F250" s="138"/>
      <c r="G250" s="137"/>
      <c r="H250" s="1"/>
      <c r="I250" s="43"/>
      <c r="J250" s="27" t="str">
        <f t="shared" si="8"/>
        <v/>
      </c>
      <c r="K250" s="91" t="str">
        <f>IFERROR(IF(C250&gt;0,IF(ISBLANK(F250),"Insert unit",IF(OR(ISBLANK(F250),ISBLANK(D250),ISBLANK(E250)),"Insert data",(IF(F250="kg(fertiliser)/HA",G250*D250,G250)*INDEX(K_Fertiliser_EF,MATCH("K2O fertiliser (unspecified)",K_fertilisers,0))/F217)/1000)),""),"")</f>
        <v/>
      </c>
      <c r="L250" s="39"/>
      <c r="M250" s="35"/>
    </row>
    <row r="251" spans="2:13" s="4" customFormat="1" outlineLevel="1" x14ac:dyDescent="0.4">
      <c r="B251" s="20"/>
      <c r="C251" s="151"/>
      <c r="D251" s="136"/>
      <c r="E251" s="136"/>
      <c r="F251" s="138"/>
      <c r="G251" s="137"/>
      <c r="H251" s="1"/>
      <c r="I251" s="43"/>
      <c r="J251" s="27" t="str">
        <f t="shared" si="8"/>
        <v/>
      </c>
      <c r="K251" s="91" t="str">
        <f>IFERROR(IF(C251&gt;0,IF(ISBLANK(F251),"Insert unit",IF(OR(ISBLANK(F251),ISBLANK(D251),ISBLANK(E251)),"Insert data",(IF(F251="kg(fertiliser)/HA",G251*D251,G251)*INDEX(K_Fertiliser_EF,MATCH("K2O fertiliser (unspecified)",K_fertilisers,0))/F217)/1000)),""),"")</f>
        <v/>
      </c>
      <c r="L251" s="39"/>
      <c r="M251" s="35"/>
    </row>
    <row r="252" spans="2:13" s="14" customFormat="1" outlineLevel="1" x14ac:dyDescent="0.4">
      <c r="B252" s="23"/>
      <c r="C252" s="166" t="s">
        <v>148</v>
      </c>
      <c r="D252" s="166" t="s">
        <v>149</v>
      </c>
      <c r="E252" s="166" t="s">
        <v>138</v>
      </c>
      <c r="F252" s="166" t="s">
        <v>139</v>
      </c>
      <c r="G252" s="166" t="s">
        <v>140</v>
      </c>
      <c r="H252" s="24"/>
      <c r="I252" s="42"/>
      <c r="J252" s="166" t="s">
        <v>148</v>
      </c>
      <c r="K252" s="164" t="s">
        <v>141</v>
      </c>
      <c r="L252" s="37"/>
      <c r="M252" s="63"/>
    </row>
    <row r="253" spans="2:13" s="4" customFormat="1" outlineLevel="1" x14ac:dyDescent="0.4">
      <c r="B253" s="20"/>
      <c r="C253" s="617" t="str">
        <f>IF(D214="Do not use defaults", "", "Lime fertiliser (CaO)")</f>
        <v>Lime fertiliser (CaO)</v>
      </c>
      <c r="D253" s="618" cm="1">
        <f t="array" ref="D253">IF(D214="Do not use defaults", "",INDEX(Other_fertiliser_nutrient_composition,MATCH(C253,Other_fertilisers,0)))</f>
        <v>1</v>
      </c>
      <c r="E253" s="618">
        <f>IF(D214="Do not use defaults", "",INDEX(Other_fertiliser_N_compostion,MATCH(C253,Other_fertilisers,0)))</f>
        <v>0</v>
      </c>
      <c r="F253" s="27" t="str">
        <f>IF(D214="Do not use defaults","", "kg(nutrient)/Ha")</f>
        <v>kg(nutrient)/Ha</v>
      </c>
      <c r="G253" s="619" t="str">
        <f>IF(D213="Do not use defaults", "",VLOOKUP(D213,Default_crop_data[],6,FALSE))</f>
        <v/>
      </c>
      <c r="H253" s="1"/>
      <c r="I253" s="43"/>
      <c r="J253" s="27" t="str">
        <f>IF(C253&gt;0,C253,"")</f>
        <v>Lime fertiliser (CaO)</v>
      </c>
      <c r="K253" s="91" t="str">
        <f>IFERROR(IF(C253&gt;0,IF(ISBLANK(F253),"Insert unit",IF(ISBLANK(G253),"Insert data",(IF(F253="kg(fertiliser)/HA",G253*D253,G253)*INDEX(Other_fertiliser_EF,MATCH(C253,Other_fertilisers,0))/F217)/1000)),""),"")</f>
        <v/>
      </c>
      <c r="L253" s="39"/>
      <c r="M253" s="35"/>
    </row>
    <row r="254" spans="2:13" s="4" customFormat="1" outlineLevel="1" x14ac:dyDescent="0.4">
      <c r="B254" s="20"/>
      <c r="C254" s="151"/>
      <c r="D254" s="92" t="str">
        <f>IF(C254&gt;0,INDEX(Other_fertiliser_nutrient_composition,MATCH(C254,Other_fertilisers,0)),"")</f>
        <v/>
      </c>
      <c r="E254" s="92" t="str">
        <f>IF(C254&gt;0,INDEX(Other_fertiliser_N_compostion,MATCH(C254,Other_fertilisers,0)),"")</f>
        <v/>
      </c>
      <c r="F254" s="138"/>
      <c r="G254" s="137"/>
      <c r="H254" s="1"/>
      <c r="I254" s="43"/>
      <c r="J254" s="27" t="str">
        <f>IF(C254&gt;0,C254,"")</f>
        <v/>
      </c>
      <c r="K254" s="91" t="str">
        <f>IFERROR(IF(C254&gt;0,IF(ISBLANK(F254),"Insert unit",IF(ISBLANK(G254),"Insert data",(IF(F254="kg(fertiliser)/HA",G254*D254,G254)*INDEX(Other_fertiliser_EF,MATCH(C254,Other_fertilisers,0))/F217)/1000)),""),"")</f>
        <v/>
      </c>
      <c r="L254" s="39"/>
      <c r="M254" s="35"/>
    </row>
    <row r="255" spans="2:13" s="4" customFormat="1" outlineLevel="1" x14ac:dyDescent="0.4">
      <c r="B255" s="20"/>
      <c r="C255" s="151"/>
      <c r="D255" s="92" t="str">
        <f>IF(C255&gt;0,INDEX(Other_fertiliser_nutrient_composition,MATCH(C255,Other_fertilisers,0)),"")</f>
        <v/>
      </c>
      <c r="E255" s="92" t="str">
        <f>IF(C255&gt;0,INDEX(Other_fertiliser_N_compostion,MATCH(C255,Other_fertilisers,0)),"")</f>
        <v/>
      </c>
      <c r="F255" s="138"/>
      <c r="G255" s="137"/>
      <c r="H255" s="1"/>
      <c r="I255" s="43"/>
      <c r="J255" s="27" t="str">
        <f>IF(C255&gt;0,C255,"")</f>
        <v/>
      </c>
      <c r="K255" s="91" t="str">
        <f>IFERROR(IF(C255&gt;0,IF(ISBLANK(F255),"Insert unit",IF(ISBLANK(G255),"Insert data",(IF(F255="kg(fertiliser)/HA",G255*D255,G255)*INDEX(Other_fertiliser_EF,MATCH(C255,Other_fertilisers,0))/F217)/1000)),""),"")</f>
        <v/>
      </c>
      <c r="L255" s="39"/>
      <c r="M255" s="35"/>
    </row>
    <row r="256" spans="2:13" s="4" customFormat="1" outlineLevel="1" x14ac:dyDescent="0.4">
      <c r="B256" s="20"/>
      <c r="C256" s="151"/>
      <c r="D256" s="92" t="str">
        <f>IF(C256&gt;0,INDEX(Other_fertiliser_nutrient_composition,MATCH(C256,Other_fertilisers,0)),"")</f>
        <v/>
      </c>
      <c r="E256" s="92" t="str">
        <f>IF(C256&gt;0,INDEX(Other_fertiliser_N_compostion,MATCH(C256,Other_fertilisers,0)),"")</f>
        <v/>
      </c>
      <c r="F256" s="138"/>
      <c r="G256" s="137"/>
      <c r="H256" s="1"/>
      <c r="I256" s="43"/>
      <c r="J256" s="27" t="str">
        <f>IF(C256&gt;0,C256,"")</f>
        <v/>
      </c>
      <c r="K256" s="91" t="str">
        <f>IFERROR(IF(C256&gt;0,IF(ISBLANK(F256),"Insert unit",IF(ISBLANK(G256),"Insert data",(IF(F256="kg(fertiliser)/HA",G256*D256,G256)*INDEX(Other_fertiliser_EF,MATCH(C256,Other_fertilisers,0))/F217)/1000)),""),"")</f>
        <v/>
      </c>
      <c r="L256" s="39"/>
      <c r="M256" s="35"/>
    </row>
    <row r="257" spans="2:13" s="4" customFormat="1" outlineLevel="1" x14ac:dyDescent="0.4">
      <c r="B257" s="20"/>
      <c r="C257" s="151"/>
      <c r="D257" s="92" t="str">
        <f>IF(C257&gt;0,INDEX(Other_fertiliser_nutrient_composition,MATCH(C257,Other_fertilisers,0)),"")</f>
        <v/>
      </c>
      <c r="E257" s="92" t="str">
        <f>IF(C257&gt;0,INDEX(Other_fertiliser_N_compostion,MATCH(C257,Other_fertilisers,0)),"")</f>
        <v/>
      </c>
      <c r="F257" s="138"/>
      <c r="G257" s="137"/>
      <c r="H257" s="1"/>
      <c r="I257" s="43"/>
      <c r="J257" s="27" t="str">
        <f>IF(C257&gt;0,C257,"")</f>
        <v/>
      </c>
      <c r="K257" s="91" t="str">
        <f>IFERROR(IF(C257&gt;0,IF(ISBLANK(F257),"Insert unit",IF(ISBLANK(G257),"Insert data",(IF(F257="kg(fertiliser)/HA",G257*D257,G257)*INDEX(Other_fertiliser_EF,MATCH(C257,Other_fertilisers,0))/F217)/1000)),""),"")</f>
        <v/>
      </c>
      <c r="L257" s="39"/>
      <c r="M257" s="35"/>
    </row>
    <row r="258" spans="2:13" s="4" customFormat="1" outlineLevel="1" x14ac:dyDescent="0.4">
      <c r="B258" s="20"/>
      <c r="C258" s="24"/>
      <c r="D258" s="21"/>
      <c r="E258" s="21"/>
      <c r="F258" s="21"/>
      <c r="G258" s="21"/>
      <c r="H258" s="21"/>
      <c r="I258" s="41"/>
      <c r="J258" s="36"/>
      <c r="K258" s="36"/>
      <c r="L258" s="37"/>
      <c r="M258" s="35"/>
    </row>
    <row r="259" spans="2:13" s="4" customFormat="1" outlineLevel="1" x14ac:dyDescent="0.4">
      <c r="B259" s="20"/>
      <c r="C259" s="185" t="s">
        <v>150</v>
      </c>
      <c r="D259" s="21"/>
      <c r="G259" s="21"/>
      <c r="H259" s="21"/>
      <c r="I259" s="41"/>
      <c r="J259" s="36"/>
      <c r="K259" s="36"/>
      <c r="L259" s="37"/>
      <c r="M259" s="35"/>
    </row>
    <row r="260" spans="2:13" s="4" customFormat="1" outlineLevel="1" x14ac:dyDescent="0.4">
      <c r="B260" s="20"/>
      <c r="C260" s="166" t="s">
        <v>151</v>
      </c>
      <c r="D260" s="164" t="s">
        <v>140</v>
      </c>
      <c r="I260" s="41"/>
      <c r="J260" s="36"/>
      <c r="K260" s="164" t="s">
        <v>141</v>
      </c>
      <c r="L260" s="37"/>
      <c r="M260" s="35"/>
    </row>
    <row r="261" spans="2:13" s="4" customFormat="1" outlineLevel="1" x14ac:dyDescent="0.4">
      <c r="B261" s="20"/>
      <c r="C261" s="152" t="s">
        <v>152</v>
      </c>
      <c r="D261" s="30" t="str">
        <f>IFERROR(SUM(IFERROR(IF(E220="kg(fertiliser)/Ha",F220*D220,F220),0),IFERROR(IF(E221="kg(fertiliser)/Ha",F221*D221,F221),0),IFERROR(IF(E222="kg(fertiliser)/Ha",F222*D222,F222),0),IFERROR(IF(E223="kg(fertiliser)/Ha",F223*D223,F223),0),IFERROR(IF(E224="kg(fertiliser)/Ha",F224*D224,F224),0),IFERROR(IF(E225="kg(fertiliser)/Ha",F225*D225,F225),0),IFERROR(IF(E226="kg(fertiliser)/Ha",F226*D226,F226),0),IFERROR(IF(E228="kg(fertiliser)/Ha",F228*D228,IF(E228="kg(nitrogen)/Ha",F228,F228*1000*D228)),0),IFERROR(IF(E229="kg(fertiliser)/Ha",F229*D229,IF(E229="kg(nitrogen)/Ha",F229,F229*1000*D229)),0),IFERROR(IF(E230="kg(fertiliser)/Ha",F230*D230,IF(E230="kg(nitrogen)/Ha",F230,F230*1000*D230)),0),IFERROR(IF(E231="kg(fertiliser)/Ha",F231*D231,IF(E231="kg(nitrogen)/Ha",F231,F231*1000*D231)),0),IFERROR(IF(E232="kg(fertiliser)/Ha",F232*D232,IF(E232="kg(nitrogen)/Ha",F232,F232*1000*D232)),0),IFERROR(IF(E233="kg(fertiliser)/Ha",F233*D233,IF(E233="kg(nitrogen)/Ha",F233,F233*1000*D233)),0),IFERROR(IF(E235="kg(fertiliser)/Ha",F235*D235,IF(E235="kg(nitrogen)/Ha",F235,F235*1000*D235)),0),IFERROR(IF(F237="kg(fertiliser)/Ha",G237*E237,G237*E237/D237),0),IFERROR(IF(F238="kg(fertiliser)/Ha",G238*E238,G238*E238/D238),0),IFERROR(IF(F239="kg(fertiliser)/Ha",G239*E239,G239*E239/D239),0),IFERROR(IF(F240="kg(fertiliser)/Ha",G240*E240,G240*E240/D240),0),IFERROR(IF(F241="kg(fertiliser)/Ha",G241*E241,G241*E241/D241),0),IFERROR(IF(F242="kg(fertiliser)/Ha",G242*E242,G242*E242/D242),0),IFERROR(IF(F243="kg(fertiliser)/Ha",G243*E243,G243*E243/D243),0),IFERROR(IF(F245="kg(fertiliser)/Ha",G245*E245,G245*E245/D245),0),IFERROR(IF(F246="kg(fertiliser)/Ha",G246*E246,G246*E246/D246),0),IFERROR(IF(F247="kg(fertiliser)/Ha",G247*E247,G247*E247/D247),0),IFERROR(IF(F248="kg(fertiliser)/Ha",G248*E248,G248*E248/D248),0),IFERROR(IF(F249="kg(fertiliser)/Ha",G249*E249,G249*E249/D249),0),IFERROR(IF(F250="kg(fertiliser)/Ha",G250*E250,G250*E250/D250),0),IFERROR(IF(F251="kg(fertiliser)/Ha",G251*E251,G251*E251/D251),0),IFERROR(IF(F253="kg(fertiliser)/Ha",G253*E253,G253*E253/D253),0),IFERROR(IF(F254="kg(fertiliser)/Ha",G254*E254,G254*E254/D254),0),IFERROR(IF(F255="kg(fertiliser)/Ha",G255*E255,G255*E255/D255),0),IFERROR(IF(F256="kg(fertiliser)/Ha",G256*E256,G256*E256/D256),0),IFERROR(IF(F257="kg(fertiliser)/Ha",G257*E257,G257*E257/D257),0)), "")</f>
        <v/>
      </c>
      <c r="E261" s="1"/>
      <c r="I261" s="43"/>
      <c r="J261" s="164" t="s">
        <v>153</v>
      </c>
      <c r="K261" s="52" t="str">
        <f>IFERROR(SUM(IFERROR(IF(E220="kg(fertiliser)/Ha",F220*D220,F220)*INDEX(Soil_EFs,MATCH("Inorganic",Soil_EFs_N_type,0)),0),IFERROR(IF(E221="kg(fertiliser)/Ha",F221*D221,F221)*INDEX(Soil_EFs,MATCH("Inorganic",Soil_EFs_N_type,0)),0),IFERROR(IF(E222="kg(fertiliser)/Ha",F222*D222,F222)*INDEX(Soil_EFs,MATCH("Inorganic",Soil_EFs_N_type,0)),0),IFERROR(IF(E223="kg(fertiliser)/Ha",F223*D223,F223)*INDEX(Soil_EFs,MATCH("Inorganic",Soil_EFs_N_type,0)),0),IFERROR(IF(E224="kg(fertiliser)/Ha",F224*D224,F224)*INDEX(Soil_EFs,MATCH("Inorganic",Soil_EFs_N_type,0)),0),IFERROR(IF(E225="kg(fertiliser)/Ha",F225*D225,F225)*INDEX(Soil_EFs,MATCH("Inorganic",Soil_EFs_N_type,0)),0),IFERROR(IF(E226="kg(fertiliser)/Ha",F226*D226,F226)*INDEX(Soil_EFs,MATCH("Inorganic",Soil_EFs_N_type,0)),0),IFERROR(IF(E228="kg(fertiliser)/HA",F228*D228,IF(E228="t(fertiliser)/Ha",F228*1000*D228,F228))*INDEX(Soil_EFs,MATCH("organic",Soil_EFs_N_type,0)),0),IFERROR(IF(E229="kg(fertiliser)/HA",F229*D229,IF(E229="t(fertiliser)/Ha",F229*1000*D229,F229))*INDEX(Soil_EFs,MATCH("organic",Soil_EFs_N_type,0)),0),IFERROR(IF(E230="kg(fertiliser)/HA",F230*D230,IF(E230="t(fertiliser)/Ha",F230*1000*D230,F230))*INDEX(Soil_EFs,MATCH("organic",Soil_EFs_N_type,0)),0),IFERROR(IF(E231="kg(fertiliser)/HA",F231*D231,IF(E231="t(fertiliser)/Ha",F231*1000*D231,F231))*INDEX(Soil_EFs,MATCH("organic",Soil_EFs_N_type,0)),0),IFERROR(IF(E232="kg(fertiliser)/HA",F232*D232,IF(E232="t(fertiliser)/Ha",F232*1000*D232,F232))*INDEX(Soil_EFs,MATCH("organic",Soil_EFs_N_type,0)),0),IFERROR(IF(E233="kg(fertiliser)/HA",F233*D233,IF(E233="t(fertiliser)/Ha",F233*1000*D233,F233))*INDEX(Soil_EFs,MATCH("organic",Soil_EFs_N_type,0)),0),IFERROR(IF(E235="kg(fertiliser)/HA",F235*D235,IF(E235="t(fertiliser)/Ha",F235*1000*D235,F235))*'Reference values'!$D$348,0),IFERROR(IF(F237="kg(fertiliser)/Ha",G237*E237,G237*E237/D237)*INDEX(Soil_EFs,MATCH("Inorganic",Soil_EFs_N_type,0)),0),IFERROR(IF(F238="kg(fertiliser)/Ha",G238*E238,G238*E238/D238)*INDEX(Soil_EFs,MATCH("Inorganic",Soil_EFs_N_type,0)),0),IFERROR(IF(F239="kg(fertiliser)/Ha",G239*E239,G239*E239/D239)*INDEX(Soil_EFs,MATCH("Inorganic",Soil_EFs_N_type,0)),0),IFERROR(IF(F240="kg(fertiliser)/Ha",G240*E240,G240*E240/D240)*INDEX(Soil_EFs,MATCH("Inorganic",Soil_EFs_N_type,0)),0),IFERROR(IF(F241="kg(fertiliser)/Ha",G241*E241,G241*E241/D241)*INDEX(Soil_EFs,MATCH("Inorganic",Soil_EFs_N_type,0)),0),IFERROR(IF(F242="kg(fertiliser)/Ha",G242*E242,G242*E242/D242)*INDEX(Soil_EFs,MATCH("Inorganic",Soil_EFs_N_type,0)),0),IFERROR(IF(F243="kg(fertiliser)/Ha",G243*E243,G243*E243/D243)*INDEX(Soil_EFs,MATCH("Inorganic",Soil_EFs_N_type,0)),0),IFERROR(IF(F245="kg(fertiliser)/Ha",G245*E245,G245*E245/D245)*INDEX(Soil_EFs,MATCH("Inorganic",Soil_EFs_N_type,0)),0),IFERROR(IF(F246="kg(fertiliser)/Ha",G246*E246,G246*E246/D246)*INDEX(Soil_EFs,MATCH("Inorganic",Soil_EFs_N_type,0)),0),IFERROR(IF(F247="kg(fertiliser)/Ha",G247*E247,G247*E247/D247)*INDEX(Soil_EFs,MATCH("Inorganic",Soil_EFs_N_type,0)),0),IFERROR(IF(F248="kg(fertiliser)/Ha",G248*E248,G248*E248/D248)*INDEX(Soil_EFs,MATCH("Inorganic",Soil_EFs_N_type,0)),0),IFERROR(IF(F249="kg(fertiliser)/Ha",G249*E249,G249*E249/D249)*INDEX(Soil_EFs,MATCH("Inorganic",Soil_EFs_N_type,0)),0),IFERROR(IF(F250="kg(fertiliser)/Ha",G250*E250,G250*E250/D250)*INDEX(Soil_EFs,MATCH("Inorganic",Soil_EFs_N_type,0)),0),IFERROR(IF(F251="kg(fertiliser)/Ha",G251*E251,G251*E251/D251)*INDEX(Soil_EFs,MATCH("Inorganic",Soil_EFs_N_type,0)),0),IFERROR(IF(F253="kg(fertiliser)/Ha",G253*E253,G253*E253/D253)*INDEX(Soil_EFs,MATCH("Inorganic",Soil_EFs_N_type,0)),0),IFERROR(IF(F254="kg(fertiliser)/Ha",G254*E254,G254*E254/D254)*INDEX(Soil_EFs,MATCH("Inorganic",Soil_EFs_N_type,0)),0),IFERROR(IF(F255="kg(fertiliser)/Ha",G255*E255,G255*E255/D255)*INDEX(Soil_EFs,MATCH("Inorganic",Soil_EFs_N_type,0)),0),IFERROR(IF(F256="kg(fertiliser)/Ha",G256*E256,G256*E256/D256)*INDEX(Soil_EFs,MATCH("Inorganic",Soil_EFs_N_type,0)),0),IFERROR(IF(F257="kg(fertiliser)/Ha",G257*E257,G257*E257/D257)*INDEX(Soil_EFs,MATCH),0))/F217,"")</f>
        <v/>
      </c>
      <c r="L261" s="38"/>
      <c r="M261" s="35"/>
    </row>
    <row r="262" spans="2:13" s="4" customFormat="1" ht="14.25" customHeight="1" outlineLevel="1" x14ac:dyDescent="0.4">
      <c r="B262" s="20"/>
      <c r="C262" s="24"/>
      <c r="D262" s="21"/>
      <c r="E262" s="21"/>
      <c r="F262" s="21"/>
      <c r="G262" s="21"/>
      <c r="H262" s="21"/>
      <c r="I262" s="41"/>
      <c r="J262" s="36"/>
      <c r="K262" s="36"/>
      <c r="L262" s="37"/>
      <c r="M262" s="35"/>
    </row>
    <row r="263" spans="2:13" s="4" customFormat="1" outlineLevel="1" x14ac:dyDescent="0.4">
      <c r="B263" s="20"/>
      <c r="C263" s="150" t="s">
        <v>154</v>
      </c>
      <c r="D263" s="21"/>
      <c r="E263" s="21"/>
      <c r="F263" s="21"/>
      <c r="G263" s="21"/>
      <c r="H263" s="21"/>
      <c r="I263" s="41"/>
      <c r="J263" s="36"/>
      <c r="K263" s="36"/>
      <c r="L263" s="37"/>
      <c r="M263" s="35"/>
    </row>
    <row r="264" spans="2:13" s="14" customFormat="1" ht="30.6" outlineLevel="1" x14ac:dyDescent="0.4">
      <c r="B264" s="23"/>
      <c r="C264" s="166" t="s">
        <v>155</v>
      </c>
      <c r="D264" s="166" t="s">
        <v>156</v>
      </c>
      <c r="E264" s="166" t="s">
        <v>139</v>
      </c>
      <c r="F264" s="166" t="s">
        <v>140</v>
      </c>
      <c r="G264" s="24"/>
      <c r="H264" s="24"/>
      <c r="I264" s="42"/>
      <c r="J264" s="166" t="s">
        <v>155</v>
      </c>
      <c r="K264" s="164" t="s">
        <v>141</v>
      </c>
      <c r="L264" s="37"/>
      <c r="M264" s="63"/>
    </row>
    <row r="265" spans="2:13" s="4" customFormat="1" outlineLevel="1" x14ac:dyDescent="0.4">
      <c r="B265" s="20"/>
      <c r="C265" s="617" t="str">
        <f>IF(D213="Do not use defaults", "", "Pesticides")</f>
        <v/>
      </c>
      <c r="D265" s="620" t="str">
        <f>IF(C265="Pesticides", 100%, "")</f>
        <v/>
      </c>
      <c r="E265" s="27" t="str">
        <f>IF(C265="Pesticides", "kg(active ingredient)/Ha", "")</f>
        <v/>
      </c>
      <c r="F265" s="27" t="str">
        <f>IF(D213="Do not use defaults","",VLOOKUP(D213,Default_crop_data[],7,FALSE))</f>
        <v/>
      </c>
      <c r="G265" s="1"/>
      <c r="H265" s="1"/>
      <c r="I265" s="43"/>
      <c r="J265" s="27" t="str">
        <f>IF(C265&gt;0,C265,"")</f>
        <v/>
      </c>
      <c r="K265" s="91" t="str">
        <f>IFERROR(IF(C265&gt;0,IF(ISBLANK(E265),"Insert unit",IF(OR(ISBLANK(F265),AND(ISBLANK(D265),E265="kg(pesticide)/Ha")),"Insert data",(IF(E265="kg(pesticide)/HA",F265*D265,F265)*INDEX(Pesticide_EF,MATCH("Pesticide (any)",Pesticides,0))/F217)/1000)),""),"")</f>
        <v/>
      </c>
      <c r="L265" s="39"/>
      <c r="M265" s="35"/>
    </row>
    <row r="266" spans="2:13" s="4" customFormat="1" outlineLevel="1" x14ac:dyDescent="0.4">
      <c r="B266" s="20"/>
      <c r="C266" s="151"/>
      <c r="D266" s="139"/>
      <c r="E266" s="138"/>
      <c r="F266" s="134"/>
      <c r="G266" s="1"/>
      <c r="H266" s="1"/>
      <c r="I266" s="43"/>
      <c r="J266" s="27" t="str">
        <f>IF(C266&gt;0,C266,"")</f>
        <v/>
      </c>
      <c r="K266" s="91" t="str">
        <f>IFERROR(IF(C266&gt;0,IF(ISBLANK(G266),"Insert data",(IF(F266="kg(fertiliser)/HA",G266*D266,G266)*INDEX(Other_fertiliser_EF,MATCH(C266,Other_fertilisers,0))/F217)/1000),""),"")</f>
        <v/>
      </c>
      <c r="L266" s="39"/>
      <c r="M266" s="35"/>
    </row>
    <row r="267" spans="2:13" s="4" customFormat="1" outlineLevel="1" x14ac:dyDescent="0.4">
      <c r="B267" s="20"/>
      <c r="C267" s="151"/>
      <c r="D267" s="139"/>
      <c r="E267" s="138"/>
      <c r="F267" s="134"/>
      <c r="G267" s="1"/>
      <c r="H267" s="1"/>
      <c r="I267" s="43"/>
      <c r="J267" s="27" t="str">
        <f>IF(C267&gt;0,C267,"")</f>
        <v/>
      </c>
      <c r="K267" s="91" t="str">
        <f>IFERROR(IF(C267&gt;0,IF(ISBLANK(G267),"Insert data",(IF(F267="kg(fertiliser)/HA",G267*D267,G267)*INDEX(Other_fertiliser_EF,MATCH(C267,Other_fertilisers,0))/F217)/1000),""),"")</f>
        <v/>
      </c>
      <c r="L267" s="39"/>
      <c r="M267" s="35"/>
    </row>
    <row r="268" spans="2:13" s="4" customFormat="1" outlineLevel="1" x14ac:dyDescent="0.4">
      <c r="B268" s="20"/>
      <c r="C268" s="151"/>
      <c r="D268" s="139"/>
      <c r="E268" s="138"/>
      <c r="F268" s="134"/>
      <c r="G268" s="1"/>
      <c r="H268" s="1"/>
      <c r="I268" s="43"/>
      <c r="J268" s="27" t="str">
        <f>IF(C268&gt;0,C268,"")</f>
        <v/>
      </c>
      <c r="K268" s="91" t="str">
        <f>IFERROR(IF(C268&gt;0,IF(ISBLANK(G268),"Insert data",(IF(F268="kg(fertiliser)/HA",G268*D268,G268)*INDEX(Other_fertiliser_EF,MATCH(C268,Other_fertilisers,0))/F217)/1000),""),"")</f>
        <v/>
      </c>
      <c r="L268" s="39"/>
      <c r="M268" s="35"/>
    </row>
    <row r="269" spans="2:13" s="4" customFormat="1" outlineLevel="1" x14ac:dyDescent="0.4">
      <c r="B269" s="20"/>
      <c r="C269" s="151"/>
      <c r="D269" s="139"/>
      <c r="E269" s="138"/>
      <c r="F269" s="134"/>
      <c r="G269" s="1"/>
      <c r="H269" s="1"/>
      <c r="I269" s="43"/>
      <c r="J269" s="27" t="str">
        <f>IF(C269&gt;0,C269,"")</f>
        <v/>
      </c>
      <c r="K269" s="91" t="str">
        <f>IFERROR(IF(C269&gt;0,IF(ISBLANK(G269),"Insert data",(IF(F269="kg(fertiliser)/HA",G269*D269,G269)*INDEX(Other_fertiliser_EF,MATCH(C269,Other_fertilisers,0))/F217)/1000),""),"")</f>
        <v/>
      </c>
      <c r="L269" s="39"/>
      <c r="M269" s="35"/>
    </row>
    <row r="270" spans="2:13" s="4" customFormat="1" outlineLevel="1" x14ac:dyDescent="0.4">
      <c r="B270" s="20"/>
      <c r="C270" s="24"/>
      <c r="D270" s="21"/>
      <c r="E270" s="21"/>
      <c r="F270" s="21"/>
      <c r="G270" s="21"/>
      <c r="H270" s="21"/>
      <c r="I270" s="41"/>
      <c r="J270" s="36"/>
      <c r="K270" s="36"/>
      <c r="L270" s="37"/>
      <c r="M270" s="35"/>
    </row>
    <row r="271" spans="2:13" s="4" customFormat="1" outlineLevel="1" x14ac:dyDescent="0.4">
      <c r="B271" s="20"/>
      <c r="C271" s="150" t="s">
        <v>157</v>
      </c>
      <c r="D271" s="21"/>
      <c r="E271" s="21"/>
      <c r="F271" s="21"/>
      <c r="G271" s="21"/>
      <c r="H271" s="21"/>
      <c r="I271" s="41"/>
      <c r="J271" s="36"/>
      <c r="K271" s="36"/>
      <c r="L271" s="37"/>
      <c r="M271" s="35"/>
    </row>
    <row r="272" spans="2:13" s="4" customFormat="1" outlineLevel="1" x14ac:dyDescent="0.4">
      <c r="B272" s="20"/>
      <c r="C272" s="167" t="s">
        <v>158</v>
      </c>
      <c r="D272" s="168" t="s">
        <v>151</v>
      </c>
      <c r="E272" s="168" t="s">
        <v>140</v>
      </c>
      <c r="F272" s="21"/>
      <c r="G272" s="21"/>
      <c r="H272" s="21"/>
      <c r="I272" s="41"/>
      <c r="J272" s="164" t="s">
        <v>158</v>
      </c>
      <c r="K272" s="164" t="s">
        <v>141</v>
      </c>
      <c r="L272" s="37"/>
      <c r="M272" s="35"/>
    </row>
    <row r="273" spans="2:13" s="4" customFormat="1" outlineLevel="1" x14ac:dyDescent="0.4">
      <c r="B273" s="20"/>
      <c r="C273" s="617" t="str">
        <f>IF(D213="Silage grass", "Grass", IF(D213="Do not use defaults", "", D213))</f>
        <v/>
      </c>
      <c r="D273" s="27" t="str">
        <f>IF(C273=D213, "kg/Ha", "")</f>
        <v/>
      </c>
      <c r="E273" s="30" t="str">
        <f>IF(D213="Do not use defaults", "",VLOOKUP(D213,Default_crop_data[],8,FALSE))</f>
        <v/>
      </c>
      <c r="F273" s="1"/>
      <c r="G273" s="1"/>
      <c r="H273" s="1"/>
      <c r="I273" s="43"/>
      <c r="J273" s="27" t="str">
        <f>IF(C273&gt;0,C273,"")</f>
        <v/>
      </c>
      <c r="K273" s="52" t="str">
        <f>IF(C273&gt;0,IFERROR(E273*INDEX(Seed_EF,MATCH(C273,Seeds,0))/F217/1000,""),"")</f>
        <v/>
      </c>
      <c r="L273" s="38"/>
      <c r="M273" s="35"/>
    </row>
    <row r="274" spans="2:13" s="4" customFormat="1" outlineLevel="1" x14ac:dyDescent="0.4">
      <c r="B274" s="20"/>
      <c r="C274" s="153"/>
      <c r="D274" s="138"/>
      <c r="E274" s="140"/>
      <c r="F274" s="1"/>
      <c r="G274" s="1"/>
      <c r="H274" s="1"/>
      <c r="I274" s="43"/>
      <c r="J274" s="27" t="str">
        <f>IF(C274&gt;0,C274,"")</f>
        <v/>
      </c>
      <c r="K274" s="52" t="str">
        <f>IF(C274&gt;0,IFERROR(E274*INDEX(Seed_EF,MATCH(C274,Seeds,0))/F218/1000,""),"")</f>
        <v/>
      </c>
      <c r="L274" s="38"/>
      <c r="M274" s="35"/>
    </row>
    <row r="275" spans="2:13" s="4" customFormat="1" outlineLevel="1" x14ac:dyDescent="0.4">
      <c r="B275" s="20"/>
      <c r="C275" s="24"/>
      <c r="D275" s="21"/>
      <c r="E275" s="21"/>
      <c r="F275" s="21"/>
      <c r="G275" s="21"/>
      <c r="H275" s="21"/>
      <c r="I275" s="41"/>
      <c r="J275" s="36"/>
      <c r="K275" s="36"/>
      <c r="L275" s="37"/>
      <c r="M275" s="35"/>
    </row>
    <row r="276" spans="2:13" s="12" customFormat="1" ht="15" customHeight="1" outlineLevel="1" x14ac:dyDescent="0.35">
      <c r="B276" s="20"/>
      <c r="C276" s="25" t="s">
        <v>159</v>
      </c>
      <c r="D276" s="1"/>
      <c r="E276" s="1"/>
      <c r="F276" s="1"/>
      <c r="G276" s="1"/>
      <c r="H276" s="1"/>
      <c r="I276" s="43"/>
      <c r="J276" s="34"/>
      <c r="K276" s="34"/>
      <c r="L276" s="44"/>
      <c r="M276" s="54"/>
    </row>
    <row r="277" spans="2:13" s="12" customFormat="1" ht="15" customHeight="1" outlineLevel="1" x14ac:dyDescent="0.35">
      <c r="B277" s="20"/>
      <c r="C277" s="166" t="s">
        <v>160</v>
      </c>
      <c r="D277" s="164" t="s">
        <v>151</v>
      </c>
      <c r="E277" s="164" t="s">
        <v>140</v>
      </c>
      <c r="F277" s="1"/>
      <c r="G277" s="1"/>
      <c r="H277" s="1"/>
      <c r="I277" s="43"/>
      <c r="J277" s="164" t="s">
        <v>160</v>
      </c>
      <c r="K277" s="164" t="s">
        <v>141</v>
      </c>
      <c r="L277" s="37"/>
      <c r="M277" s="54"/>
    </row>
    <row r="278" spans="2:13" s="12" customFormat="1" ht="15" customHeight="1" outlineLevel="1" x14ac:dyDescent="0.35">
      <c r="B278" s="20"/>
      <c r="C278" s="621" t="str">
        <f>IF(D213="Do not use defaults", "", "Diesel")</f>
        <v/>
      </c>
      <c r="D278" s="74" t="str">
        <f>IF(D213="Do not use defaults", "", "litres/Ha")</f>
        <v/>
      </c>
      <c r="E278" s="622" t="str">
        <f>IF(D213="Do not use defaults", "",VLOOKUP(D213,Default_crop_data[],9,FALSE))</f>
        <v/>
      </c>
      <c r="F278" s="1"/>
      <c r="G278" s="26"/>
      <c r="H278" s="1"/>
      <c r="I278" s="43"/>
      <c r="J278" s="27" t="str">
        <f>IF(C278&gt;0,C278,"")</f>
        <v/>
      </c>
      <c r="K278" s="52" t="str">
        <f>IF(D213="Do not use defaults", "", IFERROR(IF(C278&gt;0,IF(ISBLANK(E278),"Insert data",IF(D278="litres/Ha",E278*INDEX(Fuel_Densities,MATCH(C278,Fuels_for_Densities,0))/1000*INDEX(Fuel_LHV,MATCH(C278,Fuels_for_LHV,0))/F217/1000*INDEX(Fuel_EFs,MATCH(C278,Fuels_for_EF,0)),IF(D278="kg/Ha",E278*INDEX(Fuel_LHV,MATCH(C278,Fuels_for_LHV,0))/F217/1000*INDEX(Fuel_EFs,MATCH(C278,Fuels_for_EF,0)),IF(D278="tonnes/Ha",E278*INDEX(Fuel_LHV,MATCH(C278,Fuels_for_LHV,0))/F217*INDEX(Fuel_EFs,MATCH(C278,Fuels_for_EF,0)),"Insert unit")))),""),""))</f>
        <v/>
      </c>
      <c r="L278" s="40"/>
      <c r="M278" s="54"/>
    </row>
    <row r="279" spans="2:13" s="12" customFormat="1" ht="15" customHeight="1" outlineLevel="1" x14ac:dyDescent="0.35">
      <c r="B279" s="20"/>
      <c r="C279" s="621" t="str">
        <f>IF(D213="Do not use defaults", "", "Diesel")</f>
        <v/>
      </c>
      <c r="D279" s="74" t="str">
        <f>IF(D213="Do not use defaults", "", "litres/Ha")</f>
        <v/>
      </c>
      <c r="E279" s="622" t="str">
        <f>IF(D213="Do not use defaults", "",VLOOKUP(D213,Default_crop_data[],10,FALSE))</f>
        <v/>
      </c>
      <c r="F279" s="1"/>
      <c r="G279" s="1"/>
      <c r="H279" s="1"/>
      <c r="I279" s="43"/>
      <c r="J279" s="27" t="str">
        <f>IF(C279&gt;0,C279,"")</f>
        <v/>
      </c>
      <c r="K279" s="52" t="str">
        <f>IF(D213="Do not use defaults", "", IFERROR(IF(C279&gt;0,IF(ISBLANK(E279),"Insert data",IF(D279="litres/Ha",E279*INDEX(Fuel_Densities,MATCH(C279,Fuels_for_Densities,0))/1000*INDEX(Fuel_LHV,MATCH(C279,Fuels_for_LHV,0))/F217/1000*INDEX(Fuel_EFs,MATCH(C279,Fuels_for_EF,0)),IF(D279="kg/Ha",E279*INDEX(Fuel_LHV,MATCH(C279,Fuels_for_LHV,0))/F217/1000*INDEX(Fuel_EFs,MATCH(C279,Fuels_for_EF,0)),IF(D279="tonnes/Ha",E279*INDEX(Fuel_LHV,MATCH(C279,Fuels_for_LHV,0))/F217*INDEX(Fuel_EFs,MATCH(C279,Fuels_for_EF,0)),"Insert unit")))),""),""))</f>
        <v/>
      </c>
      <c r="L279" s="40"/>
      <c r="M279" s="54"/>
    </row>
    <row r="280" spans="2:13" s="12" customFormat="1" ht="15" customHeight="1" outlineLevel="1" x14ac:dyDescent="0.35">
      <c r="B280" s="20"/>
      <c r="C280" s="154"/>
      <c r="D280" s="141"/>
      <c r="E280" s="142"/>
      <c r="F280" s="1"/>
      <c r="G280" s="1"/>
      <c r="H280" s="1"/>
      <c r="I280" s="43"/>
      <c r="J280" s="27" t="str">
        <f>IF(C280&gt;0,C280,"")</f>
        <v/>
      </c>
      <c r="K280" s="52" t="str">
        <f>IFERROR(IF(C280&gt;0,IF(ISBLANK(E280),"Insert data",IF(D280="litres/Ha",E280*INDEX(Fuel_Densities,MATCH(C280,Fuels_for_Densities,0))/1000*INDEX(Fuel_LHV,MATCH(C280,Fuels_for_LHV,0))/F217/1000*INDEX(Fuel_EFs,MATCH(C280,Fuels_for_EF,0)),IF(D280="kg/Ha",E280*INDEX(Fuel_LHV,MATCH(C280,Fuels_for_LHV,0))/F217/1000*INDEX(Fuel_EFs,MATCH(C280,Fuels_for_EF,0)),IF(D280="tonnes/Ha",E280*INDEX(Fuel_LHV,MATCH(C280,Fuels_for_LHV,0))/F217*INDEX(Fuel_EFs,MATCH(C280,Fuels_for_EF,0)),"Insert unit")))),""),"")</f>
        <v/>
      </c>
      <c r="L280" s="40"/>
      <c r="M280" s="54"/>
    </row>
    <row r="281" spans="2:13" s="12" customFormat="1" ht="15" customHeight="1" outlineLevel="1" x14ac:dyDescent="0.35">
      <c r="B281" s="20"/>
      <c r="C281" s="154"/>
      <c r="D281" s="141"/>
      <c r="E281" s="142"/>
      <c r="F281" s="1"/>
      <c r="G281" s="1"/>
      <c r="H281" s="1"/>
      <c r="I281" s="43"/>
      <c r="J281" s="27" t="str">
        <f>IF(C281&gt;0,C281,"")</f>
        <v/>
      </c>
      <c r="K281" s="52" t="str">
        <f>IFERROR(IF(C281&gt;0,IF(ISBLANK(E281),"Insert data",IF(D281="litres/Ha",E281*INDEX(Fuel_Densities,MATCH(C281,Fuels_for_Densities,0))/1000*INDEX(Fuel_LHV,MATCH(C281,Fuels_for_LHV,0))/F217/1000*INDEX(Fuel_EFs,MATCH(C281,Fuels_for_EF,0)),IF(D281="kg/Ha",E281*INDEX(Fuel_LHV,MATCH(C281,Fuels_for_LHV,0))/F217/1000*INDEX(Fuel_EFs,MATCH(C281,Fuels_for_EF,0)),IF(D281="tonnes/Ha",E281*INDEX(Fuel_LHV,MATCH(C281,Fuels_for_LHV,0))/F217*INDEX(Fuel_EFs,MATCH(C281,Fuels_for_EF,0)),"Insert unit")))),""),"")</f>
        <v/>
      </c>
      <c r="L281" s="40"/>
      <c r="M281" s="54"/>
    </row>
    <row r="282" spans="2:13" s="4" customFormat="1" ht="13.5" customHeight="1" outlineLevel="1" x14ac:dyDescent="0.4">
      <c r="B282" s="20"/>
      <c r="C282" s="24"/>
      <c r="D282" s="21"/>
      <c r="E282" s="21"/>
      <c r="F282" s="21"/>
      <c r="G282" s="21"/>
      <c r="H282" s="21"/>
      <c r="I282" s="46"/>
      <c r="J282" s="58"/>
      <c r="K282" s="58"/>
      <c r="L282" s="59"/>
      <c r="M282" s="35"/>
    </row>
    <row r="283" spans="2:13" s="4" customFormat="1" ht="13.5" customHeight="1" outlineLevel="1" x14ac:dyDescent="0.4">
      <c r="B283" s="20"/>
      <c r="C283" s="661" t="s">
        <v>120</v>
      </c>
      <c r="D283" s="21"/>
      <c r="E283" s="21"/>
      <c r="F283" s="21"/>
      <c r="G283" s="21"/>
      <c r="H283" s="21"/>
      <c r="I283" s="21"/>
      <c r="J283" s="21"/>
      <c r="K283" s="21"/>
      <c r="L283" s="21"/>
      <c r="M283" s="35"/>
    </row>
    <row r="284" spans="2:13" s="4" customFormat="1" ht="13.5" customHeight="1" outlineLevel="1" x14ac:dyDescent="0.4">
      <c r="B284" s="20"/>
      <c r="C284" s="166" t="s">
        <v>161</v>
      </c>
      <c r="D284" s="622">
        <f xml:space="preserve"> IFERROR(( Feedstocks!D13 * (Feedstocks!E13/ IF(Feedstocks!I13="Default",  Feedstocks!J13, Feedstocks!K13)) /('Transport 1'!F119 * 'Feedstock conversion'!F117 * 'Transport 2'!F119)) /F217, 0)</f>
        <v>0</v>
      </c>
      <c r="E284" s="21"/>
      <c r="F284" s="21"/>
      <c r="G284" s="21"/>
      <c r="H284" s="21"/>
      <c r="I284" s="21"/>
      <c r="J284" s="21"/>
      <c r="K284" s="21"/>
      <c r="L284" s="21"/>
      <c r="M284" s="35"/>
    </row>
    <row r="285" spans="2:13" s="4" customFormat="1" ht="13.5" customHeight="1" outlineLevel="1" x14ac:dyDescent="0.4">
      <c r="B285" s="28"/>
      <c r="C285" s="155"/>
      <c r="D285" s="29"/>
      <c r="E285" s="29"/>
      <c r="F285" s="29"/>
      <c r="G285" s="29"/>
      <c r="H285" s="29"/>
      <c r="I285" s="29"/>
      <c r="J285" s="29"/>
      <c r="K285" s="29"/>
      <c r="L285" s="29"/>
      <c r="M285" s="60"/>
    </row>
    <row r="286" spans="2:13" s="4" customFormat="1" x14ac:dyDescent="0.4">
      <c r="C286" s="14"/>
    </row>
    <row r="287" spans="2:13" s="4" customFormat="1" hidden="1" x14ac:dyDescent="0.4">
      <c r="C287" s="14"/>
    </row>
    <row r="288" spans="2:13" s="4" customFormat="1" hidden="1" x14ac:dyDescent="0.4">
      <c r="C288" s="14"/>
    </row>
    <row r="289" spans="3:3" s="4" customFormat="1" hidden="1" x14ac:dyDescent="0.4">
      <c r="C289" s="14"/>
    </row>
    <row r="290" spans="3:3" s="4" customFormat="1" hidden="1" x14ac:dyDescent="0.4">
      <c r="C290" s="14"/>
    </row>
    <row r="291" spans="3:3" s="4" customFormat="1" hidden="1" x14ac:dyDescent="0.4">
      <c r="C291" s="14"/>
    </row>
    <row r="292" spans="3:3" s="4" customFormat="1" hidden="1" x14ac:dyDescent="0.4">
      <c r="C292" s="14"/>
    </row>
    <row r="293" spans="3:3" s="4" customFormat="1" hidden="1" x14ac:dyDescent="0.4">
      <c r="C293" s="14"/>
    </row>
    <row r="294" spans="3:3" s="4" customFormat="1" hidden="1" x14ac:dyDescent="0.4">
      <c r="C294" s="14"/>
    </row>
    <row r="295" spans="3:3" s="4" customFormat="1" hidden="1" x14ac:dyDescent="0.4">
      <c r="C295" s="14"/>
    </row>
    <row r="296" spans="3:3" s="4" customFormat="1" hidden="1" x14ac:dyDescent="0.4">
      <c r="C296" s="14"/>
    </row>
    <row r="297" spans="3:3" s="4" customFormat="1" hidden="1" x14ac:dyDescent="0.4">
      <c r="C297" s="14"/>
    </row>
    <row r="298" spans="3:3" s="4" customFormat="1" hidden="1" x14ac:dyDescent="0.4">
      <c r="C298" s="14"/>
    </row>
    <row r="299" spans="3:3" s="4" customFormat="1" hidden="1" x14ac:dyDescent="0.4">
      <c r="C299" s="14"/>
    </row>
    <row r="300" spans="3:3" s="4" customFormat="1" hidden="1" x14ac:dyDescent="0.4">
      <c r="C300" s="14"/>
    </row>
    <row r="301" spans="3:3" s="4" customFormat="1" hidden="1" x14ac:dyDescent="0.4">
      <c r="C301" s="14"/>
    </row>
    <row r="302" spans="3:3" s="4" customFormat="1" hidden="1" x14ac:dyDescent="0.4">
      <c r="C302" s="14"/>
    </row>
    <row r="303" spans="3:3" s="4" customFormat="1" hidden="1" x14ac:dyDescent="0.4">
      <c r="C303" s="14"/>
    </row>
    <row r="304" spans="3:3" s="4" customFormat="1" hidden="1" x14ac:dyDescent="0.4">
      <c r="C304" s="14"/>
    </row>
    <row r="305" spans="2:13" s="4" customFormat="1" hidden="1" x14ac:dyDescent="0.4">
      <c r="C305" s="14"/>
    </row>
    <row r="306" spans="2:13" s="4" customFormat="1" hidden="1" x14ac:dyDescent="0.4">
      <c r="C306" s="14"/>
    </row>
    <row r="307" spans="2:13" s="4" customFormat="1" hidden="1" x14ac:dyDescent="0.4">
      <c r="C307" s="14"/>
    </row>
    <row r="308" spans="2:13" s="4" customFormat="1" ht="19.2" x14ac:dyDescent="0.45">
      <c r="B308" s="754" t="str">
        <f>"Cultivation &amp; Harvesting"&amp;" - "&amp;Feedstocks!C14</f>
        <v xml:space="preserve">Cultivation &amp; Harvesting - </v>
      </c>
      <c r="C308" s="755"/>
      <c r="D308" s="755"/>
      <c r="E308" s="755"/>
      <c r="F308" s="755"/>
      <c r="G308" s="755"/>
      <c r="H308" s="755"/>
      <c r="I308" s="755"/>
      <c r="J308" s="755"/>
      <c r="K308" s="755"/>
      <c r="L308" s="755"/>
      <c r="M308" s="756"/>
    </row>
    <row r="309" spans="2:13" s="4" customFormat="1" outlineLevel="1" x14ac:dyDescent="0.4">
      <c r="B309" s="17"/>
      <c r="C309" s="184"/>
      <c r="D309" s="19"/>
      <c r="E309" s="19"/>
      <c r="F309" s="19"/>
      <c r="G309" s="19"/>
      <c r="H309" s="19"/>
      <c r="I309" s="19"/>
      <c r="J309" s="19"/>
      <c r="K309" s="19"/>
      <c r="L309" s="19"/>
      <c r="M309" s="50"/>
    </row>
    <row r="310" spans="2:13" s="4" customFormat="1" outlineLevel="1" x14ac:dyDescent="0.4">
      <c r="B310" s="20"/>
      <c r="C310" s="521" t="s">
        <v>46</v>
      </c>
      <c r="D310" s="751"/>
      <c r="E310" s="751"/>
      <c r="F310" s="751"/>
      <c r="G310" s="1"/>
      <c r="I310" s="303" t="s">
        <v>122</v>
      </c>
      <c r="J310" s="64"/>
      <c r="K310" s="47"/>
      <c r="L310" s="45"/>
      <c r="M310" s="35"/>
    </row>
    <row r="311" spans="2:13" s="4" customFormat="1" outlineLevel="1" x14ac:dyDescent="0.4">
      <c r="B311" s="20"/>
      <c r="C311" s="163" t="s">
        <v>123</v>
      </c>
      <c r="D311" s="758" t="str">
        <f>IF(Feedstocks!$H$14&gt;0,Feedstocks!$H$14,"")</f>
        <v/>
      </c>
      <c r="E311" s="757"/>
      <c r="F311" s="752"/>
      <c r="G311" s="76"/>
      <c r="H311" s="94"/>
      <c r="I311" s="41"/>
      <c r="J311" s="36"/>
      <c r="K311" s="164" t="s">
        <v>124</v>
      </c>
      <c r="L311" s="37"/>
      <c r="M311" s="35"/>
    </row>
    <row r="312" spans="2:13" s="4" customFormat="1" outlineLevel="1" x14ac:dyDescent="0.4">
      <c r="B312" s="20"/>
      <c r="C312" s="24"/>
      <c r="D312" s="21"/>
      <c r="E312" s="21"/>
      <c r="F312" s="21"/>
      <c r="G312" s="21"/>
      <c r="H312" s="21"/>
      <c r="I312" s="41"/>
      <c r="J312" s="169" t="s">
        <v>125</v>
      </c>
      <c r="K312" s="68" t="str">
        <f>IFERROR(IF('Feedstock conversion'!E163="Yes",(K315/(IF(Feedstocks!I14="default",Feedstocks!J14,IF(Feedstocks!I14="actual",Feedstocks!K14,"Insert data (plant inputs)"))/Feedstocks!E14*'Transport 1'!F169*'Feedstock conversion'!D167*'Transport 2'!F169*('Digestion &amp; outputs'!$G$19/1000)))*IF('Feedstock conversion'!E192="Yes",'Feedstock conversion'!J195,1)*'Digestion &amp; outputs'!$K$23,IF('Feedstock conversion'!E163="No",(K315/(IF(Feedstocks!I14="default",Feedstocks!J14,IF(Feedstocks!I14="actual",Feedstocks!K14,"Insert data (plant inputs)"))/Feedstocks!E14*'Transport 1'!F169*'Transport 2'!F169*('Digestion &amp; outputs'!$G$19/1000)))*'Digestion &amp; outputs'!$K$23,"")),"")</f>
        <v/>
      </c>
      <c r="L312" s="37"/>
      <c r="M312" s="35"/>
    </row>
    <row r="313" spans="2:13" s="4" customFormat="1" ht="18" customHeight="1" outlineLevel="1" x14ac:dyDescent="0.4">
      <c r="B313" s="20"/>
      <c r="C313" s="286" t="s">
        <v>126</v>
      </c>
      <c r="D313" s="673" t="s">
        <v>127</v>
      </c>
      <c r="G313" s="21"/>
      <c r="H313" s="21"/>
      <c r="I313" s="41"/>
      <c r="J313" s="67"/>
      <c r="K313" s="67"/>
      <c r="L313" s="37"/>
      <c r="M313" s="35"/>
    </row>
    <row r="314" spans="2:13" s="4" customFormat="1" outlineLevel="1" x14ac:dyDescent="0.4">
      <c r="B314" s="20"/>
      <c r="C314" s="14"/>
      <c r="G314" s="21"/>
      <c r="H314" s="21"/>
      <c r="I314" s="41"/>
      <c r="J314" s="36"/>
      <c r="K314" s="164" t="s">
        <v>128</v>
      </c>
      <c r="L314" s="37"/>
      <c r="M314" s="35"/>
    </row>
    <row r="315" spans="2:13" s="4" customFormat="1" outlineLevel="1" x14ac:dyDescent="0.4">
      <c r="B315" s="20"/>
      <c r="C315" s="150" t="s">
        <v>129</v>
      </c>
      <c r="G315" s="21"/>
      <c r="H315" s="21"/>
      <c r="I315" s="41"/>
      <c r="J315" s="169" t="s">
        <v>130</v>
      </c>
      <c r="K315" s="52">
        <f>IFERROR(SUM(K320:K326,K328:K333,K337:K343,K345:K351,K353:K357,K361,K365:K369,K373,K378:K381),"")</f>
        <v>0</v>
      </c>
      <c r="L315" s="37"/>
      <c r="M315" s="35"/>
    </row>
    <row r="316" spans="2:13" s="4" customFormat="1" outlineLevel="1" x14ac:dyDescent="0.4">
      <c r="B316" s="20"/>
      <c r="C316" s="166" t="s">
        <v>131</v>
      </c>
      <c r="D316" s="164" t="s">
        <v>132</v>
      </c>
      <c r="E316" s="164" t="s">
        <v>133</v>
      </c>
      <c r="F316" s="164" t="s">
        <v>134</v>
      </c>
      <c r="G316" s="748" t="str">
        <f>IF(C317="actual","Must insert actual data for fertiliser application","")</f>
        <v/>
      </c>
      <c r="H316" s="21"/>
      <c r="I316" s="46"/>
      <c r="J316" s="58"/>
      <c r="K316" s="58"/>
      <c r="L316" s="59"/>
      <c r="M316" s="35"/>
    </row>
    <row r="317" spans="2:13" s="4" customFormat="1" outlineLevel="1" x14ac:dyDescent="0.4">
      <c r="B317" s="20"/>
      <c r="C317" s="151" t="s">
        <v>96</v>
      </c>
      <c r="D317" s="93" t="str">
        <f>IFERROR(INDEX(Crop_yields,MATCH(D313,Crops_for_yields,0)),"")</f>
        <v/>
      </c>
      <c r="E317" s="135"/>
      <c r="F317" s="31" t="str">
        <f>IFERROR(IF(C317="Default",D317,IF(ISBLANK(E317),"Insert data",E317)),"")</f>
        <v/>
      </c>
      <c r="G317" s="749"/>
      <c r="H317" s="21"/>
      <c r="I317" s="21"/>
      <c r="J317" s="21"/>
      <c r="K317" s="21"/>
      <c r="L317" s="21"/>
      <c r="M317" s="35"/>
    </row>
    <row r="318" spans="2:13" s="4" customFormat="1" ht="24" customHeight="1" outlineLevel="1" x14ac:dyDescent="0.4">
      <c r="B318" s="20"/>
      <c r="C318" s="150" t="s">
        <v>135</v>
      </c>
      <c r="D318" s="21"/>
      <c r="E318" s="21"/>
      <c r="F318" s="21"/>
      <c r="H318" s="21"/>
      <c r="I318" s="303" t="s">
        <v>136</v>
      </c>
      <c r="J318" s="47"/>
      <c r="K318" s="47"/>
      <c r="L318" s="45"/>
      <c r="M318" s="35"/>
    </row>
    <row r="319" spans="2:13" s="14" customFormat="1" outlineLevel="1" x14ac:dyDescent="0.4">
      <c r="B319" s="23"/>
      <c r="C319" s="166" t="s">
        <v>137</v>
      </c>
      <c r="D319" s="164" t="s">
        <v>138</v>
      </c>
      <c r="E319" s="164" t="s">
        <v>139</v>
      </c>
      <c r="F319" s="164" t="s">
        <v>140</v>
      </c>
      <c r="G319" s="4"/>
      <c r="H319" s="24"/>
      <c r="I319" s="42"/>
      <c r="J319" s="164" t="s">
        <v>137</v>
      </c>
      <c r="K319" s="164" t="s">
        <v>141</v>
      </c>
      <c r="L319" s="37"/>
      <c r="M319" s="63"/>
    </row>
    <row r="320" spans="2:13" s="4" customFormat="1" outlineLevel="1" x14ac:dyDescent="0.4">
      <c r="B320" s="20"/>
      <c r="C320" s="617" t="str">
        <f>IF(D313="Do not use defaults", "", "Nitrogen fertiliser (unspecified)")</f>
        <v/>
      </c>
      <c r="D320" s="618" t="str">
        <f>IF(D313="Do not use defaults", "",INDEX(N_fertiliser_N_composition,MATCH(C320,N_Fertilisers,0)))</f>
        <v/>
      </c>
      <c r="E320" s="27" t="str">
        <f>IF(D313="Do not use defaults","", "kg(Nitrogen)/Ha")</f>
        <v/>
      </c>
      <c r="F320" s="619" t="str">
        <f>IF(D313="Do not use defaults", "",VLOOKUP(D313,Default_crop_data[],2,FALSE))</f>
        <v/>
      </c>
      <c r="H320" s="1"/>
      <c r="I320" s="43"/>
      <c r="J320" s="27" t="str">
        <f t="shared" ref="J320:J326" si="9">IF(C320&gt;0,C320,"")</f>
        <v/>
      </c>
      <c r="K320" s="91" t="str">
        <f>IFERROR(IF(C320&gt;0,IF(ISBLANK(E320),"Insert unit",IF(ISBLANK(F320),"Insert data",(IF(E320="kg(fertiliser)/HA",F320*D320,F320)*INDEX(N_Fertiliser_EF,MATCH(C320,N_Fertilisers,0))/F317)/1000)),""),"")</f>
        <v/>
      </c>
      <c r="L320" s="39"/>
      <c r="M320" s="35"/>
    </row>
    <row r="321" spans="2:13" s="4" customFormat="1" outlineLevel="1" x14ac:dyDescent="0.4">
      <c r="B321" s="20"/>
      <c r="C321" s="151"/>
      <c r="D321" s="92" t="str">
        <f>IF(C321&gt;0,INDEX(N_fertiliser_N_composition,MATCH(C321,N_Fertilisers,0)),"")</f>
        <v/>
      </c>
      <c r="E321" s="138"/>
      <c r="F321" s="137"/>
      <c r="H321" s="1"/>
      <c r="I321" s="43"/>
      <c r="J321" s="27" t="str">
        <f t="shared" si="9"/>
        <v/>
      </c>
      <c r="K321" s="91" t="str">
        <f>IFERROR(IF(C321&gt;0,IF(ISBLANK(E321),"Insert unit",IF(ISBLANK(F321),"Insert data",(IF(E321="kg(fertiliser)/HA",F321*D321,F321)*INDEX(N_Fertiliser_EF,MATCH(C321,N_Fertilisers,0))/F317)/1000)),""),"")</f>
        <v/>
      </c>
      <c r="L321" s="39"/>
      <c r="M321" s="35"/>
    </row>
    <row r="322" spans="2:13" s="4" customFormat="1" outlineLevel="1" x14ac:dyDescent="0.4">
      <c r="B322" s="20"/>
      <c r="C322" s="151"/>
      <c r="D322" s="92" t="str">
        <f>IF(C322&gt;0,INDEX(N_fertiliser_N_composition,MATCH(C322,N_Fertilisers,0)),"")</f>
        <v/>
      </c>
      <c r="E322" s="138"/>
      <c r="F322" s="137"/>
      <c r="H322" s="1"/>
      <c r="I322" s="43"/>
      <c r="J322" s="27" t="str">
        <f t="shared" si="9"/>
        <v/>
      </c>
      <c r="K322" s="91" t="str">
        <f>IFERROR(IF(C322&gt;0,IF(ISBLANK(E322),"Insert unit",IF(ISBLANK(F322),"Insert data",(IF(E322="kg(fertiliser)/HA",F322*D322,F322)*INDEX(N_Fertiliser_EF,MATCH(C322,N_Fertilisers,0))/F317)/1000)),""),"")</f>
        <v/>
      </c>
      <c r="L322" s="39"/>
      <c r="M322" s="35"/>
    </row>
    <row r="323" spans="2:13" s="4" customFormat="1" outlineLevel="1" x14ac:dyDescent="0.4">
      <c r="B323" s="20"/>
      <c r="C323" s="151"/>
      <c r="D323" s="92" t="str">
        <f>IF(C323&gt;0,INDEX(N_fertiliser_N_composition,MATCH(C323,N_Fertilisers,0)),"")</f>
        <v/>
      </c>
      <c r="E323" s="138"/>
      <c r="F323" s="137"/>
      <c r="H323" s="1"/>
      <c r="I323" s="43"/>
      <c r="J323" s="27" t="str">
        <f t="shared" si="9"/>
        <v/>
      </c>
      <c r="K323" s="91" t="str">
        <f>IFERROR(IF(C323&gt;0,IF(ISBLANK(E323),"Insert unit",IF(ISBLANK(F323),"Insert data",(IF(E323="kg(fertiliser)/HA",F323*D323,F323)*INDEX(N_Fertiliser_EF,MATCH(C323,N_Fertilisers,0))/F317)/1000)),""),"")</f>
        <v/>
      </c>
      <c r="L323" s="39"/>
      <c r="M323" s="35"/>
    </row>
    <row r="324" spans="2:13" s="4" customFormat="1" outlineLevel="1" x14ac:dyDescent="0.4">
      <c r="B324" s="20"/>
      <c r="C324" s="151"/>
      <c r="D324" s="136"/>
      <c r="E324" s="138"/>
      <c r="F324" s="137"/>
      <c r="H324" s="1"/>
      <c r="I324" s="43"/>
      <c r="J324" s="27" t="str">
        <f t="shared" si="9"/>
        <v/>
      </c>
      <c r="K324" s="91" t="str">
        <f>IFERROR(IF(C324&gt;0,IF(ISBLANK(E324),"Insert unit",IF(OR(ISBLANK(F324),ISBLANK(D324)),"Insert data",(IF(E324="kg(fertiliser)/HA",F324*D324,F324)*INDEX(N_Fertiliser_EF,MATCH("nitrogen fertiliser (unspecified)",N_Fertilisers,0))/F317)/1000)),""),"")</f>
        <v/>
      </c>
      <c r="L324" s="39"/>
      <c r="M324" s="35"/>
    </row>
    <row r="325" spans="2:13" s="4" customFormat="1" outlineLevel="1" x14ac:dyDescent="0.4">
      <c r="B325" s="20"/>
      <c r="C325" s="151"/>
      <c r="D325" s="136"/>
      <c r="E325" s="138"/>
      <c r="F325" s="137"/>
      <c r="H325" s="1"/>
      <c r="I325" s="43"/>
      <c r="J325" s="27" t="str">
        <f t="shared" si="9"/>
        <v/>
      </c>
      <c r="K325" s="91" t="str">
        <f>IFERROR(IF(C325&gt;0,IF(ISBLANK(E325),"Insert unit",IF(OR(ISBLANK(F325),ISBLANK(D325)),"Insert data",(IF(E325="kg(fertiliser)/HA",F325*D325,F325)*INDEX(N_Fertiliser_EF,MATCH("nitrogen fertiliser (unspecified)",N_Fertilisers,0))/F317)/1000)),""),"")</f>
        <v/>
      </c>
      <c r="L325" s="39"/>
      <c r="M325" s="35"/>
    </row>
    <row r="326" spans="2:13" s="4" customFormat="1" outlineLevel="1" x14ac:dyDescent="0.4">
      <c r="B326" s="20"/>
      <c r="C326" s="151"/>
      <c r="D326" s="136"/>
      <c r="E326" s="138"/>
      <c r="F326" s="137"/>
      <c r="G326" s="14"/>
      <c r="H326" s="1"/>
      <c r="I326" s="43"/>
      <c r="J326" s="27" t="str">
        <f t="shared" si="9"/>
        <v/>
      </c>
      <c r="K326" s="91" t="str">
        <f>IFERROR(IF(C326&gt;0,IF(ISBLANK(E326),"Insert unit",IF(OR(ISBLANK(F326),ISBLANK(D326)),"Insert data",(IF(E326="kg(fertiliser)/HA",F326*D326,F326)*INDEX(N_Fertiliser_EF,MATCH("nitrogen fertiliser (unspecified)",N_Fertilisers,0))/F317)/1000)),""),"")</f>
        <v/>
      </c>
      <c r="L326" s="39"/>
      <c r="M326" s="35"/>
    </row>
    <row r="327" spans="2:13" s="4" customFormat="1" outlineLevel="1" x14ac:dyDescent="0.4">
      <c r="B327" s="20"/>
      <c r="C327" s="653" t="s">
        <v>142</v>
      </c>
      <c r="D327" s="654" t="s">
        <v>138</v>
      </c>
      <c r="E327" s="654" t="s">
        <v>139</v>
      </c>
      <c r="F327" s="655" t="s">
        <v>140</v>
      </c>
      <c r="G327" s="14"/>
      <c r="H327" s="1"/>
      <c r="I327" s="43"/>
      <c r="J327" s="166" t="s">
        <v>142</v>
      </c>
      <c r="K327" s="164" t="s">
        <v>141</v>
      </c>
      <c r="L327" s="39"/>
      <c r="M327" s="35"/>
    </row>
    <row r="328" spans="2:13" s="4" customFormat="1" outlineLevel="1" x14ac:dyDescent="0.4">
      <c r="B328" s="20"/>
      <c r="C328" s="649" t="str">
        <f>IF(D313="Do not use defaults", "", "Digestate")</f>
        <v/>
      </c>
      <c r="D328" s="618" t="str">
        <f>IF(D313="Do not use defaults", "",INDEX(Organic_fertilisers_N_Composition,MATCH(C328,Organic_fertilisers,0)))</f>
        <v/>
      </c>
      <c r="E328" s="27" t="str">
        <f>IF(D313="Do not use defaults", "", "t(fertiliser)/Ha")</f>
        <v/>
      </c>
      <c r="F328" s="651" t="str">
        <f>IF(D313="Do not use defaults", "",VLOOKUP(D313,Default_crop_data[],5,FALSE))</f>
        <v/>
      </c>
      <c r="G328" s="14"/>
      <c r="H328" s="1"/>
      <c r="I328" s="43"/>
      <c r="J328" s="27" t="str">
        <f t="shared" ref="J328:J333" si="10">IF(C328&gt;0,C328,"")</f>
        <v/>
      </c>
      <c r="K328" s="91" t="str">
        <f>IFERROR(IF(C328&gt;0,IF(ISBLANK(E328),"Insert unit",IF(ISBLANK(F328),"Insert data",(IF(E328="kg(fertiliser)/HA",F328*D328,IF(E328="t(fertiliser)/Ha",F328*1000*D328,F328))*INDEX(Organic_fertiliser_EF,MATCH(C328,Organic_fertilisers,0))/F317)/1000)),""),"")</f>
        <v/>
      </c>
      <c r="L328" s="39"/>
      <c r="M328" s="35"/>
    </row>
    <row r="329" spans="2:13" s="4" customFormat="1" outlineLevel="1" x14ac:dyDescent="0.4">
      <c r="B329" s="20"/>
      <c r="C329" s="650"/>
      <c r="D329" s="92" t="str">
        <f>IF(C329&gt;0,INDEX(Organic_fertilisers_N_Composition,MATCH(C329,Organic_fertilisers,0)),"")</f>
        <v/>
      </c>
      <c r="E329" s="138"/>
      <c r="F329" s="652"/>
      <c r="G329" s="14"/>
      <c r="H329" s="1"/>
      <c r="I329" s="43"/>
      <c r="J329" s="27" t="str">
        <f t="shared" si="10"/>
        <v/>
      </c>
      <c r="K329" s="91" t="str">
        <f>IFERROR(IF(C329&gt;0,IF(ISBLANK(E329),"Insert unit",IF(ISBLANK(F329),"Insert data",(IF(E329="kg(fertiliser)/HA",F329*D329,IF(E329="t(fertiliser)/Ha",F329*1000*D329,F329))*INDEX(Organic_fertiliser_EF,MATCH(C329,Organic_fertilisers,0))/F317)/1000)),""),"")</f>
        <v/>
      </c>
      <c r="L329" s="39"/>
      <c r="M329" s="35"/>
    </row>
    <row r="330" spans="2:13" s="4" customFormat="1" outlineLevel="1" x14ac:dyDescent="0.4">
      <c r="B330" s="20"/>
      <c r="C330" s="650"/>
      <c r="D330" s="92" t="str">
        <f>IF(C330&gt;0,INDEX(Organic_fertilisers_N_Composition,MATCH(C330,Organic_fertilisers,0)),"")</f>
        <v/>
      </c>
      <c r="E330" s="138"/>
      <c r="F330" s="652"/>
      <c r="G330" s="14"/>
      <c r="H330" s="1"/>
      <c r="I330" s="43"/>
      <c r="J330" s="27" t="str">
        <f t="shared" si="10"/>
        <v/>
      </c>
      <c r="K330" s="91" t="str">
        <f>IFERROR(IF(C330&gt;0,IF(ISBLANK(E330),"Insert unit",IF(ISBLANK(F330),"Insert data",(IF(E330="kg(fertiliser)/HA",F330*D330,IF(E330="t(fertiliser)/Ha",F330*1000*D330,F330))*INDEX(Organic_fertiliser_EF,MATCH(C330,Organic_fertilisers,0))/F317)/1000)),""),"")</f>
        <v/>
      </c>
      <c r="L330" s="39"/>
      <c r="M330" s="35"/>
    </row>
    <row r="331" spans="2:13" s="4" customFormat="1" outlineLevel="1" x14ac:dyDescent="0.4">
      <c r="B331" s="20"/>
      <c r="C331" s="650"/>
      <c r="D331" s="92" t="str">
        <f>IF(C331&gt;0,INDEX(Organic_fertilisers_N_Composition,MATCH(C331,Organic_fertilisers,0)),"")</f>
        <v/>
      </c>
      <c r="E331" s="138"/>
      <c r="F331" s="652"/>
      <c r="G331" s="14"/>
      <c r="H331" s="1"/>
      <c r="I331" s="43"/>
      <c r="J331" s="27" t="str">
        <f t="shared" si="10"/>
        <v/>
      </c>
      <c r="K331" s="91" t="str">
        <f>IFERROR(IF(C331&gt;0,IF(ISBLANK(E331),"Insert unit",IF(ISBLANK(F331),"Insert data",(IF(E331="kg(fertiliser)/HA",F331*D331,IF(E331="t(fertiliser)/Ha",F331*1000*D331,F331))*INDEX(Organic_fertiliser_EF,MATCH(C331,Organic_fertilisers,0))/F317)/1000)),""),"")</f>
        <v/>
      </c>
      <c r="L331" s="39"/>
      <c r="M331" s="35"/>
    </row>
    <row r="332" spans="2:13" s="4" customFormat="1" outlineLevel="1" x14ac:dyDescent="0.4">
      <c r="B332" s="20"/>
      <c r="C332" s="650"/>
      <c r="D332" s="136"/>
      <c r="E332" s="138"/>
      <c r="F332" s="652"/>
      <c r="G332" s="14"/>
      <c r="H332" s="1"/>
      <c r="I332" s="43"/>
      <c r="J332" s="27" t="str">
        <f t="shared" si="10"/>
        <v/>
      </c>
      <c r="K332" s="91" t="str">
        <f>IFERROR(IF(C332&gt;0,IF(ISBLANK(E332),"Insert unit",IF(ISBLANK(F332),"Insert data",0)),""),"")</f>
        <v/>
      </c>
      <c r="L332" s="39"/>
      <c r="M332" s="35"/>
    </row>
    <row r="333" spans="2:13" s="4" customFormat="1" outlineLevel="1" x14ac:dyDescent="0.4">
      <c r="B333" s="20"/>
      <c r="C333" s="656"/>
      <c r="D333" s="657"/>
      <c r="E333" s="658"/>
      <c r="F333" s="659"/>
      <c r="G333" s="14"/>
      <c r="H333" s="1"/>
      <c r="I333" s="43"/>
      <c r="J333" s="27" t="str">
        <f t="shared" si="10"/>
        <v/>
      </c>
      <c r="K333" s="91" t="str">
        <f>IFERROR(IF(C333&gt;0,IF(ISBLANK(E333),"Insert unit",IF(ISBLANK(F333),"Insert data",0)),""),"")</f>
        <v/>
      </c>
      <c r="L333" s="39"/>
      <c r="M333" s="35"/>
    </row>
    <row r="334" spans="2:13" s="4" customFormat="1" outlineLevel="1" x14ac:dyDescent="0.4">
      <c r="B334" s="20"/>
      <c r="C334" s="166" t="s">
        <v>143</v>
      </c>
      <c r="D334" s="164" t="s">
        <v>138</v>
      </c>
      <c r="E334" s="164" t="s">
        <v>139</v>
      </c>
      <c r="F334" s="164" t="s">
        <v>140</v>
      </c>
      <c r="G334" s="14"/>
      <c r="H334" s="1"/>
      <c r="I334" s="43"/>
      <c r="J334" s="166" t="str">
        <f>IF(C334&gt;0,C334,"")</f>
        <v>Low in-field emissions fertiliser</v>
      </c>
      <c r="K334" s="164" t="s">
        <v>141</v>
      </c>
      <c r="L334" s="39"/>
      <c r="M334" s="35"/>
    </row>
    <row r="335" spans="2:13" s="4" customFormat="1" outlineLevel="1" x14ac:dyDescent="0.4">
      <c r="B335" s="20"/>
      <c r="C335" s="151"/>
      <c r="D335" s="92"/>
      <c r="E335" s="138"/>
      <c r="F335" s="137"/>
      <c r="G335" s="14"/>
      <c r="H335" s="1"/>
      <c r="I335" s="43"/>
      <c r="J335" s="27" t="str">
        <f>IF(C335&gt;0,C335,"")</f>
        <v/>
      </c>
      <c r="K335" s="91" t="str" cm="1">
        <f t="array" ref="K335">IFERROR(IF(C335&gt;0,IF(ISBLANK(E335),"Insert unit",IF(ISBLANK(F335),"Insert data",(IF(E335="kg(fertiliser)/Ha",F335*D335,IF(E335="t(fertiliser)/Ha",F335*1000*D335,F335))*(Low_infield_EF_table[Emission Factor (gCO2eq/kgnitrogen)])/F317)/1000)),""),"")</f>
        <v/>
      </c>
      <c r="L335" s="39"/>
      <c r="M335" s="35"/>
    </row>
    <row r="336" spans="2:13" s="14" customFormat="1" outlineLevel="1" x14ac:dyDescent="0.4">
      <c r="B336" s="23"/>
      <c r="C336" s="166" t="s">
        <v>144</v>
      </c>
      <c r="D336" s="166" t="s">
        <v>145</v>
      </c>
      <c r="E336" s="166" t="s">
        <v>138</v>
      </c>
      <c r="F336" s="166" t="s">
        <v>139</v>
      </c>
      <c r="G336" s="166" t="s">
        <v>140</v>
      </c>
      <c r="H336" s="24"/>
      <c r="I336" s="42"/>
      <c r="J336" s="166" t="s">
        <v>144</v>
      </c>
      <c r="K336" s="164" t="s">
        <v>141</v>
      </c>
      <c r="L336" s="37"/>
      <c r="M336" s="63"/>
    </row>
    <row r="337" spans="2:13" s="4" customFormat="1" outlineLevel="1" x14ac:dyDescent="0.4">
      <c r="B337" s="20"/>
      <c r="C337" s="617" t="str">
        <f>IF(D313="Do not use defaults", "", "P2O5 fertiliser (unspecified)")</f>
        <v/>
      </c>
      <c r="D337" s="618" t="str" cm="1">
        <f t="array" ref="D337">IF(D313="Do not use defaults", "",INDEX(P_fertiliser_P_composition,MATCH(C337,P_fertilisers,0)))</f>
        <v/>
      </c>
      <c r="E337" s="618" t="str">
        <f>IF(C337="P2O5 fertiliser (unspecified)",0, "")</f>
        <v/>
      </c>
      <c r="F337" s="27" t="str">
        <f>IF(D313="Do not use defaults","", "t(kg(P2O5)/Ha")</f>
        <v/>
      </c>
      <c r="G337" s="619" t="str">
        <f>IF(D313="Do not use defaults","",VLOOKUP(D313,Default_crop_data[],3,FALSE))</f>
        <v/>
      </c>
      <c r="H337" s="1"/>
      <c r="I337" s="43"/>
      <c r="J337" s="27" t="str">
        <f>IF(C337&gt;0,C337,"")</f>
        <v/>
      </c>
      <c r="K337" s="91" t="str">
        <f>IFERROR(IF(C337&gt;0,IF(ISBLANK(F337),"Insert unit",IF(ISBLANK(G337),"Insert data",(IF(F337="kg(fertiliser)/HA",G337*D337,G337)*INDEX(P_fertiliser_EF,MATCH(C337,P_fertilisers,0))/F317)/1000)),""),"")</f>
        <v/>
      </c>
      <c r="L337" s="39"/>
      <c r="M337" s="35"/>
    </row>
    <row r="338" spans="2:13" s="4" customFormat="1" outlineLevel="1" x14ac:dyDescent="0.4">
      <c r="B338" s="20"/>
      <c r="C338" s="151"/>
      <c r="D338" s="92" t="str">
        <f>IF(C338&gt;0,INDEX(P_fertiliser_P_composition,MATCH(C338,P_fertilisers,0)),"")</f>
        <v/>
      </c>
      <c r="E338" s="92"/>
      <c r="F338" s="138"/>
      <c r="G338" s="137"/>
      <c r="H338" s="1"/>
      <c r="I338" s="43"/>
      <c r="J338" s="27" t="str">
        <f>IF(C338&gt;0,C338,"")</f>
        <v/>
      </c>
      <c r="K338" s="91" t="str">
        <f>IFERROR(IF(C338&gt;0,IF(ISBLANK(F338),"Insert unit",IF(ISBLANK(G338),"Insert data",(IF(F338="kg(fertiliser)/HA",G338*D338,G338)*INDEX(P_fertiliser_EF,MATCH(C338,P_fertilisers,0))/F317)/1000)),""),"")</f>
        <v/>
      </c>
      <c r="L338" s="39"/>
      <c r="M338" s="35"/>
    </row>
    <row r="339" spans="2:13" s="4" customFormat="1" outlineLevel="1" x14ac:dyDescent="0.4">
      <c r="B339" s="20"/>
      <c r="C339" s="151"/>
      <c r="D339" s="92" t="str">
        <f>IF(C339&gt;0,INDEX(P_fertiliser_P_composition,MATCH(C339,P_fertilisers,0)),"")</f>
        <v/>
      </c>
      <c r="E339" s="92"/>
      <c r="F339" s="138"/>
      <c r="G339" s="137"/>
      <c r="H339" s="1"/>
      <c r="I339" s="43"/>
      <c r="J339" s="27"/>
      <c r="K339" s="91" t="str">
        <f>IFERROR(IF(C339&gt;0,IF(ISBLANK(F339),"Insert unit",IF(ISBLANK(G339),"Insert data",(IF(F339="kg(fertiliser)/HA",G339*D339,G339)*INDEX(P_fertiliser_EF,MATCH(C339,P_fertilisers,0))/F317)/1000)),""),"")</f>
        <v/>
      </c>
      <c r="L339" s="39"/>
      <c r="M339" s="35"/>
    </row>
    <row r="340" spans="2:13" s="4" customFormat="1" outlineLevel="1" x14ac:dyDescent="0.4">
      <c r="B340" s="20"/>
      <c r="C340" s="151"/>
      <c r="D340" s="92" t="str">
        <f>IF(C340&gt;0,INDEX(P_fertiliser_P_composition,MATCH(C340,P_fertilisers,0)),"")</f>
        <v/>
      </c>
      <c r="E340" s="92"/>
      <c r="F340" s="138"/>
      <c r="G340" s="137"/>
      <c r="H340" s="1"/>
      <c r="I340" s="43"/>
      <c r="J340" s="27"/>
      <c r="K340" s="91" t="str">
        <f>IFERROR(IF(C340&gt;0,IF(ISBLANK(F340),"Insert unit",IF(ISBLANK(G340),"Insert data",(IF(F340="kg(fertiliser)/HA",G340*D340,G340)*INDEX(P_fertiliser_EF,MATCH(C340,P_fertilisers,0))/F317)/1000)),""),"")</f>
        <v/>
      </c>
      <c r="L340" s="39"/>
      <c r="M340" s="35"/>
    </row>
    <row r="341" spans="2:13" s="4" customFormat="1" outlineLevel="1" x14ac:dyDescent="0.4">
      <c r="B341" s="20"/>
      <c r="C341" s="151"/>
      <c r="D341" s="136"/>
      <c r="E341" s="136"/>
      <c r="F341" s="138"/>
      <c r="G341" s="137"/>
      <c r="H341" s="1"/>
      <c r="I341" s="43"/>
      <c r="J341" s="27"/>
      <c r="K341" s="91" t="str">
        <f>IFERROR(IF(C341&gt;0,IF(ISBLANK(F341),"Insert unit",IF(OR(ISBLANK(F341),ISBLANK(D341),ISBLANK(E341)),"Insert data",(IF(F341="kg(fertiliser)/HA",G341*D341,G341)*INDEX(P_fertiliser_EF,MATCH("p2O5 fertiliser (unspecified)",P_fertilisers,0))/F317)/1000)),""),"")</f>
        <v/>
      </c>
      <c r="L341" s="39"/>
      <c r="M341" s="35"/>
    </row>
    <row r="342" spans="2:13" s="4" customFormat="1" outlineLevel="1" x14ac:dyDescent="0.4">
      <c r="B342" s="20"/>
      <c r="C342" s="151"/>
      <c r="D342" s="136"/>
      <c r="E342" s="136"/>
      <c r="F342" s="138"/>
      <c r="G342" s="137"/>
      <c r="H342" s="1"/>
      <c r="I342" s="43"/>
      <c r="J342" s="27" t="str">
        <f>IF(C342&gt;0,C342,"")</f>
        <v/>
      </c>
      <c r="K342" s="91" t="str">
        <f>IFERROR(IF(C342&gt;0,IF(ISBLANK(F342),"Insert unit",IF(OR(ISBLANK(F342),ISBLANK(D342),ISBLANK(E342)),"Insert data",(IF(F342="kg(fertiliser)/HA",G342*D342,G342)*INDEX(P_fertiliser_EF,MATCH("p2O5 fertiliser (unspecified)",P_fertilisers,0))/F317)/1000)),""),"")</f>
        <v/>
      </c>
      <c r="L342" s="39"/>
      <c r="M342" s="35"/>
    </row>
    <row r="343" spans="2:13" s="4" customFormat="1" outlineLevel="1" x14ac:dyDescent="0.4">
      <c r="B343" s="20"/>
      <c r="C343" s="151"/>
      <c r="D343" s="136"/>
      <c r="E343" s="136"/>
      <c r="F343" s="138"/>
      <c r="G343" s="137"/>
      <c r="H343" s="1"/>
      <c r="I343" s="43"/>
      <c r="J343" s="27" t="str">
        <f>IF(C343&gt;0,C343,"")</f>
        <v/>
      </c>
      <c r="K343" s="91" t="str">
        <f>IFERROR(IF(C343&gt;0,IF(ISBLANK(F343),"Insert unit",IF(OR(ISBLANK(F343),ISBLANK(D343),ISBLANK(E343)),"Insert data",(IF(F343="kg(fertiliser)/HA",G343*D343,G343)*INDEX(P_fertiliser_EF,MATCH("p2O5 fertiliser (unspecified)",P_fertilisers,0))/F317)/1000)),""),"")</f>
        <v/>
      </c>
      <c r="L343" s="39"/>
      <c r="M343" s="35"/>
    </row>
    <row r="344" spans="2:13" s="14" customFormat="1" outlineLevel="1" x14ac:dyDescent="0.4">
      <c r="B344" s="23"/>
      <c r="C344" s="166" t="s">
        <v>146</v>
      </c>
      <c r="D344" s="166" t="s">
        <v>147</v>
      </c>
      <c r="E344" s="166" t="s">
        <v>138</v>
      </c>
      <c r="F344" s="166" t="s">
        <v>139</v>
      </c>
      <c r="G344" s="166" t="s">
        <v>140</v>
      </c>
      <c r="H344" s="24"/>
      <c r="I344" s="42"/>
      <c r="J344" s="166" t="s">
        <v>146</v>
      </c>
      <c r="K344" s="164" t="s">
        <v>141</v>
      </c>
      <c r="L344" s="37"/>
      <c r="M344" s="35"/>
    </row>
    <row r="345" spans="2:13" s="4" customFormat="1" outlineLevel="1" x14ac:dyDescent="0.4">
      <c r="B345" s="20"/>
      <c r="C345" s="617" t="str">
        <f>IF(D313="Do not use defaults", "", "K2O fertiliser (unspecified)")</f>
        <v/>
      </c>
      <c r="D345" s="618" t="str" cm="1">
        <f t="array" ref="D345">IF(D313="Do not use defaults", "",INDEX(K_fertiliser_K_composition,MATCH(C345,K_fertilisers,0)))</f>
        <v/>
      </c>
      <c r="E345" s="618" t="str" cm="1">
        <f t="array" ref="E345">IF(D313="Do not use defaults", "",INDEX(K_fertiliser_N_composition,MATCH(C345,K_fertilisers,0)))</f>
        <v/>
      </c>
      <c r="F345" s="27" t="str">
        <f>IF(D313="Do not use defaults","", "t(kg(K2O)/Ha")</f>
        <v/>
      </c>
      <c r="G345" s="619" t="str">
        <f>IF(D313="Do not use defaults", "",VLOOKUP(D313,Default_crop_data[],4,FALSE))</f>
        <v/>
      </c>
      <c r="H345" s="1"/>
      <c r="I345" s="43"/>
      <c r="J345" s="27" t="str">
        <f t="shared" ref="J345:J351" si="11">IF(C345&gt;0,C345,"")</f>
        <v/>
      </c>
      <c r="K345" s="91" t="str">
        <f>IFERROR(IF(C345&gt;0,IF(ISBLANK(F345),"Insert unit",IF(ISBLANK(G345),"Insert data",(IF(F345="kg(fertiliser)/HA",G345*D345,G345)*INDEX(K_Fertiliser_EF,MATCH(C345,K_fertilisers,0))/F317)/1000)),""),"")</f>
        <v/>
      </c>
      <c r="L345" s="39"/>
      <c r="M345" s="35"/>
    </row>
    <row r="346" spans="2:13" s="4" customFormat="1" outlineLevel="1" x14ac:dyDescent="0.4">
      <c r="B346" s="20"/>
      <c r="C346" s="151"/>
      <c r="D346" s="92" t="str">
        <f>IF(C346&gt;0,INDEX(K_fertiliser_K_composition,MATCH(C346,K_fertilisers,0)),"")</f>
        <v/>
      </c>
      <c r="E346" s="92" t="str">
        <f>IF(C346&gt;0,INDEX(K_fertiliser_N_composition,MATCH(C346,K_fertilisers,0)),"")</f>
        <v/>
      </c>
      <c r="F346" s="138"/>
      <c r="G346" s="137"/>
      <c r="H346" s="1"/>
      <c r="I346" s="43"/>
      <c r="J346" s="27" t="str">
        <f t="shared" si="11"/>
        <v/>
      </c>
      <c r="K346" s="91" t="str">
        <f>IFERROR(IF(C346&gt;0,IF(ISBLANK(F346),"Insert unit",IF(ISBLANK(G346),"Insert data",(IF(F346="kg(fertiliser)/HA",G346*D346,G346)*INDEX(K_Fertiliser_EF,MATCH(C346,K_fertilisers,0))/F317)/1000)),""),"")</f>
        <v/>
      </c>
      <c r="L346" s="39"/>
      <c r="M346" s="35"/>
    </row>
    <row r="347" spans="2:13" s="4" customFormat="1" outlineLevel="1" x14ac:dyDescent="0.4">
      <c r="B347" s="20"/>
      <c r="C347" s="151"/>
      <c r="D347" s="92" t="str">
        <f>IF(C347&gt;0,INDEX(K_fertiliser_K_composition,MATCH(C347,K_fertilisers,0)),"")</f>
        <v/>
      </c>
      <c r="E347" s="92" t="str">
        <f>IF(C347&gt;0,INDEX(K_fertiliser_N_composition,MATCH(C347,K_fertilisers,0)),"")</f>
        <v/>
      </c>
      <c r="F347" s="138"/>
      <c r="G347" s="137"/>
      <c r="H347" s="1"/>
      <c r="I347" s="43"/>
      <c r="J347" s="27" t="str">
        <f t="shared" si="11"/>
        <v/>
      </c>
      <c r="K347" s="91" t="str">
        <f>IFERROR(IF(C347&gt;0,IF(ISBLANK(F347),"Insert unit",IF(ISBLANK(G347),"Insert data",(IF(F347="kg(fertiliser)/HA",G347*D347,G347)*INDEX(K_Fertiliser_EF,MATCH(C347,K_fertilisers,0))/F317)/1000)),""),"")</f>
        <v/>
      </c>
      <c r="L347" s="39"/>
      <c r="M347" s="35"/>
    </row>
    <row r="348" spans="2:13" s="4" customFormat="1" outlineLevel="1" x14ac:dyDescent="0.4">
      <c r="B348" s="20"/>
      <c r="C348" s="151"/>
      <c r="D348" s="92"/>
      <c r="E348" s="92"/>
      <c r="F348" s="138"/>
      <c r="G348" s="137"/>
      <c r="H348" s="1"/>
      <c r="I348" s="43"/>
      <c r="J348" s="27" t="str">
        <f t="shared" si="11"/>
        <v/>
      </c>
      <c r="K348" s="91" t="str">
        <f>IFERROR(IF(C348&gt;0,IF(ISBLANK(F348),"Insert unit",IF(ISBLANK(G348),"Insert data",(IF(F348="kg(fertiliser)/HA",G348*D348,G348)*INDEX(K_Fertiliser_EF,MATCH(C348,K_fertilisers,0))/F317)/1000)),""),"")</f>
        <v/>
      </c>
      <c r="L348" s="39"/>
      <c r="M348" s="35"/>
    </row>
    <row r="349" spans="2:13" s="4" customFormat="1" outlineLevel="1" x14ac:dyDescent="0.4">
      <c r="B349" s="20"/>
      <c r="C349" s="151"/>
      <c r="D349" s="136"/>
      <c r="E349" s="136"/>
      <c r="F349" s="138"/>
      <c r="G349" s="137"/>
      <c r="H349" s="1"/>
      <c r="I349" s="43"/>
      <c r="J349" s="27" t="str">
        <f t="shared" si="11"/>
        <v/>
      </c>
      <c r="K349" s="91" t="str">
        <f>IFERROR(IF(C349&gt;0,IF(ISBLANK(F349),"Insert unit",IF(OR(ISBLANK(F349),ISBLANK(D349),ISBLANK(E349)),"Insert data",(IF(F349="kg(fertiliser)/HA",G349*D349,G349)*INDEX(K_Fertiliser_EF,MATCH("K2O fertiliser (unspecified)",K_fertilisers,0))/F317)/1000)),""),"")</f>
        <v/>
      </c>
      <c r="L349" s="39"/>
      <c r="M349" s="35"/>
    </row>
    <row r="350" spans="2:13" s="4" customFormat="1" outlineLevel="1" x14ac:dyDescent="0.4">
      <c r="B350" s="20"/>
      <c r="C350" s="151"/>
      <c r="D350" s="136"/>
      <c r="E350" s="136"/>
      <c r="F350" s="138"/>
      <c r="G350" s="137"/>
      <c r="H350" s="1"/>
      <c r="I350" s="43"/>
      <c r="J350" s="27" t="str">
        <f t="shared" si="11"/>
        <v/>
      </c>
      <c r="K350" s="91" t="str">
        <f>IFERROR(IF(C350&gt;0,IF(ISBLANK(F350),"Insert unit",IF(OR(ISBLANK(F350),ISBLANK(D350),ISBLANK(E350)),"Insert data",(IF(F350="kg(fertiliser)/HA",G350*D350,G350)*INDEX(K_Fertiliser_EF,MATCH("K2O fertiliser (unspecified)",K_fertilisers,0))/F317)/1000)),""),"")</f>
        <v/>
      </c>
      <c r="L350" s="39"/>
      <c r="M350" s="35"/>
    </row>
    <row r="351" spans="2:13" s="4" customFormat="1" outlineLevel="1" x14ac:dyDescent="0.4">
      <c r="B351" s="20"/>
      <c r="C351" s="151"/>
      <c r="D351" s="136"/>
      <c r="E351" s="136"/>
      <c r="F351" s="138"/>
      <c r="G351" s="137"/>
      <c r="H351" s="1"/>
      <c r="I351" s="43"/>
      <c r="J351" s="27" t="str">
        <f t="shared" si="11"/>
        <v/>
      </c>
      <c r="K351" s="91" t="str">
        <f>IFERROR(IF(C351&gt;0,IF(ISBLANK(F351),"Insert unit",IF(OR(ISBLANK(F351),ISBLANK(D351),ISBLANK(E351)),"Insert data",(IF(F351="kg(fertiliser)/HA",G351*D351,G351)*INDEX(K_Fertiliser_EF,MATCH("K2O fertiliser (unspecified)",K_fertilisers,0))/F317)/1000)),""),"")</f>
        <v/>
      </c>
      <c r="L351" s="39"/>
      <c r="M351" s="35"/>
    </row>
    <row r="352" spans="2:13" s="14" customFormat="1" outlineLevel="1" x14ac:dyDescent="0.4">
      <c r="B352" s="23"/>
      <c r="C352" s="166" t="s">
        <v>148</v>
      </c>
      <c r="D352" s="166" t="s">
        <v>149</v>
      </c>
      <c r="E352" s="166" t="s">
        <v>138</v>
      </c>
      <c r="F352" s="166" t="s">
        <v>139</v>
      </c>
      <c r="G352" s="166" t="s">
        <v>140</v>
      </c>
      <c r="H352" s="24"/>
      <c r="I352" s="42"/>
      <c r="J352" s="166" t="s">
        <v>148</v>
      </c>
      <c r="K352" s="164" t="s">
        <v>141</v>
      </c>
      <c r="L352" s="37"/>
      <c r="M352" s="63"/>
    </row>
    <row r="353" spans="2:13" s="4" customFormat="1" outlineLevel="1" x14ac:dyDescent="0.4">
      <c r="B353" s="20"/>
      <c r="C353" s="617" t="str">
        <f>IF(D313="Do not use defaults", "", "Lime fertiliser (CaO)")</f>
        <v/>
      </c>
      <c r="D353" s="618" t="str" cm="1">
        <f t="array" ref="D353">IF(D313="Do not use defaults", "",INDEX(Other_fertiliser_nutrient_composition,MATCH(C353,Other_fertilisers,0)))</f>
        <v/>
      </c>
      <c r="E353" s="618" t="str">
        <f>IF(D313="Do not use defaults", "",INDEX(Other_fertiliser_N_compostion,MATCH(C353,Other_fertilisers,0)))</f>
        <v/>
      </c>
      <c r="F353" s="27" t="str">
        <f>IF(D313="Do not use defaults","", "kg(nutrient)/Ha")</f>
        <v/>
      </c>
      <c r="G353" s="619" t="str">
        <f>IF(D313="Do not use defaults", "",VLOOKUP(D313,Default_crop_data[],6,FALSE))</f>
        <v/>
      </c>
      <c r="H353" s="1"/>
      <c r="I353" s="43"/>
      <c r="J353" s="27" t="str">
        <f>IF(C353&gt;0,C353,"")</f>
        <v/>
      </c>
      <c r="K353" s="91" t="str">
        <f>IFERROR(IF(C353&gt;0,IF(ISBLANK(F353),"Insert unit",IF(ISBLANK(G353),"Insert data",(IF(F353="kg(fertiliser)/HA",G353*D353,G353)*INDEX(Other_fertiliser_EF,MATCH(C353,Other_fertilisers,0))/F317)/1000)),""),"")</f>
        <v/>
      </c>
      <c r="L353" s="39"/>
      <c r="M353" s="35"/>
    </row>
    <row r="354" spans="2:13" s="4" customFormat="1" outlineLevel="1" x14ac:dyDescent="0.4">
      <c r="B354" s="20"/>
      <c r="C354" s="151"/>
      <c r="D354" s="92" t="str">
        <f>IF(C354&gt;0,INDEX(Other_fertiliser_nutrient_composition,MATCH(C354,Other_fertilisers,0)),"")</f>
        <v/>
      </c>
      <c r="E354" s="92" t="str">
        <f>IF(C354&gt;0,INDEX(Other_fertiliser_N_compostion,MATCH(C354,Other_fertilisers,0)),"")</f>
        <v/>
      </c>
      <c r="F354" s="138"/>
      <c r="G354" s="137"/>
      <c r="H354" s="1"/>
      <c r="I354" s="43"/>
      <c r="J354" s="27" t="str">
        <f>IF(C354&gt;0,C354,"")</f>
        <v/>
      </c>
      <c r="K354" s="91" t="str">
        <f>IFERROR(IF(C354&gt;0,IF(ISBLANK(F354),"Insert unit",IF(ISBLANK(G354),"Insert data",(IF(F354="kg(fertiliser)/HA",G354*D354,G354)*INDEX(Other_fertiliser_EF,MATCH(C354,Other_fertilisers,0))/F317)/1000)),""),"")</f>
        <v/>
      </c>
      <c r="L354" s="39"/>
      <c r="M354" s="35"/>
    </row>
    <row r="355" spans="2:13" s="4" customFormat="1" outlineLevel="1" x14ac:dyDescent="0.4">
      <c r="B355" s="20"/>
      <c r="C355" s="151"/>
      <c r="D355" s="92" t="str">
        <f>IF(C355&gt;0,INDEX(Other_fertiliser_nutrient_composition,MATCH(C355,Other_fertilisers,0)),"")</f>
        <v/>
      </c>
      <c r="E355" s="92" t="str">
        <f>IF(C355&gt;0,INDEX(Other_fertiliser_N_compostion,MATCH(C355,Other_fertilisers,0)),"")</f>
        <v/>
      </c>
      <c r="F355" s="138"/>
      <c r="G355" s="137"/>
      <c r="H355" s="1"/>
      <c r="I355" s="43"/>
      <c r="J355" s="27" t="str">
        <f>IF(C355&gt;0,C355,"")</f>
        <v/>
      </c>
      <c r="K355" s="91" t="str">
        <f>IFERROR(IF(C355&gt;0,IF(ISBLANK(F355),"Insert unit",IF(ISBLANK(G355),"Insert data",(IF(F355="kg(fertiliser)/HA",G355*D355,G355)*INDEX(Other_fertiliser_EF,MATCH(C355,Other_fertilisers,0))/F317)/1000)),""),"")</f>
        <v/>
      </c>
      <c r="L355" s="39"/>
      <c r="M355" s="35"/>
    </row>
    <row r="356" spans="2:13" s="4" customFormat="1" outlineLevel="1" x14ac:dyDescent="0.4">
      <c r="B356" s="20"/>
      <c r="C356" s="151"/>
      <c r="D356" s="92" t="str">
        <f>IF(C356&gt;0,INDEX(Other_fertiliser_nutrient_composition,MATCH(C356,Other_fertilisers,0)),"")</f>
        <v/>
      </c>
      <c r="E356" s="92" t="str">
        <f>IF(C356&gt;0,INDEX(Other_fertiliser_N_compostion,MATCH(C356,Other_fertilisers,0)),"")</f>
        <v/>
      </c>
      <c r="F356" s="138"/>
      <c r="G356" s="137"/>
      <c r="H356" s="1"/>
      <c r="I356" s="43"/>
      <c r="J356" s="27" t="str">
        <f>IF(C356&gt;0,C356,"")</f>
        <v/>
      </c>
      <c r="K356" s="91" t="str">
        <f>IFERROR(IF(C356&gt;0,IF(ISBLANK(F356),"Insert unit",IF(ISBLANK(G356),"Insert data",(IF(F356="kg(fertiliser)/HA",G356*D356,G356)*INDEX(Other_fertiliser_EF,MATCH(C356,Other_fertilisers,0))/F317)/1000)),""),"")</f>
        <v/>
      </c>
      <c r="L356" s="39"/>
      <c r="M356" s="35"/>
    </row>
    <row r="357" spans="2:13" s="4" customFormat="1" outlineLevel="1" x14ac:dyDescent="0.4">
      <c r="B357" s="20"/>
      <c r="C357" s="151"/>
      <c r="D357" s="92" t="str">
        <f>IF(C357&gt;0,INDEX(Other_fertiliser_nutrient_composition,MATCH(C357,Other_fertilisers,0)),"")</f>
        <v/>
      </c>
      <c r="E357" s="92" t="str">
        <f>IF(C357&gt;0,INDEX(Other_fertiliser_N_compostion,MATCH(C357,Other_fertilisers,0)),"")</f>
        <v/>
      </c>
      <c r="F357" s="138"/>
      <c r="G357" s="137"/>
      <c r="H357" s="1"/>
      <c r="I357" s="43"/>
      <c r="J357" s="27" t="str">
        <f>IF(C357&gt;0,C357,"")</f>
        <v/>
      </c>
      <c r="K357" s="91" t="str">
        <f>IFERROR(IF(C357&gt;0,IF(ISBLANK(F357),"Insert unit",IF(ISBLANK(G357),"Insert data",(IF(F357="kg(fertiliser)/HA",G357*D357,G357)*INDEX(Other_fertiliser_EF,MATCH(C357,Other_fertilisers,0))/F317)/1000)),""),"")</f>
        <v/>
      </c>
      <c r="L357" s="39"/>
      <c r="M357" s="35"/>
    </row>
    <row r="358" spans="2:13" s="4" customFormat="1" outlineLevel="1" x14ac:dyDescent="0.4">
      <c r="B358" s="20"/>
      <c r="C358" s="24"/>
      <c r="D358" s="21"/>
      <c r="E358" s="21"/>
      <c r="F358" s="21"/>
      <c r="G358" s="21"/>
      <c r="H358" s="21"/>
      <c r="I358" s="41"/>
      <c r="J358" s="36"/>
      <c r="K358" s="36"/>
      <c r="L358" s="37"/>
      <c r="M358" s="35"/>
    </row>
    <row r="359" spans="2:13" s="4" customFormat="1" outlineLevel="1" x14ac:dyDescent="0.4">
      <c r="B359" s="20"/>
      <c r="C359" s="185" t="s">
        <v>150</v>
      </c>
      <c r="D359" s="21"/>
      <c r="G359" s="21"/>
      <c r="H359" s="21"/>
      <c r="I359" s="41"/>
      <c r="J359" s="36"/>
      <c r="K359" s="36"/>
      <c r="L359" s="37"/>
      <c r="M359" s="35"/>
    </row>
    <row r="360" spans="2:13" s="4" customFormat="1" outlineLevel="1" x14ac:dyDescent="0.4">
      <c r="B360" s="20"/>
      <c r="C360" s="166" t="s">
        <v>151</v>
      </c>
      <c r="D360" s="164" t="s">
        <v>140</v>
      </c>
      <c r="I360" s="41"/>
      <c r="J360" s="36"/>
      <c r="K360" s="164" t="s">
        <v>141</v>
      </c>
      <c r="L360" s="37"/>
      <c r="M360" s="35"/>
    </row>
    <row r="361" spans="2:13" s="4" customFormat="1" outlineLevel="1" x14ac:dyDescent="0.4">
      <c r="B361" s="20"/>
      <c r="C361" s="152" t="s">
        <v>152</v>
      </c>
      <c r="D361" s="30" t="str">
        <f>IFERROR(SUM(IFERROR(IF(E320="kg(fertiliser)/Ha",F320*D320,F320),0),IFERROR(IF(E321="kg(fertiliser)/Ha",F321*D321,F321),0),IFERROR(IF(E322="kg(fertiliser)/Ha",F322*D322,F322),0),IFERROR(IF(E323="kg(fertiliser)/Ha",F323*D323,F323),0),IFERROR(IF(E324="kg(fertiliser)/Ha",F324*D324,F324),0),IFERROR(IF(E325="kg(fertiliser)/Ha",F325*D325,F325),0),IFERROR(IF(E326="kg(fertiliser)/Ha",F326*D326,F326),0),IFERROR(IF(E328="kg(fertiliser)/Ha",F328*D328,IF(E328="kg(nitrogen)/Ha",F328,F328*1000*D328)),0),IFERROR(IF(E329="kg(fertiliser)/Ha",F329*D329,IF(E329="kg(nitrogen)/Ha",F329,F329*1000*D329)),0),IFERROR(IF(E330="kg(fertiliser)/Ha",F330*D330,IF(E330="kg(nitrogen)/Ha",F330,F330*1000*D330)),0),IFERROR(IF(E331="kg(fertiliser)/Ha",F331*D331,IF(E331="kg(nitrogen)/Ha",F331,F331*1000*D331)),0),IFERROR(IF(E332="kg(fertiliser)/Ha",F332*D332,IF(E332="kg(nitrogen)/Ha",F332,F332*1000*D332)),0),IFERROR(IF(E333="kg(fertiliser)/Ha",F333*D333,IF(E333="kg(nitrogen)/Ha",F333,F333*1000*D333)),0),IFERROR(IF(E335="kg(fertiliser)/Ha",F335*D335,IF(E335="kg(nitrogen)/Ha",F335,F335*1000*D335)),0),IFERROR(IF(F337="kg(fertiliser)/Ha",G337*E337,G337*E337/D337),0),IFERROR(IF(F338="kg(fertiliser)/Ha",G338*E338,G338*E338/D338),0),IFERROR(IF(F339="kg(fertiliser)/Ha",G339*E339,G339*E339/D339),0),IFERROR(IF(F340="kg(fertiliser)/Ha",G340*E340,G340*E340/D340),0),IFERROR(IF(F341="kg(fertiliser)/Ha",G341*E341,G341*E341/D341),0),IFERROR(IF(F342="kg(fertiliser)/Ha",G342*E342,G342*E342/D342),0),IFERROR(IF(F343="kg(fertiliser)/Ha",G343*E343,G343*E343/D343),0),IFERROR(IF(F345="kg(fertiliser)/Ha",G345*E345,G345*E345/D345),0),IFERROR(IF(F346="kg(fertiliser)/Ha",G346*E346,G346*E346/D346),0),IFERROR(IF(F347="kg(fertiliser)/Ha",G347*E347,G347*E347/D347),0),IFERROR(IF(F348="kg(fertiliser)/Ha",G348*E348,G348*E348/D348),0),IFERROR(IF(F349="kg(fertiliser)/Ha",G349*E349,G349*E349/D349),0),IFERROR(IF(F350="kg(fertiliser)/Ha",G350*E350,G350*E350/D350),0),IFERROR(IF(F351="kg(fertiliser)/Ha",G351*E351,G351*E351/D351),0),IFERROR(IF(F353="kg(fertiliser)/Ha",G353*E353,G353*E353/D353),0),IFERROR(IF(F354="kg(fertiliser)/Ha",G354*E354,G354*E354/D354),0),IFERROR(IF(F355="kg(fertiliser)/Ha",G355*E355,G355*E355/D355),0),IFERROR(IF(F356="kg(fertiliser)/Ha",G356*E356,G356*E356/D356),0),IFERROR(IF(F357="kg(fertiliser)/Ha",G357*E357,G357*E357/D357),0)), "")</f>
        <v/>
      </c>
      <c r="E361" s="1"/>
      <c r="I361" s="43"/>
      <c r="J361" s="164" t="s">
        <v>153</v>
      </c>
      <c r="K361" s="52" t="str">
        <f>IFERROR(SUM(IFERROR(IF(E320="kg(fertiliser)/Ha",F320*D320,F320)*INDEX(Soil_EFs,MATCH("Inorganic",Soil_EFs_N_type,0)),0),IFERROR(IF(E321="kg(fertiliser)/Ha",F321*D321,F321)*INDEX(Soil_EFs,MATCH("Inorganic",Soil_EFs_N_type,0)),0),IFERROR(IF(E322="kg(fertiliser)/Ha",F322*D322,F322)*INDEX(Soil_EFs,MATCH("Inorganic",Soil_EFs_N_type,0)),0),IFERROR(IF(E323="kg(fertiliser)/Ha",F323*D323,F323)*INDEX(Soil_EFs,MATCH("Inorganic",Soil_EFs_N_type,0)),0),IFERROR(IF(E324="kg(fertiliser)/Ha",F324*D324,F324)*INDEX(Soil_EFs,MATCH("Inorganic",Soil_EFs_N_type,0)),0),IFERROR(IF(E325="kg(fertiliser)/Ha",F325*D325,F325)*INDEX(Soil_EFs,MATCH("Inorganic",Soil_EFs_N_type,0)),0),IFERROR(IF(E326="kg(fertiliser)/Ha",F326*D326,F326)*INDEX(Soil_EFs,MATCH("Inorganic",Soil_EFs_N_type,0)),0),IFERROR(IF(E328="kg(fertiliser)/HA",F328*D328,IF(E328="t(fertiliser)/Ha",F328*1000*D328,F328))*INDEX(Soil_EFs,MATCH("organic",Soil_EFs_N_type,0)),0),IFERROR(IF(E329="kg(fertiliser)/HA",F329*D329,IF(E329="t(fertiliser)/Ha",F329*1000*D329,F329))*INDEX(Soil_EFs,MATCH("organic",Soil_EFs_N_type,0)),0),IFERROR(IF(E330="kg(fertiliser)/HA",F330*D330,IF(E330="t(fertiliser)/Ha",F330*1000*D330,F330))*INDEX(Soil_EFs,MATCH("organic",Soil_EFs_N_type,0)),0),IFERROR(IF(E331="kg(fertiliser)/HA",F331*D331,IF(E331="t(fertiliser)/Ha",F331*1000*D331,F331))*INDEX(Soil_EFs,MATCH("organic",Soil_EFs_N_type,0)),0),IFERROR(IF(E332="kg(fertiliser)/HA",F332*D332,IF(E332="t(fertiliser)/Ha",F332*1000*D332,F332))*INDEX(Soil_EFs,MATCH("organic",Soil_EFs_N_type,0)),0),IFERROR(IF(E333="kg(fertiliser)/HA",F333*D333,IF(E333="t(fertiliser)/Ha",F333*1000*D333,F333))*INDEX(Soil_EFs,MATCH("organic",Soil_EFs_N_type,0)),0),IFERROR(IF(E335="kg(fertiliser)/HA",F335*D335,IF(E335="t(fertiliser)/Ha",F335*1000*D335,F335))*'Reference values'!$D$348,0),IFERROR(IF(F337="kg(fertiliser)/Ha",G337*E337,G337*E337/D337)*INDEX(Soil_EFs,MATCH("Inorganic",Soil_EFs_N_type,0)),0),IFERROR(IF(F338="kg(fertiliser)/Ha",G338*E338,G338*E338/D338)*INDEX(Soil_EFs,MATCH("Inorganic",Soil_EFs_N_type,0)),0),IFERROR(IF(F339="kg(fertiliser)/Ha",G339*E339,G339*E339/D339)*INDEX(Soil_EFs,MATCH("Inorganic",Soil_EFs_N_type,0)),0),IFERROR(IF(F340="kg(fertiliser)/Ha",G340*E340,G340*E340/D340)*INDEX(Soil_EFs,MATCH("Inorganic",Soil_EFs_N_type,0)),0),IFERROR(IF(F341="kg(fertiliser)/Ha",G341*E341,G341*E341/D341)*INDEX(Soil_EFs,MATCH("Inorganic",Soil_EFs_N_type,0)),0),IFERROR(IF(F342="kg(fertiliser)/Ha",G342*E342,G342*E342/D342)*INDEX(Soil_EFs,MATCH("Inorganic",Soil_EFs_N_type,0)),0),IFERROR(IF(F343="kg(fertiliser)/Ha",G343*E343,G343*E343/D343)*INDEX(Soil_EFs,MATCH("Inorganic",Soil_EFs_N_type,0)),0),IFERROR(IF(F345="kg(fertiliser)/Ha",G345*E345,G345*E345/D345)*INDEX(Soil_EFs,MATCH("Inorganic",Soil_EFs_N_type,0)),0),IFERROR(IF(F346="kg(fertiliser)/Ha",G346*E346,G346*E346/D346)*INDEX(Soil_EFs,MATCH("Inorganic",Soil_EFs_N_type,0)),0),IFERROR(IF(F347="kg(fertiliser)/Ha",G347*E347,G347*E347/D347)*INDEX(Soil_EFs,MATCH("Inorganic",Soil_EFs_N_type,0)),0),IFERROR(IF(F348="kg(fertiliser)/Ha",G348*E348,G348*E348/D348)*INDEX(Soil_EFs,MATCH("Inorganic",Soil_EFs_N_type,0)),0),IFERROR(IF(F349="kg(fertiliser)/Ha",G349*E349,G349*E349/D349)*INDEX(Soil_EFs,MATCH("Inorganic",Soil_EFs_N_type,0)),0),IFERROR(IF(F350="kg(fertiliser)/Ha",G350*E350,G350*E350/D350)*INDEX(Soil_EFs,MATCH("Inorganic",Soil_EFs_N_type,0)),0),IFERROR(IF(F351="kg(fertiliser)/Ha",G351*E351,G351*E351/D351)*INDEX(Soil_EFs,MATCH("Inorganic",Soil_EFs_N_type,0)),0),IFERROR(IF(F353="kg(fertiliser)/Ha",G353*E353,G353*E353/D353)*INDEX(Soil_EFs,MATCH("Inorganic",Soil_EFs_N_type,0)),0),IFERROR(IF(F354="kg(fertiliser)/Ha",G354*E354,G354*E354/D354)*INDEX(Soil_EFs,MATCH("Inorganic",Soil_EFs_N_type,0)),0),IFERROR(IF(F355="kg(fertiliser)/Ha",G355*E355,G355*E355/D355)*INDEX(Soil_EFs,MATCH("Inorganic",Soil_EFs_N_type,0)),0),IFERROR(IF(F356="kg(fertiliser)/Ha",G356*E356,G356*E356/D356)*INDEX(Soil_EFs,MATCH("Inorganic",Soil_EFs_N_type,0)),0),IFERROR(IF(F357="kg(fertiliser)/Ha",G357*E357,G357*E357/D357)*INDEX(Soil_EFs,MATCH),0))/F317,"")</f>
        <v/>
      </c>
      <c r="L361" s="38"/>
      <c r="M361" s="35"/>
    </row>
    <row r="362" spans="2:13" s="4" customFormat="1" ht="14.25" customHeight="1" outlineLevel="1" x14ac:dyDescent="0.4">
      <c r="B362" s="20"/>
      <c r="C362" s="24"/>
      <c r="D362" s="21"/>
      <c r="E362" s="21"/>
      <c r="F362" s="21"/>
      <c r="G362" s="21"/>
      <c r="H362" s="21"/>
      <c r="I362" s="41"/>
      <c r="J362" s="36"/>
      <c r="K362" s="36"/>
      <c r="L362" s="37"/>
      <c r="M362" s="35"/>
    </row>
    <row r="363" spans="2:13" s="4" customFormat="1" outlineLevel="1" x14ac:dyDescent="0.4">
      <c r="B363" s="20"/>
      <c r="C363" s="150" t="s">
        <v>154</v>
      </c>
      <c r="D363" s="21"/>
      <c r="E363" s="21"/>
      <c r="F363" s="21"/>
      <c r="G363" s="21"/>
      <c r="H363" s="21"/>
      <c r="I363" s="41"/>
      <c r="J363" s="36"/>
      <c r="K363" s="36"/>
      <c r="L363" s="37"/>
      <c r="M363" s="35"/>
    </row>
    <row r="364" spans="2:13" s="14" customFormat="1" ht="30.6" outlineLevel="1" x14ac:dyDescent="0.4">
      <c r="B364" s="23"/>
      <c r="C364" s="166" t="s">
        <v>155</v>
      </c>
      <c r="D364" s="166" t="s">
        <v>156</v>
      </c>
      <c r="E364" s="166" t="s">
        <v>139</v>
      </c>
      <c r="F364" s="166" t="s">
        <v>140</v>
      </c>
      <c r="G364" s="24"/>
      <c r="H364" s="24"/>
      <c r="I364" s="42"/>
      <c r="J364" s="166" t="s">
        <v>155</v>
      </c>
      <c r="K364" s="164" t="s">
        <v>141</v>
      </c>
      <c r="L364" s="37"/>
      <c r="M364" s="63"/>
    </row>
    <row r="365" spans="2:13" s="4" customFormat="1" outlineLevel="1" x14ac:dyDescent="0.4">
      <c r="B365" s="20"/>
      <c r="C365" s="617" t="str">
        <f>IF(D313="Do not use defaults", "", "Pesticides")</f>
        <v/>
      </c>
      <c r="D365" s="620" t="str">
        <f>IF(C365="Pesticides", 100%, "")</f>
        <v/>
      </c>
      <c r="E365" s="27" t="str">
        <f>IF(C365="Pesticides", "kg(active ingredient)/Ha", "")</f>
        <v/>
      </c>
      <c r="F365" s="27" t="str">
        <f>IF(D313="Do not use defaults","",VLOOKUP(D313,Default_crop_data[],7,FALSE))</f>
        <v/>
      </c>
      <c r="G365" s="1"/>
      <c r="H365" s="1"/>
      <c r="I365" s="43"/>
      <c r="J365" s="27" t="str">
        <f>IF(C365&gt;0,C365,"")</f>
        <v/>
      </c>
      <c r="K365" s="91" t="str">
        <f>IFERROR(IF(C365&gt;0,IF(ISBLANK(E365),"Insert unit",IF(OR(ISBLANK(F365),AND(ISBLANK(D365),E365="kg(pesticide)/Ha")),"Insert data",(IF(E365="kg(pesticide)/HA",F365*D365,F365)*INDEX(Pesticide_EF,MATCH("Pesticide (any)",Pesticides,0))/F317)/1000)),""),"")</f>
        <v/>
      </c>
      <c r="L365" s="39"/>
      <c r="M365" s="35"/>
    </row>
    <row r="366" spans="2:13" s="4" customFormat="1" outlineLevel="1" x14ac:dyDescent="0.4">
      <c r="B366" s="20"/>
      <c r="C366" s="151"/>
      <c r="D366" s="139"/>
      <c r="E366" s="138"/>
      <c r="F366" s="134"/>
      <c r="G366" s="1"/>
      <c r="H366" s="1"/>
      <c r="I366" s="43"/>
      <c r="J366" s="27" t="str">
        <f>IF(C366&gt;0,C366,"")</f>
        <v/>
      </c>
      <c r="K366" s="91" t="str">
        <f>IFERROR(IF(C366&gt;0,IF(ISBLANK(G366),"Insert data",(IF(F366="kg(fertiliser)/HA",G366*D366,G366)*INDEX(Other_fertiliser_EF,MATCH(C366,Other_fertilisers,0))/F317)/1000),""),"")</f>
        <v/>
      </c>
      <c r="L366" s="39"/>
      <c r="M366" s="35"/>
    </row>
    <row r="367" spans="2:13" s="4" customFormat="1" outlineLevel="1" x14ac:dyDescent="0.4">
      <c r="B367" s="20"/>
      <c r="C367" s="151"/>
      <c r="D367" s="139"/>
      <c r="E367" s="138"/>
      <c r="F367" s="134"/>
      <c r="G367" s="1"/>
      <c r="H367" s="1"/>
      <c r="I367" s="43"/>
      <c r="J367" s="27" t="str">
        <f>IF(C367&gt;0,C367,"")</f>
        <v/>
      </c>
      <c r="K367" s="91" t="str">
        <f>IFERROR(IF(C367&gt;0,IF(ISBLANK(G367),"Insert data",(IF(F367="kg(fertiliser)/HA",G367*D367,G367)*INDEX(Other_fertiliser_EF,MATCH(C367,Other_fertilisers,0))/F317)/1000),""),"")</f>
        <v/>
      </c>
      <c r="L367" s="39"/>
      <c r="M367" s="35"/>
    </row>
    <row r="368" spans="2:13" s="4" customFormat="1" outlineLevel="1" x14ac:dyDescent="0.4">
      <c r="B368" s="20"/>
      <c r="C368" s="151"/>
      <c r="D368" s="139"/>
      <c r="E368" s="138"/>
      <c r="F368" s="134"/>
      <c r="G368" s="1"/>
      <c r="H368" s="1"/>
      <c r="I368" s="43"/>
      <c r="J368" s="27" t="str">
        <f>IF(C368&gt;0,C368,"")</f>
        <v/>
      </c>
      <c r="K368" s="91" t="str">
        <f>IFERROR(IF(C368&gt;0,IF(ISBLANK(G368),"Insert data",(IF(F368="kg(fertiliser)/HA",G368*D368,G368)*INDEX(Other_fertiliser_EF,MATCH(C368,Other_fertilisers,0))/F317)/1000),""),"")</f>
        <v/>
      </c>
      <c r="L368" s="39"/>
      <c r="M368" s="35"/>
    </row>
    <row r="369" spans="2:13" s="4" customFormat="1" outlineLevel="1" x14ac:dyDescent="0.4">
      <c r="B369" s="20"/>
      <c r="C369" s="151"/>
      <c r="D369" s="139"/>
      <c r="E369" s="138"/>
      <c r="F369" s="134"/>
      <c r="G369" s="1"/>
      <c r="H369" s="1"/>
      <c r="I369" s="43"/>
      <c r="J369" s="27" t="str">
        <f>IF(C369&gt;0,C369,"")</f>
        <v/>
      </c>
      <c r="K369" s="91" t="str">
        <f>IFERROR(IF(C369&gt;0,IF(ISBLANK(G369),"Insert data",(IF(F369="kg(fertiliser)/HA",G369*D369,G369)*INDEX(Other_fertiliser_EF,MATCH(C369,Other_fertilisers,0))/F317)/1000),""),"")</f>
        <v/>
      </c>
      <c r="L369" s="39"/>
      <c r="M369" s="35"/>
    </row>
    <row r="370" spans="2:13" s="4" customFormat="1" outlineLevel="1" x14ac:dyDescent="0.4">
      <c r="B370" s="20"/>
      <c r="C370" s="24"/>
      <c r="D370" s="21"/>
      <c r="E370" s="21"/>
      <c r="F370" s="21"/>
      <c r="G370" s="21"/>
      <c r="H370" s="21"/>
      <c r="I370" s="41"/>
      <c r="J370" s="36"/>
      <c r="K370" s="36"/>
      <c r="L370" s="37"/>
      <c r="M370" s="35"/>
    </row>
    <row r="371" spans="2:13" s="4" customFormat="1" outlineLevel="1" x14ac:dyDescent="0.4">
      <c r="B371" s="20"/>
      <c r="C371" s="150" t="s">
        <v>157</v>
      </c>
      <c r="D371" s="21"/>
      <c r="E371" s="21"/>
      <c r="F371" s="21"/>
      <c r="G371" s="21"/>
      <c r="H371" s="21"/>
      <c r="I371" s="41"/>
      <c r="J371" s="36"/>
      <c r="K371" s="36"/>
      <c r="L371" s="37"/>
      <c r="M371" s="35"/>
    </row>
    <row r="372" spans="2:13" s="4" customFormat="1" outlineLevel="1" x14ac:dyDescent="0.4">
      <c r="B372" s="20"/>
      <c r="C372" s="167" t="s">
        <v>158</v>
      </c>
      <c r="D372" s="168" t="s">
        <v>151</v>
      </c>
      <c r="E372" s="168" t="s">
        <v>140</v>
      </c>
      <c r="F372" s="21"/>
      <c r="G372" s="21"/>
      <c r="H372" s="21"/>
      <c r="I372" s="41"/>
      <c r="J372" s="164" t="s">
        <v>158</v>
      </c>
      <c r="K372" s="164" t="s">
        <v>141</v>
      </c>
      <c r="L372" s="37"/>
      <c r="M372" s="35"/>
    </row>
    <row r="373" spans="2:13" s="4" customFormat="1" outlineLevel="1" x14ac:dyDescent="0.4">
      <c r="B373" s="20"/>
      <c r="C373" s="617" t="str">
        <f>IF(D313="Silage grass", "Grass", IF(D313="Do not use defaults", "", D313))</f>
        <v/>
      </c>
      <c r="D373" s="27" t="str">
        <f>IF(C373=D313, "kg/Ha", "")</f>
        <v/>
      </c>
      <c r="E373" s="30" t="str">
        <f>IF(D313="Do not use defaults", "",VLOOKUP(D313,Default_crop_data[],8,FALSE))</f>
        <v/>
      </c>
      <c r="F373" s="1"/>
      <c r="G373" s="1"/>
      <c r="H373" s="1"/>
      <c r="I373" s="43"/>
      <c r="J373" s="27" t="str">
        <f>IF(C373&gt;0,C373,"")</f>
        <v/>
      </c>
      <c r="K373" s="52" t="str">
        <f>IF(C373&gt;0,IFERROR(E373*INDEX(Seed_EF,MATCH(C373,Seeds,0))/F317/1000,""),"")</f>
        <v/>
      </c>
      <c r="L373" s="38"/>
      <c r="M373" s="35"/>
    </row>
    <row r="374" spans="2:13" s="4" customFormat="1" outlineLevel="1" x14ac:dyDescent="0.4">
      <c r="B374" s="20"/>
      <c r="C374" s="153"/>
      <c r="D374" s="138"/>
      <c r="E374" s="140"/>
      <c r="F374" s="1"/>
      <c r="G374" s="1"/>
      <c r="H374" s="1"/>
      <c r="I374" s="43"/>
      <c r="J374" s="27" t="str">
        <f>IF(C374&gt;0,C374,"")</f>
        <v/>
      </c>
      <c r="K374" s="52" t="str">
        <f>IF(C374&gt;0,IFERROR(E374*INDEX(Seed_EF,MATCH(C374,Seeds,0))/F318/1000,""),"")</f>
        <v/>
      </c>
      <c r="L374" s="38"/>
      <c r="M374" s="35"/>
    </row>
    <row r="375" spans="2:13" s="4" customFormat="1" outlineLevel="1" x14ac:dyDescent="0.4">
      <c r="B375" s="20"/>
      <c r="C375" s="24"/>
      <c r="D375" s="21"/>
      <c r="E375" s="21"/>
      <c r="F375" s="21"/>
      <c r="G375" s="21"/>
      <c r="H375" s="21"/>
      <c r="I375" s="41"/>
      <c r="J375" s="36"/>
      <c r="K375" s="36"/>
      <c r="L375" s="37"/>
      <c r="M375" s="35"/>
    </row>
    <row r="376" spans="2:13" s="12" customFormat="1" ht="15" customHeight="1" outlineLevel="1" x14ac:dyDescent="0.35">
      <c r="B376" s="20"/>
      <c r="C376" s="25" t="s">
        <v>159</v>
      </c>
      <c r="D376" s="1"/>
      <c r="E376" s="1"/>
      <c r="F376" s="1"/>
      <c r="G376" s="1"/>
      <c r="H376" s="1"/>
      <c r="I376" s="43"/>
      <c r="J376" s="34"/>
      <c r="K376" s="34"/>
      <c r="L376" s="44"/>
      <c r="M376" s="54"/>
    </row>
    <row r="377" spans="2:13" s="12" customFormat="1" ht="15" customHeight="1" outlineLevel="1" x14ac:dyDescent="0.35">
      <c r="B377" s="20"/>
      <c r="C377" s="166" t="s">
        <v>160</v>
      </c>
      <c r="D377" s="164" t="s">
        <v>151</v>
      </c>
      <c r="E377" s="164" t="s">
        <v>140</v>
      </c>
      <c r="F377" s="1"/>
      <c r="G377" s="1"/>
      <c r="H377" s="1"/>
      <c r="I377" s="43"/>
      <c r="J377" s="164" t="s">
        <v>160</v>
      </c>
      <c r="K377" s="164" t="s">
        <v>141</v>
      </c>
      <c r="L377" s="37"/>
      <c r="M377" s="54"/>
    </row>
    <row r="378" spans="2:13" s="12" customFormat="1" ht="15" customHeight="1" outlineLevel="1" x14ac:dyDescent="0.35">
      <c r="B378" s="20"/>
      <c r="C378" s="621" t="str">
        <f>IF(D313="Do not use defaults", "", "Diesel")</f>
        <v/>
      </c>
      <c r="D378" s="74" t="str">
        <f>IF(D313="Do not use defaults", "", "litres/Ha")</f>
        <v/>
      </c>
      <c r="E378" s="622" t="str">
        <f>IF(D313="Do not use defaults", "",VLOOKUP(D313,Default_crop_data[],9,FALSE))</f>
        <v/>
      </c>
      <c r="F378" s="1"/>
      <c r="G378" s="26"/>
      <c r="H378" s="1"/>
      <c r="I378" s="43"/>
      <c r="J378" s="27" t="str">
        <f>IF(C378&gt;0,C378,"")</f>
        <v/>
      </c>
      <c r="K378" s="52" t="str">
        <f>IF(D313="Do not use defaults", "", IFERROR(IF(C378&gt;0,IF(ISBLANK(E378),"Insert data",IF(D378="litres/Ha",E378*INDEX(Fuel_Densities,MATCH(C378,Fuels_for_Densities,0))/1000*INDEX(Fuel_LHV,MATCH(C378,Fuels_for_LHV,0))/F317/1000*INDEX(Fuel_EFs,MATCH(C378,Fuels_for_EF,0)),IF(D378="kg/Ha",E378*INDEX(Fuel_LHV,MATCH(C378,Fuels_for_LHV,0))/F317/1000*INDEX(Fuel_EFs,MATCH(C378,Fuels_for_EF,0)),IF(D378="tonnes/Ha",E378*INDEX(Fuel_LHV,MATCH(C378,Fuels_for_LHV,0))/F317*INDEX(Fuel_EFs,MATCH(C378,Fuels_for_EF,0)),"Insert unit")))),""),""))</f>
        <v/>
      </c>
      <c r="L378" s="40"/>
      <c r="M378" s="54"/>
    </row>
    <row r="379" spans="2:13" s="12" customFormat="1" ht="15" customHeight="1" outlineLevel="1" x14ac:dyDescent="0.35">
      <c r="B379" s="20"/>
      <c r="C379" s="621" t="str">
        <f>IF(D313="Do not use defaults", "", "Diesel")</f>
        <v/>
      </c>
      <c r="D379" s="74" t="str">
        <f>IF(D313="Do not use defaults", "", "litres/Ha")</f>
        <v/>
      </c>
      <c r="E379" s="622" t="str">
        <f>IF(D313="Do not use defaults", "",VLOOKUP(D313,Default_crop_data[],10,FALSE))</f>
        <v/>
      </c>
      <c r="F379" s="1"/>
      <c r="G379" s="1"/>
      <c r="H379" s="1"/>
      <c r="I379" s="43"/>
      <c r="J379" s="27" t="str">
        <f>IF(C379&gt;0,C379,"")</f>
        <v/>
      </c>
      <c r="K379" s="52" t="str">
        <f>IF(D313="Do not use defaults", "", IFERROR(IF(C379&gt;0,IF(ISBLANK(E379),"Insert data",IF(D379="litres/Ha",E379*INDEX(Fuel_Densities,MATCH(C379,Fuels_for_Densities,0))/1000*INDEX(Fuel_LHV,MATCH(C379,Fuels_for_LHV,0))/F317/1000*INDEX(Fuel_EFs,MATCH(C379,Fuels_for_EF,0)),IF(D379="kg/Ha",E379*INDEX(Fuel_LHV,MATCH(C379,Fuels_for_LHV,0))/F317/1000*INDEX(Fuel_EFs,MATCH(C379,Fuels_for_EF,0)),IF(D379="tonnes/Ha",E379*INDEX(Fuel_LHV,MATCH(C379,Fuels_for_LHV,0))/F317*INDEX(Fuel_EFs,MATCH(C379,Fuels_for_EF,0)),"Insert unit")))),""),""))</f>
        <v/>
      </c>
      <c r="L379" s="40"/>
      <c r="M379" s="54"/>
    </row>
    <row r="380" spans="2:13" s="12" customFormat="1" ht="15" customHeight="1" outlineLevel="1" x14ac:dyDescent="0.35">
      <c r="B380" s="20"/>
      <c r="C380" s="154"/>
      <c r="D380" s="141"/>
      <c r="E380" s="142"/>
      <c r="F380" s="1"/>
      <c r="G380" s="1"/>
      <c r="H380" s="1"/>
      <c r="I380" s="43"/>
      <c r="J380" s="27" t="str">
        <f>IF(C380&gt;0,C380,"")</f>
        <v/>
      </c>
      <c r="K380" s="52" t="str">
        <f>IFERROR(IF(C380&gt;0,IF(ISBLANK(E380),"Insert data",IF(D380="litres/Ha",E380*INDEX(Fuel_Densities,MATCH(C380,Fuels_for_Densities,0))/1000*INDEX(Fuel_LHV,MATCH(C380,Fuels_for_LHV,0))/F317/1000*INDEX(Fuel_EFs,MATCH(C380,Fuels_for_EF,0)),IF(D380="kg/Ha",E380*INDEX(Fuel_LHV,MATCH(C380,Fuels_for_LHV,0))/F317/1000*INDEX(Fuel_EFs,MATCH(C380,Fuels_for_EF,0)),IF(D380="tonnes/Ha",E380*INDEX(Fuel_LHV,MATCH(C380,Fuels_for_LHV,0))/F317*INDEX(Fuel_EFs,MATCH(C380,Fuels_for_EF,0)),"Insert unit")))),""),"")</f>
        <v/>
      </c>
      <c r="L380" s="40"/>
      <c r="M380" s="54"/>
    </row>
    <row r="381" spans="2:13" s="12" customFormat="1" ht="15" customHeight="1" outlineLevel="1" x14ac:dyDescent="0.35">
      <c r="B381" s="20"/>
      <c r="C381" s="154"/>
      <c r="D381" s="141"/>
      <c r="E381" s="142"/>
      <c r="F381" s="1"/>
      <c r="G381" s="1"/>
      <c r="H381" s="1"/>
      <c r="I381" s="43"/>
      <c r="J381" s="27" t="str">
        <f>IF(C381&gt;0,C381,"")</f>
        <v/>
      </c>
      <c r="K381" s="52" t="str">
        <f>IFERROR(IF(C381&gt;0,IF(ISBLANK(E381),"Insert data",IF(D381="litres/Ha",E381*INDEX(Fuel_Densities,MATCH(C381,Fuels_for_Densities,0))/1000*INDEX(Fuel_LHV,MATCH(C381,Fuels_for_LHV,0))/F317/1000*INDEX(Fuel_EFs,MATCH(C381,Fuels_for_EF,0)),IF(D381="kg/Ha",E381*INDEX(Fuel_LHV,MATCH(C381,Fuels_for_LHV,0))/F317/1000*INDEX(Fuel_EFs,MATCH(C381,Fuels_for_EF,0)),IF(D381="tonnes/Ha",E381*INDEX(Fuel_LHV,MATCH(C381,Fuels_for_LHV,0))/F317*INDEX(Fuel_EFs,MATCH(C381,Fuels_for_EF,0)),"Insert unit")))),""),"")</f>
        <v/>
      </c>
      <c r="L381" s="40"/>
      <c r="M381" s="54"/>
    </row>
    <row r="382" spans="2:13" s="4" customFormat="1" ht="13.5" customHeight="1" outlineLevel="1" x14ac:dyDescent="0.4">
      <c r="B382" s="20"/>
      <c r="C382" s="24"/>
      <c r="D382" s="21"/>
      <c r="E382" s="21"/>
      <c r="F382" s="21"/>
      <c r="G382" s="21"/>
      <c r="H382" s="21"/>
      <c r="I382" s="46"/>
      <c r="J382" s="58"/>
      <c r="K382" s="58"/>
      <c r="L382" s="59"/>
      <c r="M382" s="35"/>
    </row>
    <row r="383" spans="2:13" s="4" customFormat="1" ht="13.5" customHeight="1" outlineLevel="1" x14ac:dyDescent="0.4">
      <c r="B383" s="20"/>
      <c r="C383" s="661" t="s">
        <v>120</v>
      </c>
      <c r="D383" s="21"/>
      <c r="E383" s="21"/>
      <c r="F383" s="21"/>
      <c r="G383" s="21"/>
      <c r="H383" s="21"/>
      <c r="I383" s="21"/>
      <c r="J383" s="21"/>
      <c r="K383" s="21"/>
      <c r="L383" s="21"/>
      <c r="M383" s="35"/>
    </row>
    <row r="384" spans="2:13" s="4" customFormat="1" ht="13.5" customHeight="1" outlineLevel="1" x14ac:dyDescent="0.4">
      <c r="B384" s="20"/>
      <c r="C384" s="166" t="s">
        <v>161</v>
      </c>
      <c r="D384" s="622">
        <f xml:space="preserve"> IFERROR(( Feedstocks!D14 * (Feedstocks!E14 / IF(Feedstocks!I14="Default",  Feedstocks!J14, Feedstocks!K14)) /('Transport 1'!F169 * 'Feedstock conversion'!F167 * 'Transport 2'!F169)) /F317, 0)</f>
        <v>0</v>
      </c>
      <c r="E384" s="21"/>
      <c r="F384" s="21"/>
      <c r="G384" s="21"/>
      <c r="H384" s="21"/>
      <c r="I384" s="21"/>
      <c r="J384" s="21"/>
      <c r="K384" s="21"/>
      <c r="L384" s="21"/>
      <c r="M384" s="35"/>
    </row>
    <row r="385" spans="2:13" s="4" customFormat="1" ht="13.5" customHeight="1" outlineLevel="1" x14ac:dyDescent="0.4">
      <c r="B385" s="28"/>
      <c r="C385" s="155"/>
      <c r="D385" s="29"/>
      <c r="E385" s="29"/>
      <c r="F385" s="29"/>
      <c r="G385" s="29"/>
      <c r="H385" s="29"/>
      <c r="I385" s="29"/>
      <c r="J385" s="29"/>
      <c r="K385" s="29"/>
      <c r="L385" s="29"/>
      <c r="M385" s="60"/>
    </row>
    <row r="386" spans="2:13" s="4" customFormat="1" x14ac:dyDescent="0.4">
      <c r="C386" s="14"/>
    </row>
    <row r="387" spans="2:13" s="4" customFormat="1" hidden="1" x14ac:dyDescent="0.4">
      <c r="C387" s="14"/>
    </row>
    <row r="388" spans="2:13" s="4" customFormat="1" ht="16.5" hidden="1" customHeight="1" x14ac:dyDescent="0.4">
      <c r="C388" s="14"/>
    </row>
    <row r="389" spans="2:13" s="4" customFormat="1" ht="16.5" hidden="1" customHeight="1" x14ac:dyDescent="0.4">
      <c r="C389" s="14"/>
    </row>
    <row r="390" spans="2:13" s="4" customFormat="1" ht="16.5" hidden="1" customHeight="1" x14ac:dyDescent="0.4">
      <c r="C390" s="14"/>
    </row>
    <row r="391" spans="2:13" s="4" customFormat="1" ht="16.5" hidden="1" customHeight="1" x14ac:dyDescent="0.4">
      <c r="C391" s="14"/>
    </row>
    <row r="392" spans="2:13" s="4" customFormat="1" ht="16.5" hidden="1" customHeight="1" x14ac:dyDescent="0.4">
      <c r="C392" s="14"/>
    </row>
    <row r="393" spans="2:13" s="4" customFormat="1" ht="16.5" hidden="1" customHeight="1" x14ac:dyDescent="0.4">
      <c r="C393" s="14"/>
    </row>
    <row r="394" spans="2:13" s="4" customFormat="1" ht="16.5" hidden="1" customHeight="1" x14ac:dyDescent="0.4">
      <c r="C394" s="14"/>
    </row>
    <row r="395" spans="2:13" s="4" customFormat="1" ht="16.5" hidden="1" customHeight="1" x14ac:dyDescent="0.4">
      <c r="C395" s="14"/>
    </row>
    <row r="396" spans="2:13" s="4" customFormat="1" ht="16.5" hidden="1" customHeight="1" x14ac:dyDescent="0.4">
      <c r="C396" s="14"/>
    </row>
    <row r="397" spans="2:13" s="4" customFormat="1" ht="16.5" hidden="1" customHeight="1" x14ac:dyDescent="0.4">
      <c r="C397" s="14"/>
    </row>
    <row r="398" spans="2:13" s="4" customFormat="1" ht="16.5" hidden="1" customHeight="1" x14ac:dyDescent="0.4">
      <c r="C398" s="14"/>
    </row>
    <row r="399" spans="2:13" s="4" customFormat="1" ht="16.5" hidden="1" customHeight="1" x14ac:dyDescent="0.4">
      <c r="C399" s="14"/>
    </row>
    <row r="400" spans="2:13" s="4" customFormat="1" ht="16.5" hidden="1" customHeight="1" x14ac:dyDescent="0.4">
      <c r="C400" s="14"/>
    </row>
    <row r="401" spans="2:13" s="4" customFormat="1" ht="16.5" hidden="1" customHeight="1" x14ac:dyDescent="0.4">
      <c r="C401" s="14"/>
    </row>
    <row r="402" spans="2:13" s="4" customFormat="1" ht="16.5" hidden="1" customHeight="1" x14ac:dyDescent="0.4">
      <c r="C402" s="14"/>
    </row>
    <row r="403" spans="2:13" s="4" customFormat="1" ht="16.5" hidden="1" customHeight="1" x14ac:dyDescent="0.4">
      <c r="C403" s="14"/>
    </row>
    <row r="404" spans="2:13" s="4" customFormat="1" ht="16.5" hidden="1" customHeight="1" x14ac:dyDescent="0.4">
      <c r="C404" s="14"/>
    </row>
    <row r="405" spans="2:13" s="4" customFormat="1" ht="16.5" hidden="1" customHeight="1" x14ac:dyDescent="0.4">
      <c r="C405" s="14"/>
    </row>
    <row r="406" spans="2:13" s="4" customFormat="1" ht="16.5" hidden="1" customHeight="1" x14ac:dyDescent="0.4">
      <c r="C406" s="14"/>
    </row>
    <row r="407" spans="2:13" s="4" customFormat="1" ht="16.5" hidden="1" customHeight="1" x14ac:dyDescent="0.4">
      <c r="C407" s="14"/>
    </row>
    <row r="408" spans="2:13" s="4" customFormat="1" ht="19.2" x14ac:dyDescent="0.45">
      <c r="B408" s="750" t="str">
        <f>"Cultivation &amp; Harvesting"&amp;" - "&amp;Feedstocks!C15</f>
        <v xml:space="preserve">Cultivation &amp; Harvesting - </v>
      </c>
      <c r="C408" s="750"/>
      <c r="D408" s="750"/>
      <c r="E408" s="750"/>
      <c r="F408" s="750"/>
      <c r="G408" s="750"/>
      <c r="H408" s="750"/>
      <c r="I408" s="750"/>
      <c r="J408" s="750"/>
      <c r="K408" s="750"/>
      <c r="L408" s="750"/>
      <c r="M408" s="750"/>
    </row>
    <row r="409" spans="2:13" s="4" customFormat="1" outlineLevel="1" x14ac:dyDescent="0.4">
      <c r="B409" s="17"/>
      <c r="C409" s="184"/>
      <c r="D409" s="19"/>
      <c r="E409" s="19"/>
      <c r="F409" s="19"/>
      <c r="G409" s="19"/>
      <c r="H409" s="19"/>
      <c r="I409" s="19"/>
      <c r="J409" s="19"/>
      <c r="K409" s="19"/>
      <c r="L409" s="19"/>
      <c r="M409" s="50"/>
    </row>
    <row r="410" spans="2:13" s="4" customFormat="1" outlineLevel="1" x14ac:dyDescent="0.4">
      <c r="B410" s="20"/>
      <c r="C410" s="356" t="s">
        <v>46</v>
      </c>
      <c r="D410" s="751"/>
      <c r="E410" s="751"/>
      <c r="F410" s="751"/>
      <c r="G410" s="1"/>
      <c r="I410" s="303" t="s">
        <v>122</v>
      </c>
      <c r="J410" s="64"/>
      <c r="K410" s="47"/>
      <c r="L410" s="45"/>
      <c r="M410" s="35"/>
    </row>
    <row r="411" spans="2:13" s="4" customFormat="1" outlineLevel="1" x14ac:dyDescent="0.4">
      <c r="B411" s="20"/>
      <c r="C411" s="162" t="s">
        <v>123</v>
      </c>
      <c r="D411" s="757" t="str">
        <f>IF(Feedstocks!$H$15&gt;0,Feedstocks!$H$15,"")</f>
        <v/>
      </c>
      <c r="E411" s="757"/>
      <c r="F411" s="752"/>
      <c r="G411" s="76"/>
      <c r="H411" s="94"/>
      <c r="I411" s="41"/>
      <c r="J411" s="36"/>
      <c r="K411" s="164" t="s">
        <v>124</v>
      </c>
      <c r="L411" s="37"/>
      <c r="M411" s="35"/>
    </row>
    <row r="412" spans="2:13" s="4" customFormat="1" outlineLevel="1" x14ac:dyDescent="0.4">
      <c r="B412" s="20"/>
      <c r="C412" s="24"/>
      <c r="D412" s="21"/>
      <c r="E412" s="21"/>
      <c r="F412" s="21"/>
      <c r="G412" s="21"/>
      <c r="H412" s="21"/>
      <c r="I412" s="41"/>
      <c r="J412" s="164" t="s">
        <v>125</v>
      </c>
      <c r="K412" s="183" t="str">
        <f>IFERROR(IF('Feedstock conversion'!E213="Yes",(K415/(IF(Feedstocks!I15="default",Feedstocks!J15,IF(Feedstocks!I15="actual",Feedstocks!K15,"Insert data (plant inputs)"))/Feedstocks!E15*'Transport 1'!F219*'Feedstock conversion'!D217*'Transport 2'!F219*('Digestion &amp; outputs'!$G$20/1000)))*IF('Feedstock conversion'!E242="Yes",'Feedstock conversion'!J245,1)*'Digestion &amp; outputs'!$K$23,IF('Feedstock conversion'!E213="No",(K415/(IF(Feedstocks!I15="default",Feedstocks!J15,IF(Feedstocks!I15="actual",Feedstocks!K15,"Insert data (plant inputs)"))/Feedstocks!E15*'Transport 1'!F219*'Transport 2'!F219*('Digestion &amp; outputs'!$G$20/1000)))*'Digestion &amp; outputs'!$K$23,"")),"")</f>
        <v/>
      </c>
      <c r="L412" s="37"/>
      <c r="M412" s="35"/>
    </row>
    <row r="413" spans="2:13" s="4" customFormat="1" ht="18" customHeight="1" outlineLevel="1" x14ac:dyDescent="0.4">
      <c r="B413" s="20"/>
      <c r="C413" s="286" t="s">
        <v>126</v>
      </c>
      <c r="D413" s="673" t="s">
        <v>127</v>
      </c>
      <c r="G413" s="21"/>
      <c r="H413" s="21"/>
      <c r="I413" s="41"/>
      <c r="J413" s="67"/>
      <c r="K413" s="67"/>
      <c r="L413" s="37"/>
      <c r="M413" s="35"/>
    </row>
    <row r="414" spans="2:13" s="4" customFormat="1" outlineLevel="1" x14ac:dyDescent="0.4">
      <c r="B414" s="20"/>
      <c r="C414" s="14"/>
      <c r="G414" s="21"/>
      <c r="H414" s="21"/>
      <c r="I414" s="41"/>
      <c r="J414" s="36"/>
      <c r="K414" s="164" t="s">
        <v>128</v>
      </c>
      <c r="L414" s="37"/>
      <c r="M414" s="35"/>
    </row>
    <row r="415" spans="2:13" s="4" customFormat="1" outlineLevel="1" x14ac:dyDescent="0.4">
      <c r="B415" s="20"/>
      <c r="C415" s="150" t="s">
        <v>129</v>
      </c>
      <c r="G415" s="21"/>
      <c r="H415" s="21"/>
      <c r="I415" s="41"/>
      <c r="J415" s="169" t="s">
        <v>130</v>
      </c>
      <c r="K415" s="52">
        <f>IFERROR(SUM(K420:K426,K428:K433,K437:K443,K445:K451,K453:K457,K461,K465:K469,K473,K478:K481),"")</f>
        <v>0</v>
      </c>
      <c r="L415" s="37"/>
      <c r="M415" s="35"/>
    </row>
    <row r="416" spans="2:13" s="4" customFormat="1" outlineLevel="1" x14ac:dyDescent="0.4">
      <c r="B416" s="20"/>
      <c r="C416" s="166" t="s">
        <v>131</v>
      </c>
      <c r="D416" s="164" t="s">
        <v>132</v>
      </c>
      <c r="E416" s="164" t="s">
        <v>133</v>
      </c>
      <c r="F416" s="164" t="s">
        <v>134</v>
      </c>
      <c r="G416" s="748" t="str">
        <f>IF(C417="actual","Must insert actual data for fertiliser application","")</f>
        <v/>
      </c>
      <c r="H416" s="21"/>
      <c r="I416" s="46"/>
      <c r="J416" s="58"/>
      <c r="K416" s="58"/>
      <c r="L416" s="59"/>
      <c r="M416" s="35"/>
    </row>
    <row r="417" spans="2:13" s="4" customFormat="1" outlineLevel="1" x14ac:dyDescent="0.4">
      <c r="B417" s="20"/>
      <c r="C417" s="151" t="s">
        <v>96</v>
      </c>
      <c r="D417" s="93" t="str">
        <f>IFERROR(INDEX(Crop_yields,MATCH(D413,Crops_for_yields,0)),"")</f>
        <v/>
      </c>
      <c r="E417" s="135"/>
      <c r="F417" s="31" t="str">
        <f>IFERROR(IF(C417="Default",D417,IF(ISBLANK(E417),"Insert data",E417)),"")</f>
        <v/>
      </c>
      <c r="G417" s="749"/>
      <c r="H417" s="21"/>
      <c r="I417" s="21"/>
      <c r="J417" s="21"/>
      <c r="K417" s="21"/>
      <c r="L417" s="21"/>
      <c r="M417" s="35"/>
    </row>
    <row r="418" spans="2:13" s="4" customFormat="1" ht="24" customHeight="1" outlineLevel="1" x14ac:dyDescent="0.4">
      <c r="B418" s="20"/>
      <c r="C418" s="150" t="s">
        <v>135</v>
      </c>
      <c r="D418" s="21"/>
      <c r="E418" s="21"/>
      <c r="F418" s="21"/>
      <c r="H418" s="21"/>
      <c r="I418" s="303" t="s">
        <v>136</v>
      </c>
      <c r="J418" s="47"/>
      <c r="K418" s="47"/>
      <c r="L418" s="45"/>
      <c r="M418" s="35"/>
    </row>
    <row r="419" spans="2:13" s="14" customFormat="1" outlineLevel="1" x14ac:dyDescent="0.4">
      <c r="B419" s="23"/>
      <c r="C419" s="166" t="s">
        <v>137</v>
      </c>
      <c r="D419" s="164" t="s">
        <v>138</v>
      </c>
      <c r="E419" s="164" t="s">
        <v>139</v>
      </c>
      <c r="F419" s="164" t="s">
        <v>140</v>
      </c>
      <c r="G419" s="4"/>
      <c r="H419" s="24"/>
      <c r="I419" s="42"/>
      <c r="J419" s="164" t="s">
        <v>137</v>
      </c>
      <c r="K419" s="164" t="s">
        <v>141</v>
      </c>
      <c r="L419" s="37"/>
      <c r="M419" s="63"/>
    </row>
    <row r="420" spans="2:13" s="4" customFormat="1" outlineLevel="1" x14ac:dyDescent="0.4">
      <c r="B420" s="20"/>
      <c r="C420" s="617" t="str">
        <f>IF(D413="Do not use defaults", "", "Nitrogen fertiliser (unspecified)")</f>
        <v/>
      </c>
      <c r="D420" s="618" t="str">
        <f>IF(D413="Do not use defaults", "",INDEX(N_fertiliser_N_composition,MATCH(C420,N_Fertilisers,0)))</f>
        <v/>
      </c>
      <c r="E420" s="27" t="str">
        <f>IF(D413="Do not use defaults","", "kg(Nitrogen)/Ha")</f>
        <v/>
      </c>
      <c r="F420" s="619" t="str">
        <f>IF(D413="Do not use defaults", "",VLOOKUP(D413,Default_crop_data[],2,FALSE))</f>
        <v/>
      </c>
      <c r="H420" s="1"/>
      <c r="I420" s="43"/>
      <c r="J420" s="27" t="str">
        <f t="shared" ref="J420:J426" si="12">IF(C420&gt;0,C420,"")</f>
        <v/>
      </c>
      <c r="K420" s="91" t="str">
        <f>IFERROR(IF(C420&gt;0,IF(ISBLANK(E420),"Insert unit",IF(ISBLANK(F420),"Insert data",(IF(E420="kg(fertiliser)/HA",F420*D420,F420)*INDEX(N_Fertiliser_EF,MATCH(C420,N_Fertilisers,0))/F417)/1000)),""),"")</f>
        <v/>
      </c>
      <c r="L420" s="39"/>
      <c r="M420" s="35"/>
    </row>
    <row r="421" spans="2:13" s="4" customFormat="1" outlineLevel="1" x14ac:dyDescent="0.4">
      <c r="B421" s="20"/>
      <c r="C421" s="151"/>
      <c r="D421" s="92" t="str">
        <f>IF(C421&gt;0,INDEX(N_fertiliser_N_composition,MATCH(C421,N_Fertilisers,0)),"")</f>
        <v/>
      </c>
      <c r="E421" s="138"/>
      <c r="F421" s="137"/>
      <c r="H421" s="1"/>
      <c r="I421" s="43"/>
      <c r="J421" s="27" t="str">
        <f t="shared" si="12"/>
        <v/>
      </c>
      <c r="K421" s="91" t="str">
        <f>IFERROR(IF(C421&gt;0,IF(ISBLANK(E421),"Insert unit",IF(ISBLANK(F421),"Insert data",(IF(E421="kg(fertiliser)/HA",F421*D421,F421)*INDEX(N_Fertiliser_EF,MATCH(C421,N_Fertilisers,0))/F417)/1000)),""),"")</f>
        <v/>
      </c>
      <c r="L421" s="39"/>
      <c r="M421" s="35"/>
    </row>
    <row r="422" spans="2:13" s="4" customFormat="1" outlineLevel="1" x14ac:dyDescent="0.4">
      <c r="B422" s="20"/>
      <c r="C422" s="151"/>
      <c r="D422" s="92" t="str">
        <f>IF(C422&gt;0,INDEX(N_fertiliser_N_composition,MATCH(C422,N_Fertilisers,0)),"")</f>
        <v/>
      </c>
      <c r="E422" s="138"/>
      <c r="F422" s="137"/>
      <c r="H422" s="1"/>
      <c r="I422" s="43"/>
      <c r="J422" s="27" t="str">
        <f t="shared" si="12"/>
        <v/>
      </c>
      <c r="K422" s="91" t="str">
        <f>IFERROR(IF(C422&gt;0,IF(ISBLANK(E422),"Insert unit",IF(ISBLANK(F422),"Insert data",(IF(E422="kg(fertiliser)/HA",F422*D422,F422)*INDEX(N_Fertiliser_EF,MATCH(C422,N_Fertilisers,0))/F417)/1000)),""),"")</f>
        <v/>
      </c>
      <c r="L422" s="39"/>
      <c r="M422" s="35"/>
    </row>
    <row r="423" spans="2:13" s="4" customFormat="1" outlineLevel="1" x14ac:dyDescent="0.4">
      <c r="B423" s="20"/>
      <c r="C423" s="151"/>
      <c r="D423" s="92" t="str">
        <f>IF(C423&gt;0,INDEX(N_fertiliser_N_composition,MATCH(C423,N_Fertilisers,0)),"")</f>
        <v/>
      </c>
      <c r="E423" s="138"/>
      <c r="F423" s="137"/>
      <c r="H423" s="1"/>
      <c r="I423" s="43"/>
      <c r="J423" s="27" t="str">
        <f t="shared" si="12"/>
        <v/>
      </c>
      <c r="K423" s="91" t="str">
        <f>IFERROR(IF(C423&gt;0,IF(ISBLANK(E423),"Insert unit",IF(ISBLANK(F423),"Insert data",(IF(E423="kg(fertiliser)/HA",F423*D423,F423)*INDEX(N_Fertiliser_EF,MATCH(C423,N_Fertilisers,0))/F417)/1000)),""),"")</f>
        <v/>
      </c>
      <c r="L423" s="39"/>
      <c r="M423" s="35"/>
    </row>
    <row r="424" spans="2:13" s="4" customFormat="1" outlineLevel="1" x14ac:dyDescent="0.4">
      <c r="B424" s="20"/>
      <c r="C424" s="151"/>
      <c r="D424" s="136"/>
      <c r="E424" s="138"/>
      <c r="F424" s="137"/>
      <c r="H424" s="1"/>
      <c r="I424" s="43"/>
      <c r="J424" s="27" t="str">
        <f t="shared" si="12"/>
        <v/>
      </c>
      <c r="K424" s="91" t="str">
        <f>IFERROR(IF(C424&gt;0,IF(ISBLANK(E424),"Insert unit",IF(OR(ISBLANK(F424),ISBLANK(D424)),"Insert data",(IF(E424="kg(fertiliser)/HA",F424*D424,F424)*INDEX(N_Fertiliser_EF,MATCH("nitrogen fertiliser (unspecified)",N_Fertilisers,0))/F417)/1000)),""),"")</f>
        <v/>
      </c>
      <c r="L424" s="39"/>
      <c r="M424" s="35"/>
    </row>
    <row r="425" spans="2:13" s="4" customFormat="1" outlineLevel="1" x14ac:dyDescent="0.4">
      <c r="B425" s="20"/>
      <c r="C425" s="151"/>
      <c r="D425" s="136"/>
      <c r="E425" s="138"/>
      <c r="F425" s="137"/>
      <c r="H425" s="1"/>
      <c r="I425" s="43"/>
      <c r="J425" s="27" t="str">
        <f t="shared" si="12"/>
        <v/>
      </c>
      <c r="K425" s="91" t="str">
        <f>IFERROR(IF(C425&gt;0,IF(ISBLANK(E425),"Insert unit",IF(OR(ISBLANK(F425),ISBLANK(D425)),"Insert data",(IF(E425="kg(fertiliser)/HA",F425*D425,F425)*INDEX(N_Fertiliser_EF,MATCH("nitrogen fertiliser (unspecified)",N_Fertilisers,0))/F417)/1000)),""),"")</f>
        <v/>
      </c>
      <c r="L425" s="39"/>
      <c r="M425" s="35"/>
    </row>
    <row r="426" spans="2:13" s="4" customFormat="1" outlineLevel="1" x14ac:dyDescent="0.4">
      <c r="B426" s="20"/>
      <c r="C426" s="151"/>
      <c r="D426" s="136"/>
      <c r="E426" s="138"/>
      <c r="F426" s="137"/>
      <c r="G426" s="14"/>
      <c r="H426" s="1"/>
      <c r="I426" s="43"/>
      <c r="J426" s="27" t="str">
        <f t="shared" si="12"/>
        <v/>
      </c>
      <c r="K426" s="91" t="str">
        <f>IFERROR(IF(C426&gt;0,IF(ISBLANK(E426),"Insert unit",IF(OR(ISBLANK(F426),ISBLANK(D426)),"Insert data",(IF(E426="kg(fertiliser)/HA",F426*D426,F426)*INDEX(N_Fertiliser_EF,MATCH("nitrogen fertiliser (unspecified)",N_Fertilisers,0))/F417)/1000)),""),"")</f>
        <v/>
      </c>
      <c r="L426" s="39"/>
      <c r="M426" s="35"/>
    </row>
    <row r="427" spans="2:13" s="4" customFormat="1" outlineLevel="1" x14ac:dyDescent="0.4">
      <c r="B427" s="20"/>
      <c r="C427" s="653" t="s">
        <v>142</v>
      </c>
      <c r="D427" s="654" t="s">
        <v>138</v>
      </c>
      <c r="E427" s="654" t="s">
        <v>139</v>
      </c>
      <c r="F427" s="655" t="s">
        <v>140</v>
      </c>
      <c r="G427" s="14"/>
      <c r="H427" s="1"/>
      <c r="I427" s="43"/>
      <c r="J427" s="166" t="s">
        <v>142</v>
      </c>
      <c r="K427" s="164" t="s">
        <v>141</v>
      </c>
      <c r="L427" s="39"/>
      <c r="M427" s="35"/>
    </row>
    <row r="428" spans="2:13" s="4" customFormat="1" outlineLevel="1" x14ac:dyDescent="0.4">
      <c r="B428" s="20"/>
      <c r="C428" s="649" t="str">
        <f>IF(D413="Do not use defaults", "", "Digestate")</f>
        <v/>
      </c>
      <c r="D428" s="618" t="str">
        <f>IF(D413="Do not use defaults", "",INDEX(Organic_fertilisers_N_Composition,MATCH(C428,Organic_fertilisers,0)))</f>
        <v/>
      </c>
      <c r="E428" s="27" t="str">
        <f>IF(D413="Do not use defaults", "", "t(fertiliser)/Ha")</f>
        <v/>
      </c>
      <c r="F428" s="651" t="str">
        <f>IF(D413="Do not use defaults", "",VLOOKUP(D413,Default_crop_data[],5,FALSE))</f>
        <v/>
      </c>
      <c r="G428" s="14"/>
      <c r="H428" s="1"/>
      <c r="I428" s="43"/>
      <c r="J428" s="27" t="str">
        <f t="shared" ref="J428:J433" si="13">IF(C428&gt;0,C428,"")</f>
        <v/>
      </c>
      <c r="K428" s="91" t="str">
        <f>IFERROR(IF(C428&gt;0,IF(ISBLANK(E428),"Insert unit",IF(ISBLANK(F428),"Insert data",(IF(E428="kg(fertiliser)/HA",F428*D428,IF(E428="t(fertiliser)/Ha",F428*1000*D428,F428))*INDEX(Organic_fertiliser_EF,MATCH(C428,Organic_fertilisers,0))/F417)/1000)),""),"")</f>
        <v/>
      </c>
      <c r="L428" s="39"/>
      <c r="M428" s="35"/>
    </row>
    <row r="429" spans="2:13" s="4" customFormat="1" outlineLevel="1" x14ac:dyDescent="0.4">
      <c r="B429" s="20"/>
      <c r="C429" s="650"/>
      <c r="D429" s="92" t="str">
        <f>IF(C429&gt;0,INDEX(Organic_fertilisers_N_Composition,MATCH(C429,Organic_fertilisers,0)),"")</f>
        <v/>
      </c>
      <c r="E429" s="138"/>
      <c r="F429" s="652"/>
      <c r="G429" s="14"/>
      <c r="H429" s="1"/>
      <c r="I429" s="43"/>
      <c r="J429" s="27" t="str">
        <f t="shared" si="13"/>
        <v/>
      </c>
      <c r="K429" s="91" t="str">
        <f>IFERROR(IF(C429&gt;0,IF(ISBLANK(E429),"Insert unit",IF(ISBLANK(F429),"Insert data",(IF(E429="kg(fertiliser)/HA",F429*D429,IF(E429="t(fertiliser)/Ha",F429*1000*D429,F429))*INDEX(Organic_fertiliser_EF,MATCH(C429,Organic_fertilisers,0))/F417)/1000)),""),"")</f>
        <v/>
      </c>
      <c r="L429" s="39"/>
      <c r="M429" s="35"/>
    </row>
    <row r="430" spans="2:13" s="4" customFormat="1" outlineLevel="1" x14ac:dyDescent="0.4">
      <c r="B430" s="20"/>
      <c r="C430" s="650"/>
      <c r="D430" s="92" t="str">
        <f>IF(C430&gt;0,INDEX(Organic_fertilisers_N_Composition,MATCH(C430,Organic_fertilisers,0)),"")</f>
        <v/>
      </c>
      <c r="E430" s="138"/>
      <c r="F430" s="652"/>
      <c r="G430" s="14"/>
      <c r="H430" s="1"/>
      <c r="I430" s="43"/>
      <c r="J430" s="27" t="str">
        <f t="shared" si="13"/>
        <v/>
      </c>
      <c r="K430" s="91" t="str">
        <f>IFERROR(IF(C430&gt;0,IF(ISBLANK(E430),"Insert unit",IF(ISBLANK(F430),"Insert data",(IF(E430="kg(fertiliser)/HA",F430*D430,IF(E430="t(fertiliser)/Ha",F430*1000*D430,F430))*INDEX(Organic_fertiliser_EF,MATCH(C430,Organic_fertilisers,0))/F417)/1000)),""),"")</f>
        <v/>
      </c>
      <c r="L430" s="39"/>
      <c r="M430" s="35"/>
    </row>
    <row r="431" spans="2:13" s="4" customFormat="1" outlineLevel="1" x14ac:dyDescent="0.4">
      <c r="B431" s="20"/>
      <c r="C431" s="650"/>
      <c r="D431" s="92" t="str">
        <f>IF(C431&gt;0,INDEX(Organic_fertilisers_N_Composition,MATCH(C431,Organic_fertilisers,0)),"")</f>
        <v/>
      </c>
      <c r="E431" s="138"/>
      <c r="F431" s="652"/>
      <c r="G431" s="14"/>
      <c r="H431" s="1"/>
      <c r="I431" s="43"/>
      <c r="J431" s="27" t="str">
        <f t="shared" si="13"/>
        <v/>
      </c>
      <c r="K431" s="91" t="str">
        <f>IFERROR(IF(C431&gt;0,IF(ISBLANK(E431),"Insert unit",IF(ISBLANK(F431),"Insert data",(IF(E431="kg(fertiliser)/HA",F431*D431,IF(E431="t(fertiliser)/Ha",F431*1000*D431,F431))*INDEX(Organic_fertiliser_EF,MATCH(C431,Organic_fertilisers,0))/F417)/1000)),""),"")</f>
        <v/>
      </c>
      <c r="L431" s="39"/>
      <c r="M431" s="35"/>
    </row>
    <row r="432" spans="2:13" s="4" customFormat="1" outlineLevel="1" x14ac:dyDescent="0.4">
      <c r="B432" s="20"/>
      <c r="C432" s="650"/>
      <c r="D432" s="136"/>
      <c r="E432" s="138"/>
      <c r="F432" s="652"/>
      <c r="G432" s="14"/>
      <c r="H432" s="1"/>
      <c r="I432" s="43"/>
      <c r="J432" s="27" t="str">
        <f t="shared" si="13"/>
        <v/>
      </c>
      <c r="K432" s="91" t="str">
        <f>IFERROR(IF(C432&gt;0,IF(ISBLANK(E432),"Insert unit",IF(ISBLANK(F432),"Insert data",0)),""),"")</f>
        <v/>
      </c>
      <c r="L432" s="39"/>
      <c r="M432" s="35"/>
    </row>
    <row r="433" spans="2:13" s="4" customFormat="1" outlineLevel="1" x14ac:dyDescent="0.4">
      <c r="B433" s="20"/>
      <c r="C433" s="656"/>
      <c r="D433" s="657"/>
      <c r="E433" s="658"/>
      <c r="F433" s="659"/>
      <c r="G433" s="14"/>
      <c r="H433" s="1"/>
      <c r="I433" s="43"/>
      <c r="J433" s="27" t="str">
        <f t="shared" si="13"/>
        <v/>
      </c>
      <c r="K433" s="91" t="str">
        <f>IFERROR(IF(C433&gt;0,IF(ISBLANK(E433),"Insert unit",IF(ISBLANK(F433),"Insert data",0)),""),"")</f>
        <v/>
      </c>
      <c r="L433" s="39"/>
      <c r="M433" s="35"/>
    </row>
    <row r="434" spans="2:13" s="4" customFormat="1" outlineLevel="1" x14ac:dyDescent="0.4">
      <c r="B434" s="20"/>
      <c r="C434" s="166" t="s">
        <v>143</v>
      </c>
      <c r="D434" s="164" t="s">
        <v>138</v>
      </c>
      <c r="E434" s="164" t="s">
        <v>139</v>
      </c>
      <c r="F434" s="164" t="s">
        <v>140</v>
      </c>
      <c r="G434" s="14"/>
      <c r="H434" s="1"/>
      <c r="I434" s="43"/>
      <c r="J434" s="166" t="str">
        <f>IF(C434&gt;0,C434,"")</f>
        <v>Low in-field emissions fertiliser</v>
      </c>
      <c r="K434" s="164" t="s">
        <v>141</v>
      </c>
      <c r="L434" s="39"/>
      <c r="M434" s="35"/>
    </row>
    <row r="435" spans="2:13" s="4" customFormat="1" outlineLevel="1" x14ac:dyDescent="0.4">
      <c r="B435" s="20"/>
      <c r="C435" s="151"/>
      <c r="D435" s="92"/>
      <c r="E435" s="138"/>
      <c r="F435" s="137"/>
      <c r="G435" s="14"/>
      <c r="H435" s="1"/>
      <c r="I435" s="43"/>
      <c r="J435" s="27" t="str">
        <f>IF(C435&gt;0,C435,"")</f>
        <v/>
      </c>
      <c r="K435" s="91" t="str" cm="1">
        <f t="array" ref="K435">IFERROR(IF(C435&gt;0,IF(ISBLANK(E435),"Insert unit",IF(ISBLANK(F435),"Insert data",(IF(E435="kg(fertiliser)/Ha",F435*D435,IF(E435="t(fertiliser)/Ha",F435*1000*D435,F435))*(Low_infield_EF_table[Emission Factor (gCO2eq/kgnitrogen)])/F417)/1000)),""),"")</f>
        <v/>
      </c>
      <c r="L435" s="39"/>
      <c r="M435" s="35"/>
    </row>
    <row r="436" spans="2:13" s="14" customFormat="1" outlineLevel="1" x14ac:dyDescent="0.4">
      <c r="B436" s="23"/>
      <c r="C436" s="166" t="s">
        <v>144</v>
      </c>
      <c r="D436" s="166" t="s">
        <v>145</v>
      </c>
      <c r="E436" s="166" t="s">
        <v>138</v>
      </c>
      <c r="F436" s="166" t="s">
        <v>139</v>
      </c>
      <c r="G436" s="166" t="s">
        <v>140</v>
      </c>
      <c r="H436" s="24"/>
      <c r="I436" s="42"/>
      <c r="J436" s="166" t="s">
        <v>144</v>
      </c>
      <c r="K436" s="164" t="s">
        <v>141</v>
      </c>
      <c r="L436" s="37"/>
      <c r="M436" s="63"/>
    </row>
    <row r="437" spans="2:13" s="4" customFormat="1" outlineLevel="1" x14ac:dyDescent="0.4">
      <c r="B437" s="20"/>
      <c r="C437" s="617" t="str">
        <f>IF(D413="Do not use defaults", "", "P2O5 fertiliser (unspecified)")</f>
        <v/>
      </c>
      <c r="D437" s="618" t="str" cm="1">
        <f t="array" ref="D437">IF(D413="Do not use defaults", "",INDEX(P_fertiliser_P_composition,MATCH(C437,P_fertilisers,0)))</f>
        <v/>
      </c>
      <c r="E437" s="618" t="str">
        <f>IF(C437="P2O5 fertiliser (unspecified)",0, "")</f>
        <v/>
      </c>
      <c r="F437" s="27" t="str">
        <f>IF(D413="Do not use defaults","", "t(kg(P2O5)/Ha")</f>
        <v/>
      </c>
      <c r="G437" s="619" t="str">
        <f>IF(D413="Do not use defaults","",VLOOKUP(D413,Default_crop_data[],3,FALSE))</f>
        <v/>
      </c>
      <c r="H437" s="1"/>
      <c r="I437" s="43"/>
      <c r="J437" s="27" t="str">
        <f>IF(C437&gt;0,C437,"")</f>
        <v/>
      </c>
      <c r="K437" s="91" t="str">
        <f>IFERROR(IF(C437&gt;0,IF(ISBLANK(F437),"Insert unit",IF(ISBLANK(G437),"Insert data",(IF(F437="kg(fertiliser)/HA",G437*D437,G437)*INDEX(P_fertiliser_EF,MATCH(C437,P_fertilisers,0))/F417)/1000)),""),"")</f>
        <v/>
      </c>
      <c r="L437" s="39"/>
      <c r="M437" s="35"/>
    </row>
    <row r="438" spans="2:13" s="4" customFormat="1" outlineLevel="1" x14ac:dyDescent="0.4">
      <c r="B438" s="20"/>
      <c r="C438" s="151"/>
      <c r="D438" s="92" t="str">
        <f>IF(C438&gt;0,INDEX(P_fertiliser_P_composition,MATCH(C438,P_fertilisers,0)),"")</f>
        <v/>
      </c>
      <c r="E438" s="92"/>
      <c r="F438" s="138"/>
      <c r="G438" s="137"/>
      <c r="H438" s="1"/>
      <c r="I438" s="43"/>
      <c r="J438" s="27" t="str">
        <f>IF(C438&gt;0,C438,"")</f>
        <v/>
      </c>
      <c r="K438" s="91" t="str">
        <f>IFERROR(IF(C438&gt;0,IF(ISBLANK(F438),"Insert unit",IF(ISBLANK(G438),"Insert data",(IF(F438="kg(fertiliser)/HA",G438*D438,G438)*INDEX(P_fertiliser_EF,MATCH(C438,P_fertilisers,0))/F417)/1000)),""),"")</f>
        <v/>
      </c>
      <c r="L438" s="39"/>
      <c r="M438" s="35"/>
    </row>
    <row r="439" spans="2:13" s="4" customFormat="1" outlineLevel="1" x14ac:dyDescent="0.4">
      <c r="B439" s="20"/>
      <c r="C439" s="151"/>
      <c r="D439" s="92" t="str">
        <f>IF(C439&gt;0,INDEX(P_fertiliser_P_composition,MATCH(C439,P_fertilisers,0)),"")</f>
        <v/>
      </c>
      <c r="E439" s="92"/>
      <c r="F439" s="138"/>
      <c r="G439" s="137"/>
      <c r="H439" s="1"/>
      <c r="I439" s="43"/>
      <c r="J439" s="27"/>
      <c r="K439" s="91" t="str">
        <f>IFERROR(IF(C439&gt;0,IF(ISBLANK(F439),"Insert unit",IF(ISBLANK(G439),"Insert data",(IF(F439="kg(fertiliser)/HA",G439*D439,G439)*INDEX(P_fertiliser_EF,MATCH(C439,P_fertilisers,0))/F417)/1000)),""),"")</f>
        <v/>
      </c>
      <c r="L439" s="39"/>
      <c r="M439" s="35"/>
    </row>
    <row r="440" spans="2:13" s="4" customFormat="1" outlineLevel="1" x14ac:dyDescent="0.4">
      <c r="B440" s="20"/>
      <c r="C440" s="151"/>
      <c r="D440" s="92" t="str">
        <f>IF(C440&gt;0,INDEX(P_fertiliser_P_composition,MATCH(C440,P_fertilisers,0)),"")</f>
        <v/>
      </c>
      <c r="E440" s="92"/>
      <c r="F440" s="138"/>
      <c r="G440" s="137"/>
      <c r="H440" s="1"/>
      <c r="I440" s="43"/>
      <c r="J440" s="27"/>
      <c r="K440" s="91" t="str">
        <f>IFERROR(IF(C440&gt;0,IF(ISBLANK(F440),"Insert unit",IF(ISBLANK(G440),"Insert data",(IF(F440="kg(fertiliser)/HA",G440*D440,G440)*INDEX(P_fertiliser_EF,MATCH(C440,P_fertilisers,0))/F417)/1000)),""),"")</f>
        <v/>
      </c>
      <c r="L440" s="39"/>
      <c r="M440" s="35"/>
    </row>
    <row r="441" spans="2:13" s="4" customFormat="1" outlineLevel="1" x14ac:dyDescent="0.4">
      <c r="B441" s="20"/>
      <c r="C441" s="151"/>
      <c r="D441" s="136"/>
      <c r="E441" s="136"/>
      <c r="F441" s="138"/>
      <c r="G441" s="137"/>
      <c r="H441" s="1"/>
      <c r="I441" s="43"/>
      <c r="J441" s="27"/>
      <c r="K441" s="91" t="str">
        <f>IFERROR(IF(C441&gt;0,IF(ISBLANK(F441),"Insert unit",IF(OR(ISBLANK(F441),ISBLANK(D441),ISBLANK(E441)),"Insert data",(IF(F441="kg(fertiliser)/HA",G441*D441,G441)*INDEX(P_fertiliser_EF,MATCH("p2O5 fertiliser (unspecified)",P_fertilisers,0))/F417)/1000)),""),"")</f>
        <v/>
      </c>
      <c r="L441" s="39"/>
      <c r="M441" s="35"/>
    </row>
    <row r="442" spans="2:13" s="4" customFormat="1" outlineLevel="1" x14ac:dyDescent="0.4">
      <c r="B442" s="20"/>
      <c r="C442" s="151"/>
      <c r="D442" s="136"/>
      <c r="E442" s="136"/>
      <c r="F442" s="138"/>
      <c r="G442" s="137"/>
      <c r="H442" s="1"/>
      <c r="I442" s="43"/>
      <c r="J442" s="27" t="str">
        <f>IF(C442&gt;0,C442,"")</f>
        <v/>
      </c>
      <c r="K442" s="91" t="str">
        <f>IFERROR(IF(C442&gt;0,IF(ISBLANK(F442),"Insert unit",IF(OR(ISBLANK(F442),ISBLANK(D442),ISBLANK(E442)),"Insert data",(IF(F442="kg(fertiliser)/HA",G442*D442,G442)*INDEX(P_fertiliser_EF,MATCH("p2O5 fertiliser (unspecified)",P_fertilisers,0))/F417)/1000)),""),"")</f>
        <v/>
      </c>
      <c r="L442" s="39"/>
      <c r="M442" s="35"/>
    </row>
    <row r="443" spans="2:13" s="4" customFormat="1" outlineLevel="1" x14ac:dyDescent="0.4">
      <c r="B443" s="20"/>
      <c r="C443" s="151"/>
      <c r="D443" s="136"/>
      <c r="E443" s="136"/>
      <c r="F443" s="138"/>
      <c r="G443" s="137"/>
      <c r="H443" s="1"/>
      <c r="I443" s="43"/>
      <c r="J443" s="27" t="str">
        <f>IF(C443&gt;0,C443,"")</f>
        <v/>
      </c>
      <c r="K443" s="91" t="str">
        <f>IFERROR(IF(C443&gt;0,IF(ISBLANK(F443),"Insert unit",IF(OR(ISBLANK(F443),ISBLANK(D443),ISBLANK(E443)),"Insert data",(IF(F443="kg(fertiliser)/HA",G443*D443,G443)*INDEX(P_fertiliser_EF,MATCH("p2O5 fertiliser (unspecified)",P_fertilisers,0))/F417)/1000)),""),"")</f>
        <v/>
      </c>
      <c r="L443" s="39"/>
      <c r="M443" s="35"/>
    </row>
    <row r="444" spans="2:13" s="14" customFormat="1" outlineLevel="1" x14ac:dyDescent="0.4">
      <c r="B444" s="23"/>
      <c r="C444" s="166" t="s">
        <v>146</v>
      </c>
      <c r="D444" s="166" t="s">
        <v>147</v>
      </c>
      <c r="E444" s="166" t="s">
        <v>138</v>
      </c>
      <c r="F444" s="166" t="s">
        <v>139</v>
      </c>
      <c r="G444" s="166" t="s">
        <v>140</v>
      </c>
      <c r="H444" s="24"/>
      <c r="I444" s="42"/>
      <c r="J444" s="166" t="s">
        <v>146</v>
      </c>
      <c r="K444" s="164" t="s">
        <v>141</v>
      </c>
      <c r="L444" s="37"/>
      <c r="M444" s="35"/>
    </row>
    <row r="445" spans="2:13" s="4" customFormat="1" outlineLevel="1" x14ac:dyDescent="0.4">
      <c r="B445" s="20"/>
      <c r="C445" s="617" t="str">
        <f>IF(D413="Do not use defaults", "", "K2O fertiliser (unspecified)")</f>
        <v/>
      </c>
      <c r="D445" s="618" t="str" cm="1">
        <f t="array" ref="D445">IF(D413="Do not use defaults", "",INDEX(K_fertiliser_K_composition,MATCH(C445,K_fertilisers,0)))</f>
        <v/>
      </c>
      <c r="E445" s="618" t="str" cm="1">
        <f t="array" ref="E445">IF(D413="Do not use defaults", "",INDEX(K_fertiliser_N_composition,MATCH(C445,K_fertilisers,0)))</f>
        <v/>
      </c>
      <c r="F445" s="27" t="str">
        <f>IF(D413="Do not use defaults","", "t(kg(K2O)/Ha")</f>
        <v/>
      </c>
      <c r="G445" s="619" t="str">
        <f>IF(D413="Do not use defaults", "",VLOOKUP(D413,Default_crop_data[],4,FALSE))</f>
        <v/>
      </c>
      <c r="H445" s="1"/>
      <c r="I445" s="43"/>
      <c r="J445" s="27" t="str">
        <f t="shared" ref="J445:J451" si="14">IF(C445&gt;0,C445,"")</f>
        <v/>
      </c>
      <c r="K445" s="91" t="str">
        <f>IFERROR(IF(C445&gt;0,IF(ISBLANK(F445),"Insert unit",IF(ISBLANK(G445),"Insert data",(IF(F445="kg(fertiliser)/HA",G445*D445,G445)*INDEX(K_Fertiliser_EF,MATCH(C445,K_fertilisers,0))/F417)/1000)),""),"")</f>
        <v/>
      </c>
      <c r="L445" s="39"/>
      <c r="M445" s="35"/>
    </row>
    <row r="446" spans="2:13" s="4" customFormat="1" outlineLevel="1" x14ac:dyDescent="0.4">
      <c r="B446" s="20"/>
      <c r="C446" s="151"/>
      <c r="D446" s="92" t="str">
        <f>IF(C446&gt;0,INDEX(K_fertiliser_K_composition,MATCH(C446,K_fertilisers,0)),"")</f>
        <v/>
      </c>
      <c r="E446" s="92" t="str">
        <f>IF(C446&gt;0,INDEX(K_fertiliser_N_composition,MATCH(C446,K_fertilisers,0)),"")</f>
        <v/>
      </c>
      <c r="F446" s="138"/>
      <c r="G446" s="137"/>
      <c r="H446" s="1"/>
      <c r="I446" s="43"/>
      <c r="J446" s="27" t="str">
        <f t="shared" si="14"/>
        <v/>
      </c>
      <c r="K446" s="91" t="str">
        <f>IFERROR(IF(C446&gt;0,IF(ISBLANK(F446),"Insert unit",IF(ISBLANK(G446),"Insert data",(IF(F446="kg(fertiliser)/HA",G446*D446,G446)*INDEX(K_Fertiliser_EF,MATCH(C446,K_fertilisers,0))/F417)/1000)),""),"")</f>
        <v/>
      </c>
      <c r="L446" s="39"/>
      <c r="M446" s="35"/>
    </row>
    <row r="447" spans="2:13" s="4" customFormat="1" outlineLevel="1" x14ac:dyDescent="0.4">
      <c r="B447" s="20"/>
      <c r="C447" s="151"/>
      <c r="D447" s="92" t="str">
        <f>IF(C447&gt;0,INDEX(K_fertiliser_K_composition,MATCH(C447,K_fertilisers,0)),"")</f>
        <v/>
      </c>
      <c r="E447" s="92" t="str">
        <f>IF(C447&gt;0,INDEX(K_fertiliser_N_composition,MATCH(C447,K_fertilisers,0)),"")</f>
        <v/>
      </c>
      <c r="F447" s="138"/>
      <c r="G447" s="137"/>
      <c r="H447" s="1"/>
      <c r="I447" s="43"/>
      <c r="J447" s="27" t="str">
        <f t="shared" si="14"/>
        <v/>
      </c>
      <c r="K447" s="91" t="str">
        <f>IFERROR(IF(C447&gt;0,IF(ISBLANK(F447),"Insert unit",IF(ISBLANK(G447),"Insert data",(IF(F447="kg(fertiliser)/HA",G447*D447,G447)*INDEX(K_Fertiliser_EF,MATCH(C447,K_fertilisers,0))/F417)/1000)),""),"")</f>
        <v/>
      </c>
      <c r="L447" s="39"/>
      <c r="M447" s="35"/>
    </row>
    <row r="448" spans="2:13" s="4" customFormat="1" outlineLevel="1" x14ac:dyDescent="0.4">
      <c r="B448" s="20"/>
      <c r="C448" s="151"/>
      <c r="D448" s="92"/>
      <c r="E448" s="92"/>
      <c r="F448" s="138"/>
      <c r="G448" s="137"/>
      <c r="H448" s="1"/>
      <c r="I448" s="43"/>
      <c r="J448" s="27" t="str">
        <f t="shared" si="14"/>
        <v/>
      </c>
      <c r="K448" s="91" t="str">
        <f>IFERROR(IF(C448&gt;0,IF(ISBLANK(F448),"Insert unit",IF(ISBLANK(G448),"Insert data",(IF(F448="kg(fertiliser)/HA",G448*D448,G448)*INDEX(K_Fertiliser_EF,MATCH(C448,K_fertilisers,0))/F417)/1000)),""),"")</f>
        <v/>
      </c>
      <c r="L448" s="39"/>
      <c r="M448" s="35"/>
    </row>
    <row r="449" spans="2:13" s="4" customFormat="1" outlineLevel="1" x14ac:dyDescent="0.4">
      <c r="B449" s="20"/>
      <c r="C449" s="151"/>
      <c r="D449" s="136"/>
      <c r="E449" s="136"/>
      <c r="F449" s="138"/>
      <c r="G449" s="137"/>
      <c r="H449" s="1"/>
      <c r="I449" s="43"/>
      <c r="J449" s="27" t="str">
        <f t="shared" si="14"/>
        <v/>
      </c>
      <c r="K449" s="91" t="str">
        <f>IFERROR(IF(C449&gt;0,IF(ISBLANK(F449),"Insert unit",IF(OR(ISBLANK(F449),ISBLANK(D449),ISBLANK(E449)),"Insert data",(IF(F449="kg(fertiliser)/HA",G449*D449,G449)*INDEX(K_Fertiliser_EF,MATCH("K2O fertiliser (unspecified)",K_fertilisers,0))/F417)/1000)),""),"")</f>
        <v/>
      </c>
      <c r="L449" s="39"/>
      <c r="M449" s="35"/>
    </row>
    <row r="450" spans="2:13" s="4" customFormat="1" outlineLevel="1" x14ac:dyDescent="0.4">
      <c r="B450" s="20"/>
      <c r="C450" s="151"/>
      <c r="D450" s="136"/>
      <c r="E450" s="136"/>
      <c r="F450" s="138"/>
      <c r="G450" s="137"/>
      <c r="H450" s="1"/>
      <c r="I450" s="43"/>
      <c r="J450" s="27" t="str">
        <f t="shared" si="14"/>
        <v/>
      </c>
      <c r="K450" s="91" t="str">
        <f>IFERROR(IF(C450&gt;0,IF(ISBLANK(F450),"Insert unit",IF(OR(ISBLANK(F450),ISBLANK(D450),ISBLANK(E450)),"Insert data",(IF(F450="kg(fertiliser)/HA",G450*D450,G450)*INDEX(K_Fertiliser_EF,MATCH("K2O fertiliser (unspecified)",K_fertilisers,0))/F417)/1000)),""),"")</f>
        <v/>
      </c>
      <c r="L450" s="39"/>
      <c r="M450" s="35"/>
    </row>
    <row r="451" spans="2:13" s="4" customFormat="1" outlineLevel="1" x14ac:dyDescent="0.4">
      <c r="B451" s="20"/>
      <c r="C451" s="151"/>
      <c r="D451" s="136"/>
      <c r="E451" s="136"/>
      <c r="F451" s="138"/>
      <c r="G451" s="137"/>
      <c r="H451" s="1"/>
      <c r="I451" s="43"/>
      <c r="J451" s="27" t="str">
        <f t="shared" si="14"/>
        <v/>
      </c>
      <c r="K451" s="91" t="str">
        <f>IFERROR(IF(C451&gt;0,IF(ISBLANK(F451),"Insert unit",IF(OR(ISBLANK(F451),ISBLANK(D451),ISBLANK(E451)),"Insert data",(IF(F451="kg(fertiliser)/HA",G451*D451,G451)*INDEX(K_Fertiliser_EF,MATCH("K2O fertiliser (unspecified)",K_fertilisers,0))/F417)/1000)),""),"")</f>
        <v/>
      </c>
      <c r="L451" s="39"/>
      <c r="M451" s="35"/>
    </row>
    <row r="452" spans="2:13" s="14" customFormat="1" outlineLevel="1" x14ac:dyDescent="0.4">
      <c r="B452" s="23"/>
      <c r="C452" s="166" t="s">
        <v>148</v>
      </c>
      <c r="D452" s="166" t="s">
        <v>149</v>
      </c>
      <c r="E452" s="166" t="s">
        <v>138</v>
      </c>
      <c r="F452" s="166" t="s">
        <v>139</v>
      </c>
      <c r="G452" s="166" t="s">
        <v>140</v>
      </c>
      <c r="H452" s="24"/>
      <c r="I452" s="42"/>
      <c r="J452" s="166" t="s">
        <v>148</v>
      </c>
      <c r="K452" s="164" t="s">
        <v>141</v>
      </c>
      <c r="L452" s="37"/>
      <c r="M452" s="63"/>
    </row>
    <row r="453" spans="2:13" s="4" customFormat="1" outlineLevel="1" x14ac:dyDescent="0.4">
      <c r="B453" s="20"/>
      <c r="C453" s="617" t="str">
        <f>IF(D413="Do not use defaults", "", "Lime fertiliser (CaO)")</f>
        <v/>
      </c>
      <c r="D453" s="618" t="str" cm="1">
        <f t="array" ref="D453">IF(D413="Do not use defaults", "",INDEX(Other_fertiliser_nutrient_composition,MATCH(C453,Other_fertilisers,0)))</f>
        <v/>
      </c>
      <c r="E453" s="618" t="str">
        <f>IF(D413="Do not use defaults", "",INDEX(Other_fertiliser_N_compostion,MATCH(C453,Other_fertilisers,0)))</f>
        <v/>
      </c>
      <c r="F453" s="27" t="str">
        <f>IF(D413="Do not use defaults","", "kg(nutrient)/Ha")</f>
        <v/>
      </c>
      <c r="G453" s="619" t="str">
        <f>IF(D413="Do not use defaults", "",VLOOKUP(D413,Default_crop_data[],6,FALSE))</f>
        <v/>
      </c>
      <c r="H453" s="1"/>
      <c r="I453" s="43"/>
      <c r="J453" s="27" t="str">
        <f>IF(C453&gt;0,C453,"")</f>
        <v/>
      </c>
      <c r="K453" s="91" t="str">
        <f>IFERROR(IF(C453&gt;0,IF(ISBLANK(F453),"Insert unit",IF(ISBLANK(G453),"Insert data",(IF(F453="kg(fertiliser)/HA",G453*D453,G453)*INDEX(Other_fertiliser_EF,MATCH(C453,Other_fertilisers,0))/F417)/1000)),""),"")</f>
        <v/>
      </c>
      <c r="L453" s="39"/>
      <c r="M453" s="35"/>
    </row>
    <row r="454" spans="2:13" s="4" customFormat="1" outlineLevel="1" x14ac:dyDescent="0.4">
      <c r="B454" s="20"/>
      <c r="C454" s="151"/>
      <c r="D454" s="92" t="str">
        <f>IF(C454&gt;0,INDEX(Other_fertiliser_nutrient_composition,MATCH(C454,Other_fertilisers,0)),"")</f>
        <v/>
      </c>
      <c r="E454" s="92" t="str">
        <f>IF(C454&gt;0,INDEX(Other_fertiliser_N_compostion,MATCH(C454,Other_fertilisers,0)),"")</f>
        <v/>
      </c>
      <c r="F454" s="138"/>
      <c r="G454" s="137"/>
      <c r="H454" s="1"/>
      <c r="I454" s="43"/>
      <c r="J454" s="27" t="str">
        <f>IF(C454&gt;0,C454,"")</f>
        <v/>
      </c>
      <c r="K454" s="91" t="str">
        <f>IFERROR(IF(C454&gt;0,IF(ISBLANK(F454),"Insert unit",IF(ISBLANK(G454),"Insert data",(IF(F454="kg(fertiliser)/HA",G454*D454,G454)*INDEX(Other_fertiliser_EF,MATCH(C454,Other_fertilisers,0))/F417)/1000)),""),"")</f>
        <v/>
      </c>
      <c r="L454" s="39"/>
      <c r="M454" s="35"/>
    </row>
    <row r="455" spans="2:13" s="4" customFormat="1" outlineLevel="1" x14ac:dyDescent="0.4">
      <c r="B455" s="20"/>
      <c r="C455" s="151"/>
      <c r="D455" s="92" t="str">
        <f>IF(C455&gt;0,INDEX(Other_fertiliser_nutrient_composition,MATCH(C455,Other_fertilisers,0)),"")</f>
        <v/>
      </c>
      <c r="E455" s="92" t="str">
        <f>IF(C455&gt;0,INDEX(Other_fertiliser_N_compostion,MATCH(C455,Other_fertilisers,0)),"")</f>
        <v/>
      </c>
      <c r="F455" s="138"/>
      <c r="G455" s="137"/>
      <c r="H455" s="1"/>
      <c r="I455" s="43"/>
      <c r="J455" s="27" t="str">
        <f>IF(C455&gt;0,C455,"")</f>
        <v/>
      </c>
      <c r="K455" s="91" t="str">
        <f>IFERROR(IF(C455&gt;0,IF(ISBLANK(F455),"Insert unit",IF(ISBLANK(G455),"Insert data",(IF(F455="kg(fertiliser)/HA",G455*D455,G455)*INDEX(Other_fertiliser_EF,MATCH(C455,Other_fertilisers,0))/F417)/1000)),""),"")</f>
        <v/>
      </c>
      <c r="L455" s="39"/>
      <c r="M455" s="35"/>
    </row>
    <row r="456" spans="2:13" s="4" customFormat="1" outlineLevel="1" x14ac:dyDescent="0.4">
      <c r="B456" s="20"/>
      <c r="C456" s="151"/>
      <c r="D456" s="92" t="str">
        <f>IF(C456&gt;0,INDEX(Other_fertiliser_nutrient_composition,MATCH(C456,Other_fertilisers,0)),"")</f>
        <v/>
      </c>
      <c r="E456" s="92" t="str">
        <f>IF(C456&gt;0,INDEX(Other_fertiliser_N_compostion,MATCH(C456,Other_fertilisers,0)),"")</f>
        <v/>
      </c>
      <c r="F456" s="138"/>
      <c r="G456" s="137"/>
      <c r="H456" s="1"/>
      <c r="I456" s="43"/>
      <c r="J456" s="27" t="str">
        <f>IF(C456&gt;0,C456,"")</f>
        <v/>
      </c>
      <c r="K456" s="91" t="str">
        <f>IFERROR(IF(C456&gt;0,IF(ISBLANK(F456),"Insert unit",IF(ISBLANK(G456),"Insert data",(IF(F456="kg(fertiliser)/HA",G456*D456,G456)*INDEX(Other_fertiliser_EF,MATCH(C456,Other_fertilisers,0))/F417)/1000)),""),"")</f>
        <v/>
      </c>
      <c r="L456" s="39"/>
      <c r="M456" s="35"/>
    </row>
    <row r="457" spans="2:13" s="4" customFormat="1" outlineLevel="1" x14ac:dyDescent="0.4">
      <c r="B457" s="20"/>
      <c r="C457" s="151"/>
      <c r="D457" s="92" t="str">
        <f>IF(C457&gt;0,INDEX(Other_fertiliser_nutrient_composition,MATCH(C457,Other_fertilisers,0)),"")</f>
        <v/>
      </c>
      <c r="E457" s="92" t="str">
        <f>IF(C457&gt;0,INDEX(Other_fertiliser_N_compostion,MATCH(C457,Other_fertilisers,0)),"")</f>
        <v/>
      </c>
      <c r="F457" s="138"/>
      <c r="G457" s="137"/>
      <c r="H457" s="1"/>
      <c r="I457" s="43"/>
      <c r="J457" s="27" t="str">
        <f>IF(C457&gt;0,C457,"")</f>
        <v/>
      </c>
      <c r="K457" s="91" t="str">
        <f>IFERROR(IF(C457&gt;0,IF(ISBLANK(F457),"Insert unit",IF(ISBLANK(G457),"Insert data",(IF(F457="kg(fertiliser)/HA",G457*D457,G457)*INDEX(Other_fertiliser_EF,MATCH(C457,Other_fertilisers,0))/F417)/1000)),""),"")</f>
        <v/>
      </c>
      <c r="L457" s="39"/>
      <c r="M457" s="35"/>
    </row>
    <row r="458" spans="2:13" s="4" customFormat="1" outlineLevel="1" x14ac:dyDescent="0.4">
      <c r="B458" s="20"/>
      <c r="C458" s="24"/>
      <c r="D458" s="21"/>
      <c r="E458" s="21"/>
      <c r="F458" s="21"/>
      <c r="G458" s="21"/>
      <c r="H458" s="21"/>
      <c r="I458" s="41"/>
      <c r="J458" s="36"/>
      <c r="K458" s="36"/>
      <c r="L458" s="37"/>
      <c r="M458" s="35"/>
    </row>
    <row r="459" spans="2:13" s="4" customFormat="1" outlineLevel="1" x14ac:dyDescent="0.4">
      <c r="B459" s="20"/>
      <c r="C459" s="185" t="s">
        <v>150</v>
      </c>
      <c r="D459" s="21"/>
      <c r="G459" s="21"/>
      <c r="H459" s="21"/>
      <c r="I459" s="41"/>
      <c r="J459" s="36"/>
      <c r="K459" s="36"/>
      <c r="L459" s="37"/>
      <c r="M459" s="35"/>
    </row>
    <row r="460" spans="2:13" s="4" customFormat="1" outlineLevel="1" x14ac:dyDescent="0.4">
      <c r="B460" s="20"/>
      <c r="C460" s="166" t="s">
        <v>151</v>
      </c>
      <c r="D460" s="164" t="s">
        <v>140</v>
      </c>
      <c r="I460" s="41"/>
      <c r="J460" s="36"/>
      <c r="K460" s="164" t="s">
        <v>141</v>
      </c>
      <c r="L460" s="37"/>
      <c r="M460" s="35"/>
    </row>
    <row r="461" spans="2:13" s="4" customFormat="1" outlineLevel="1" x14ac:dyDescent="0.4">
      <c r="B461" s="20"/>
      <c r="C461" s="152" t="s">
        <v>152</v>
      </c>
      <c r="D461" s="30" t="str">
        <f>IFERROR(SUM(IFERROR(IF(E420="kg(fertiliser)/Ha",F420*D420,F420),0),IFERROR(IF(E421="kg(fertiliser)/Ha",F421*D421,F421),0),IFERROR(IF(E422="kg(fertiliser)/Ha",F422*D422,F422),0),IFERROR(IF(E423="kg(fertiliser)/Ha",F423*D423,F423),0),IFERROR(IF(E424="kg(fertiliser)/Ha",F424*D424,F424),0),IFERROR(IF(E425="kg(fertiliser)/Ha",F425*D425,F425),0),IFERROR(IF(E426="kg(fertiliser)/Ha",F426*D426,F426),0),IFERROR(IF(E428="kg(fertiliser)/Ha",F428*D428,IF(E428="kg(nitrogen)/Ha",F428,F428*1000*D428)),0),IFERROR(IF(E429="kg(fertiliser)/Ha",F429*D429,IF(E429="kg(nitrogen)/Ha",F429,F429*1000*D429)),0),IFERROR(IF(E430="kg(fertiliser)/Ha",F430*D430,IF(E430="kg(nitrogen)/Ha",F430,F430*1000*D430)),0),IFERROR(IF(E431="kg(fertiliser)/Ha",F431*D431,IF(E431="kg(nitrogen)/Ha",F431,F431*1000*D431)),0),IFERROR(IF(E432="kg(fertiliser)/Ha",F432*D432,IF(E432="kg(nitrogen)/Ha",F432,F432*1000*D432)),0),IFERROR(IF(E433="kg(fertiliser)/Ha",F433*D433,IF(E433="kg(nitrogen)/Ha",F433,F433*1000*D433)),0),IFERROR(IF(E435="kg(fertiliser)/Ha",F435*D435,IF(E435="kg(nitrogen)/Ha",F435,F435*1000*D435)),0),IFERROR(IF(F437="kg(fertiliser)/Ha",G437*E437,G437*E437/D437),0),IFERROR(IF(F438="kg(fertiliser)/Ha",G438*E438,G438*E438/D438),0),IFERROR(IF(F439="kg(fertiliser)/Ha",G439*E439,G439*E439/D439),0),IFERROR(IF(F440="kg(fertiliser)/Ha",G440*E440,G440*E440/D440),0),IFERROR(IF(F441="kg(fertiliser)/Ha",G441*E441,G441*E441/D441),0),IFERROR(IF(F442="kg(fertiliser)/Ha",G442*E442,G442*E442/D442),0),IFERROR(IF(F443="kg(fertiliser)/Ha",G443*E443,G443*E443/D443),0),IFERROR(IF(F445="kg(fertiliser)/Ha",G445*E445,G445*E445/D445),0),IFERROR(IF(F446="kg(fertiliser)/Ha",G446*E446,G446*E446/D446),0),IFERROR(IF(F447="kg(fertiliser)/Ha",G447*E447,G447*E447/D447),0),IFERROR(IF(F448="kg(fertiliser)/Ha",G448*E448,G448*E448/D448),0),IFERROR(IF(F449="kg(fertiliser)/Ha",G449*E449,G449*E449/D449),0),IFERROR(IF(F450="kg(fertiliser)/Ha",G450*E450,G450*E450/D450),0),IFERROR(IF(F451="kg(fertiliser)/Ha",G451*E451,G451*E451/D451),0),IFERROR(IF(F453="kg(fertiliser)/Ha",G453*E453,G453*E453/D453),0),IFERROR(IF(F454="kg(fertiliser)/Ha",G454*E454,G454*E454/D454),0),IFERROR(IF(F455="kg(fertiliser)/Ha",G455*E455,G455*E455/D455),0),IFERROR(IF(F456="kg(fertiliser)/Ha",G456*E456,G456*E456/D456),0),IFERROR(IF(F457="kg(fertiliser)/Ha",G457*E457,G457*E457/D457),0)), "")</f>
        <v/>
      </c>
      <c r="E461" s="1"/>
      <c r="I461" s="43"/>
      <c r="J461" s="164" t="s">
        <v>153</v>
      </c>
      <c r="K461" s="52" t="str">
        <f>IFERROR(SUM(IFERROR(IF(E420="kg(fertiliser)/Ha",F420*D420,F420)*INDEX(Soil_EFs,MATCH("Inorganic",Soil_EFs_N_type,0)),0),IFERROR(IF(E421="kg(fertiliser)/Ha",F421*D421,F421)*INDEX(Soil_EFs,MATCH("Inorganic",Soil_EFs_N_type,0)),0),IFERROR(IF(E422="kg(fertiliser)/Ha",F422*D422,F422)*INDEX(Soil_EFs,MATCH("Inorganic",Soil_EFs_N_type,0)),0),IFERROR(IF(E423="kg(fertiliser)/Ha",F423*D423,F423)*INDEX(Soil_EFs,MATCH("Inorganic",Soil_EFs_N_type,0)),0),IFERROR(IF(E424="kg(fertiliser)/Ha",F424*D424,F424)*INDEX(Soil_EFs,MATCH("Inorganic",Soil_EFs_N_type,0)),0),IFERROR(IF(E425="kg(fertiliser)/Ha",F425*D425,F425)*INDEX(Soil_EFs,MATCH("Inorganic",Soil_EFs_N_type,0)),0),IFERROR(IF(E426="kg(fertiliser)/Ha",F426*D426,F426)*INDEX(Soil_EFs,MATCH("Inorganic",Soil_EFs_N_type,0)),0),IFERROR(IF(E428="kg(fertiliser)/HA",F428*D428,IF(E428="t(fertiliser)/Ha",F428*1000*D428,F428))*INDEX(Soil_EFs,MATCH("organic",Soil_EFs_N_type,0)),0),IFERROR(IF(E429="kg(fertiliser)/HA",F429*D429,IF(E429="t(fertiliser)/Ha",F429*1000*D429,F429))*INDEX(Soil_EFs,MATCH("organic",Soil_EFs_N_type,0)),0),IFERROR(IF(E430="kg(fertiliser)/HA",F430*D430,IF(E430="t(fertiliser)/Ha",F430*1000*D430,F430))*INDEX(Soil_EFs,MATCH("organic",Soil_EFs_N_type,0)),0),IFERROR(IF(E431="kg(fertiliser)/HA",F431*D431,IF(E431="t(fertiliser)/Ha",F431*1000*D431,F431))*INDEX(Soil_EFs,MATCH("organic",Soil_EFs_N_type,0)),0),IFERROR(IF(E432="kg(fertiliser)/HA",F432*D432,IF(E432="t(fertiliser)/Ha",F432*1000*D432,F432))*INDEX(Soil_EFs,MATCH("organic",Soil_EFs_N_type,0)),0),IFERROR(IF(E433="kg(fertiliser)/HA",F433*D433,IF(E433="t(fertiliser)/Ha",F433*1000*D433,F433))*INDEX(Soil_EFs,MATCH("organic",Soil_EFs_N_type,0)),0),IFERROR(IF(E435="kg(fertiliser)/HA",F435*D435,IF(E435="t(fertiliser)/Ha",F435*1000*D435,F435))*'Reference values'!$D$348,0),IFERROR(IF(F437="kg(fertiliser)/Ha",G437*E437,G437*E437/D437)*INDEX(Soil_EFs,MATCH("Inorganic",Soil_EFs_N_type,0)),0),IFERROR(IF(F438="kg(fertiliser)/Ha",G438*E438,G438*E438/D438)*INDEX(Soil_EFs,MATCH("Inorganic",Soil_EFs_N_type,0)),0),IFERROR(IF(F439="kg(fertiliser)/Ha",G439*E439,G439*E439/D439)*INDEX(Soil_EFs,MATCH("Inorganic",Soil_EFs_N_type,0)),0),IFERROR(IF(F440="kg(fertiliser)/Ha",G440*E440,G440*E440/D440)*INDEX(Soil_EFs,MATCH("Inorganic",Soil_EFs_N_type,0)),0),IFERROR(IF(F441="kg(fertiliser)/Ha",G441*E441,G441*E441/D441)*INDEX(Soil_EFs,MATCH("Inorganic",Soil_EFs_N_type,0)),0),IFERROR(IF(F442="kg(fertiliser)/Ha",G442*E442,G442*E442/D442)*INDEX(Soil_EFs,MATCH("Inorganic",Soil_EFs_N_type,0)),0),IFERROR(IF(F443="kg(fertiliser)/Ha",G443*E443,G443*E443/D443)*INDEX(Soil_EFs,MATCH("Inorganic",Soil_EFs_N_type,0)),0),IFERROR(IF(F445="kg(fertiliser)/Ha",G445*E445,G445*E445/D445)*INDEX(Soil_EFs,MATCH("Inorganic",Soil_EFs_N_type,0)),0),IFERROR(IF(F446="kg(fertiliser)/Ha",G446*E446,G446*E446/D446)*INDEX(Soil_EFs,MATCH("Inorganic",Soil_EFs_N_type,0)),0),IFERROR(IF(F447="kg(fertiliser)/Ha",G447*E447,G447*E447/D447)*INDEX(Soil_EFs,MATCH("Inorganic",Soil_EFs_N_type,0)),0),IFERROR(IF(F448="kg(fertiliser)/Ha",G448*E448,G448*E448/D448)*INDEX(Soil_EFs,MATCH("Inorganic",Soil_EFs_N_type,0)),0),IFERROR(IF(F449="kg(fertiliser)/Ha",G449*E449,G449*E449/D449)*INDEX(Soil_EFs,MATCH("Inorganic",Soil_EFs_N_type,0)),0),IFERROR(IF(F450="kg(fertiliser)/Ha",G450*E450,G450*E450/D450)*INDEX(Soil_EFs,MATCH("Inorganic",Soil_EFs_N_type,0)),0),IFERROR(IF(F451="kg(fertiliser)/Ha",G451*E451,G451*E451/D451)*INDEX(Soil_EFs,MATCH("Inorganic",Soil_EFs_N_type,0)),0),IFERROR(IF(F453="kg(fertiliser)/Ha",G453*E453,G453*E453/D453)*INDEX(Soil_EFs,MATCH("Inorganic",Soil_EFs_N_type,0)),0),IFERROR(IF(F454="kg(fertiliser)/Ha",G454*E454,G454*E454/D454)*INDEX(Soil_EFs,MATCH("Inorganic",Soil_EFs_N_type,0)),0),IFERROR(IF(F455="kg(fertiliser)/Ha",G455*E455,G455*E455/D455)*INDEX(Soil_EFs,MATCH("Inorganic",Soil_EFs_N_type,0)),0),IFERROR(IF(F456="kg(fertiliser)/Ha",G456*E456,G456*E456/D456)*INDEX(Soil_EFs,MATCH("Inorganic",Soil_EFs_N_type,0)),0),IFERROR(IF(F457="kg(fertiliser)/Ha",G457*E457,G457*E457/D457)*INDEX(Soil_EFs,MATCH),0))/F417,"")</f>
        <v/>
      </c>
      <c r="L461" s="38"/>
      <c r="M461" s="35"/>
    </row>
    <row r="462" spans="2:13" s="4" customFormat="1" ht="14.25" customHeight="1" outlineLevel="1" x14ac:dyDescent="0.4">
      <c r="B462" s="20"/>
      <c r="C462" s="24"/>
      <c r="D462" s="21"/>
      <c r="E462" s="21"/>
      <c r="F462" s="21"/>
      <c r="G462" s="21"/>
      <c r="H462" s="21"/>
      <c r="I462" s="41"/>
      <c r="J462" s="36"/>
      <c r="K462" s="36"/>
      <c r="L462" s="37"/>
      <c r="M462" s="35"/>
    </row>
    <row r="463" spans="2:13" s="4" customFormat="1" outlineLevel="1" x14ac:dyDescent="0.4">
      <c r="B463" s="20"/>
      <c r="C463" s="150" t="s">
        <v>154</v>
      </c>
      <c r="D463" s="21"/>
      <c r="E463" s="21"/>
      <c r="F463" s="21"/>
      <c r="G463" s="21"/>
      <c r="H463" s="21"/>
      <c r="I463" s="41"/>
      <c r="J463" s="36"/>
      <c r="K463" s="36"/>
      <c r="L463" s="37"/>
      <c r="M463" s="35"/>
    </row>
    <row r="464" spans="2:13" s="14" customFormat="1" ht="30.6" outlineLevel="1" x14ac:dyDescent="0.4">
      <c r="B464" s="23"/>
      <c r="C464" s="166" t="s">
        <v>155</v>
      </c>
      <c r="D464" s="166" t="s">
        <v>156</v>
      </c>
      <c r="E464" s="166" t="s">
        <v>139</v>
      </c>
      <c r="F464" s="166" t="s">
        <v>140</v>
      </c>
      <c r="G464" s="24"/>
      <c r="H464" s="24"/>
      <c r="I464" s="42"/>
      <c r="J464" s="166" t="s">
        <v>155</v>
      </c>
      <c r="K464" s="164" t="s">
        <v>141</v>
      </c>
      <c r="L464" s="37"/>
      <c r="M464" s="63"/>
    </row>
    <row r="465" spans="2:13" s="4" customFormat="1" outlineLevel="1" x14ac:dyDescent="0.4">
      <c r="B465" s="20"/>
      <c r="C465" s="617" t="str">
        <f>IF(D413="Do not use defaults", "", "Pesticides")</f>
        <v/>
      </c>
      <c r="D465" s="620" t="str">
        <f>IF(C465="Pesticides", 100%, "")</f>
        <v/>
      </c>
      <c r="E465" s="27" t="str">
        <f>IF(C465="Pesticides", "kg(active ingredient)/Ha", "")</f>
        <v/>
      </c>
      <c r="F465" s="27" t="str">
        <f>IF(D413="Do not use defaults","",VLOOKUP(D413,Default_crop_data[],7,FALSE))</f>
        <v/>
      </c>
      <c r="G465" s="1"/>
      <c r="H465" s="1"/>
      <c r="I465" s="43"/>
      <c r="J465" s="27" t="str">
        <f>IF(C465&gt;0,C465,"")</f>
        <v/>
      </c>
      <c r="K465" s="91" t="str">
        <f>IFERROR(IF(C465&gt;0,IF(ISBLANK(E465),"Insert unit",IF(OR(ISBLANK(F465),AND(ISBLANK(D465),E465="kg(pesticide)/Ha")),"Insert data",(IF(E465="kg(pesticide)/HA",F465*D465,F465)*INDEX(Pesticide_EF,MATCH("Pesticide (any)",Pesticides,0))/F417)/1000)),""),"")</f>
        <v/>
      </c>
      <c r="L465" s="39"/>
      <c r="M465" s="35"/>
    </row>
    <row r="466" spans="2:13" s="4" customFormat="1" outlineLevel="1" x14ac:dyDescent="0.4">
      <c r="B466" s="20"/>
      <c r="C466" s="151"/>
      <c r="D466" s="139"/>
      <c r="E466" s="138"/>
      <c r="F466" s="134"/>
      <c r="G466" s="1"/>
      <c r="H466" s="1"/>
      <c r="I466" s="43"/>
      <c r="J466" s="27" t="str">
        <f>IF(C466&gt;0,C466,"")</f>
        <v/>
      </c>
      <c r="K466" s="91" t="str">
        <f>IFERROR(IF(C466&gt;0,IF(ISBLANK(G466),"Insert data",(IF(F466="kg(fertiliser)/HA",G466*D466,G466)*INDEX(Other_fertiliser_EF,MATCH(C466,Other_fertilisers,0))/F417)/1000),""),"")</f>
        <v/>
      </c>
      <c r="L466" s="39"/>
      <c r="M466" s="35"/>
    </row>
    <row r="467" spans="2:13" s="4" customFormat="1" outlineLevel="1" x14ac:dyDescent="0.4">
      <c r="B467" s="20"/>
      <c r="C467" s="151"/>
      <c r="D467" s="139"/>
      <c r="E467" s="138"/>
      <c r="F467" s="134"/>
      <c r="G467" s="1"/>
      <c r="H467" s="1"/>
      <c r="I467" s="43"/>
      <c r="J467" s="27" t="str">
        <f>IF(C467&gt;0,C467,"")</f>
        <v/>
      </c>
      <c r="K467" s="91" t="str">
        <f>IFERROR(IF(C467&gt;0,IF(ISBLANK(G467),"Insert data",(IF(F467="kg(fertiliser)/HA",G467*D467,G467)*INDEX(Other_fertiliser_EF,MATCH(C467,Other_fertilisers,0))/F417)/1000),""),"")</f>
        <v/>
      </c>
      <c r="L467" s="39"/>
      <c r="M467" s="35"/>
    </row>
    <row r="468" spans="2:13" s="4" customFormat="1" outlineLevel="1" x14ac:dyDescent="0.4">
      <c r="B468" s="20"/>
      <c r="C468" s="151"/>
      <c r="D468" s="139"/>
      <c r="E468" s="138"/>
      <c r="F468" s="134"/>
      <c r="G468" s="1"/>
      <c r="H468" s="1"/>
      <c r="I468" s="43"/>
      <c r="J468" s="27" t="str">
        <f>IF(C468&gt;0,C468,"")</f>
        <v/>
      </c>
      <c r="K468" s="91" t="str">
        <f>IFERROR(IF(C468&gt;0,IF(ISBLANK(G468),"Insert data",(IF(F468="kg(fertiliser)/HA",G468*D468,G468)*INDEX(Other_fertiliser_EF,MATCH(C468,Other_fertilisers,0))/F417)/1000),""),"")</f>
        <v/>
      </c>
      <c r="L468" s="39"/>
      <c r="M468" s="35"/>
    </row>
    <row r="469" spans="2:13" s="4" customFormat="1" outlineLevel="1" x14ac:dyDescent="0.4">
      <c r="B469" s="20"/>
      <c r="C469" s="151"/>
      <c r="D469" s="139"/>
      <c r="E469" s="138"/>
      <c r="F469" s="134"/>
      <c r="G469" s="1"/>
      <c r="H469" s="1"/>
      <c r="I469" s="43"/>
      <c r="J469" s="27" t="str">
        <f>IF(C469&gt;0,C469,"")</f>
        <v/>
      </c>
      <c r="K469" s="91" t="str">
        <f>IFERROR(IF(C469&gt;0,IF(ISBLANK(G469),"Insert data",(IF(F469="kg(fertiliser)/HA",G469*D469,G469)*INDEX(Other_fertiliser_EF,MATCH(C469,Other_fertilisers,0))/F417)/1000),""),"")</f>
        <v/>
      </c>
      <c r="L469" s="39"/>
      <c r="M469" s="35"/>
    </row>
    <row r="470" spans="2:13" s="4" customFormat="1" outlineLevel="1" x14ac:dyDescent="0.4">
      <c r="B470" s="20"/>
      <c r="C470" s="24"/>
      <c r="D470" s="21"/>
      <c r="E470" s="21"/>
      <c r="F470" s="21"/>
      <c r="G470" s="21"/>
      <c r="H470" s="21"/>
      <c r="I470" s="41"/>
      <c r="J470" s="36"/>
      <c r="K470" s="36"/>
      <c r="L470" s="37"/>
      <c r="M470" s="35"/>
    </row>
    <row r="471" spans="2:13" s="4" customFormat="1" outlineLevel="1" x14ac:dyDescent="0.4">
      <c r="B471" s="20"/>
      <c r="C471" s="150" t="s">
        <v>157</v>
      </c>
      <c r="D471" s="21"/>
      <c r="E471" s="21"/>
      <c r="F471" s="21"/>
      <c r="G471" s="21"/>
      <c r="H471" s="21"/>
      <c r="I471" s="41"/>
      <c r="J471" s="36"/>
      <c r="K471" s="36"/>
      <c r="L471" s="37"/>
      <c r="M471" s="35"/>
    </row>
    <row r="472" spans="2:13" s="4" customFormat="1" outlineLevel="1" x14ac:dyDescent="0.4">
      <c r="B472" s="20"/>
      <c r="C472" s="167" t="s">
        <v>158</v>
      </c>
      <c r="D472" s="168" t="s">
        <v>151</v>
      </c>
      <c r="E472" s="168" t="s">
        <v>140</v>
      </c>
      <c r="F472" s="21"/>
      <c r="G472" s="21"/>
      <c r="H472" s="21"/>
      <c r="I472" s="41"/>
      <c r="J472" s="164" t="s">
        <v>158</v>
      </c>
      <c r="K472" s="164" t="s">
        <v>141</v>
      </c>
      <c r="L472" s="37"/>
      <c r="M472" s="35"/>
    </row>
    <row r="473" spans="2:13" s="4" customFormat="1" outlineLevel="1" x14ac:dyDescent="0.4">
      <c r="B473" s="20"/>
      <c r="C473" s="617" t="str">
        <f>IF(D413="Silage grass", "Grass", IF(D413="Do not use defaults", "", D413))</f>
        <v/>
      </c>
      <c r="D473" s="27" t="str">
        <f>IF(C473=D413, "kg/Ha", "")</f>
        <v/>
      </c>
      <c r="E473" s="30" t="str">
        <f>IF(D413="Do not use defaults", "",VLOOKUP(D413,Default_crop_data[],8,FALSE))</f>
        <v/>
      </c>
      <c r="F473" s="1"/>
      <c r="G473" s="1"/>
      <c r="H473" s="1"/>
      <c r="I473" s="43"/>
      <c r="J473" s="27" t="str">
        <f>IF(C473&gt;0,C473,"")</f>
        <v/>
      </c>
      <c r="K473" s="52" t="str">
        <f>IF(C473&gt;0,IFERROR(E473*INDEX(Seed_EF,MATCH(C473,Seeds,0))/F417/1000,""),"")</f>
        <v/>
      </c>
      <c r="L473" s="38"/>
      <c r="M473" s="35"/>
    </row>
    <row r="474" spans="2:13" s="4" customFormat="1" outlineLevel="1" x14ac:dyDescent="0.4">
      <c r="B474" s="20"/>
      <c r="C474" s="153"/>
      <c r="D474" s="138"/>
      <c r="E474" s="140"/>
      <c r="F474" s="1"/>
      <c r="G474" s="1"/>
      <c r="H474" s="1"/>
      <c r="I474" s="43"/>
      <c r="J474" s="27" t="str">
        <f>IF(C474&gt;0,C474,"")</f>
        <v/>
      </c>
      <c r="K474" s="52" t="str">
        <f>IF(C474&gt;0,IFERROR(E474*INDEX(Seed_EF,MATCH(C474,Seeds,0))/F418/1000,""),"")</f>
        <v/>
      </c>
      <c r="L474" s="38"/>
      <c r="M474" s="35"/>
    </row>
    <row r="475" spans="2:13" s="4" customFormat="1" outlineLevel="1" x14ac:dyDescent="0.4">
      <c r="B475" s="20"/>
      <c r="C475" s="24"/>
      <c r="D475" s="21"/>
      <c r="E475" s="21"/>
      <c r="F475" s="21"/>
      <c r="G475" s="21"/>
      <c r="H475" s="21"/>
      <c r="I475" s="41"/>
      <c r="J475" s="36"/>
      <c r="K475" s="36"/>
      <c r="L475" s="37"/>
      <c r="M475" s="35"/>
    </row>
    <row r="476" spans="2:13" s="12" customFormat="1" ht="15" customHeight="1" outlineLevel="1" x14ac:dyDescent="0.35">
      <c r="B476" s="20"/>
      <c r="C476" s="25" t="s">
        <v>159</v>
      </c>
      <c r="D476" s="1"/>
      <c r="E476" s="1"/>
      <c r="F476" s="1"/>
      <c r="G476" s="1"/>
      <c r="H476" s="1"/>
      <c r="I476" s="43"/>
      <c r="J476" s="34"/>
      <c r="K476" s="34"/>
      <c r="L476" s="44"/>
      <c r="M476" s="54"/>
    </row>
    <row r="477" spans="2:13" s="12" customFormat="1" ht="15" customHeight="1" outlineLevel="1" x14ac:dyDescent="0.35">
      <c r="B477" s="20"/>
      <c r="C477" s="166" t="s">
        <v>160</v>
      </c>
      <c r="D477" s="164" t="s">
        <v>151</v>
      </c>
      <c r="E477" s="164" t="s">
        <v>140</v>
      </c>
      <c r="F477" s="1"/>
      <c r="G477" s="1"/>
      <c r="H477" s="1"/>
      <c r="I477" s="43"/>
      <c r="J477" s="164" t="s">
        <v>160</v>
      </c>
      <c r="K477" s="164" t="s">
        <v>141</v>
      </c>
      <c r="L477" s="37"/>
      <c r="M477" s="54"/>
    </row>
    <row r="478" spans="2:13" s="12" customFormat="1" ht="15" customHeight="1" outlineLevel="1" x14ac:dyDescent="0.35">
      <c r="B478" s="20"/>
      <c r="C478" s="621" t="str">
        <f>IF(D413="Do not use defaults", "", "Diesel")</f>
        <v/>
      </c>
      <c r="D478" s="74" t="str">
        <f>IF(D413="Do not use defaults", "", "litres/Ha")</f>
        <v/>
      </c>
      <c r="E478" s="622" t="str">
        <f>IF(D413="Do not use defaults", "",VLOOKUP(D413,Default_crop_data[],9,FALSE))</f>
        <v/>
      </c>
      <c r="F478" s="1"/>
      <c r="G478" s="26"/>
      <c r="H478" s="1"/>
      <c r="I478" s="43"/>
      <c r="J478" s="27" t="str">
        <f>IF(C478&gt;0,C478,"")</f>
        <v/>
      </c>
      <c r="K478" s="52" t="str">
        <f>IF(D413="Do not use defaults", "", IFERROR(IF(C478&gt;0,IF(ISBLANK(E478),"Insert data",IF(D478="litres/Ha",E478*INDEX(Fuel_Densities,MATCH(C478,Fuels_for_Densities,0))/1000*INDEX(Fuel_LHV,MATCH(C478,Fuels_for_LHV,0))/F417/1000*INDEX(Fuel_EFs,MATCH(C478,Fuels_for_EF,0)),IF(D478="kg/Ha",E478*INDEX(Fuel_LHV,MATCH(C478,Fuels_for_LHV,0))/F417/1000*INDEX(Fuel_EFs,MATCH(C478,Fuels_for_EF,0)),IF(D478="tonnes/Ha",E478*INDEX(Fuel_LHV,MATCH(C478,Fuels_for_LHV,0))/F417*INDEX(Fuel_EFs,MATCH(C478,Fuels_for_EF,0)),"Insert unit")))),""),""))</f>
        <v/>
      </c>
      <c r="L478" s="40"/>
      <c r="M478" s="54"/>
    </row>
    <row r="479" spans="2:13" s="12" customFormat="1" ht="15" customHeight="1" outlineLevel="1" x14ac:dyDescent="0.35">
      <c r="B479" s="20"/>
      <c r="C479" s="621" t="str">
        <f>IF(D413="Do not use defaults", "", "Diesel")</f>
        <v/>
      </c>
      <c r="D479" s="74" t="str">
        <f>IF(D413="Do not use defaults", "", "litres/Ha")</f>
        <v/>
      </c>
      <c r="E479" s="622" t="str">
        <f>IF(D413="Do not use defaults", "",VLOOKUP(D413,Default_crop_data[],10,FALSE))</f>
        <v/>
      </c>
      <c r="F479" s="1"/>
      <c r="G479" s="1"/>
      <c r="H479" s="1"/>
      <c r="I479" s="43"/>
      <c r="J479" s="27" t="str">
        <f>IF(C479&gt;0,C479,"")</f>
        <v/>
      </c>
      <c r="K479" s="52" t="str">
        <f>IF(D413="Do not use defaults", "", IFERROR(IF(C479&gt;0,IF(ISBLANK(E479),"Insert data",IF(D479="litres/Ha",E479*INDEX(Fuel_Densities,MATCH(C479,Fuels_for_Densities,0))/1000*INDEX(Fuel_LHV,MATCH(C479,Fuels_for_LHV,0))/F417/1000*INDEX(Fuel_EFs,MATCH(C479,Fuels_for_EF,0)),IF(D479="kg/Ha",E479*INDEX(Fuel_LHV,MATCH(C479,Fuels_for_LHV,0))/F417/1000*INDEX(Fuel_EFs,MATCH(C479,Fuels_for_EF,0)),IF(D479="tonnes/Ha",E479*INDEX(Fuel_LHV,MATCH(C479,Fuels_for_LHV,0))/F417*INDEX(Fuel_EFs,MATCH(C479,Fuels_for_EF,0)),"Insert unit")))),""),""))</f>
        <v/>
      </c>
      <c r="L479" s="40"/>
      <c r="M479" s="54"/>
    </row>
    <row r="480" spans="2:13" s="12" customFormat="1" ht="15" customHeight="1" outlineLevel="1" x14ac:dyDescent="0.35">
      <c r="B480" s="20"/>
      <c r="C480" s="154"/>
      <c r="D480" s="141"/>
      <c r="E480" s="142"/>
      <c r="F480" s="1"/>
      <c r="G480" s="1"/>
      <c r="H480" s="1"/>
      <c r="I480" s="43"/>
      <c r="J480" s="27" t="str">
        <f>IF(C480&gt;0,C480,"")</f>
        <v/>
      </c>
      <c r="K480" s="52" t="str">
        <f>IFERROR(IF(C480&gt;0,IF(ISBLANK(E480),"Insert data",IF(D480="litres/Ha",E480*INDEX(Fuel_Densities,MATCH(C480,Fuels_for_Densities,0))/1000*INDEX(Fuel_LHV,MATCH(C480,Fuels_for_LHV,0))/F417/1000*INDEX(Fuel_EFs,MATCH(C480,Fuels_for_EF,0)),IF(D480="kg/Ha",E480*INDEX(Fuel_LHV,MATCH(C480,Fuels_for_LHV,0))/F417/1000*INDEX(Fuel_EFs,MATCH(C480,Fuels_for_EF,0)),IF(D480="tonnes/Ha",E480*INDEX(Fuel_LHV,MATCH(C480,Fuels_for_LHV,0))/F417*INDEX(Fuel_EFs,MATCH(C480,Fuels_for_EF,0)),"Insert unit")))),""),"")</f>
        <v/>
      </c>
      <c r="L480" s="40"/>
      <c r="M480" s="54"/>
    </row>
    <row r="481" spans="2:13" s="12" customFormat="1" ht="15" customHeight="1" outlineLevel="1" x14ac:dyDescent="0.35">
      <c r="B481" s="20"/>
      <c r="C481" s="154"/>
      <c r="D481" s="141"/>
      <c r="E481" s="142"/>
      <c r="F481" s="1"/>
      <c r="G481" s="1"/>
      <c r="H481" s="1"/>
      <c r="I481" s="43"/>
      <c r="J481" s="27" t="str">
        <f>IF(C481&gt;0,C481,"")</f>
        <v/>
      </c>
      <c r="K481" s="52" t="str">
        <f>IFERROR(IF(C481&gt;0,IF(ISBLANK(E481),"Insert data",IF(D481="litres/Ha",E481*INDEX(Fuel_Densities,MATCH(C481,Fuels_for_Densities,0))/1000*INDEX(Fuel_LHV,MATCH(C481,Fuels_for_LHV,0))/F417/1000*INDEX(Fuel_EFs,MATCH(C481,Fuels_for_EF,0)),IF(D481="kg/Ha",E481*INDEX(Fuel_LHV,MATCH(C481,Fuels_for_LHV,0))/F417/1000*INDEX(Fuel_EFs,MATCH(C481,Fuels_for_EF,0)),IF(D481="tonnes/Ha",E481*INDEX(Fuel_LHV,MATCH(C481,Fuels_for_LHV,0))/F417*INDEX(Fuel_EFs,MATCH(C481,Fuels_for_EF,0)),"Insert unit")))),""),"")</f>
        <v/>
      </c>
      <c r="L481" s="40"/>
      <c r="M481" s="54"/>
    </row>
    <row r="482" spans="2:13" s="4" customFormat="1" ht="13.5" customHeight="1" outlineLevel="1" x14ac:dyDescent="0.4">
      <c r="B482" s="20"/>
      <c r="C482" s="24"/>
      <c r="D482" s="21"/>
      <c r="E482" s="21"/>
      <c r="F482" s="21"/>
      <c r="G482" s="21"/>
      <c r="H482" s="21"/>
      <c r="I482" s="46"/>
      <c r="J482" s="58"/>
      <c r="K482" s="58"/>
      <c r="L482" s="59"/>
      <c r="M482" s="35"/>
    </row>
    <row r="483" spans="2:13" s="4" customFormat="1" ht="13.5" customHeight="1" outlineLevel="1" x14ac:dyDescent="0.4">
      <c r="B483" s="20"/>
      <c r="C483" s="661" t="s">
        <v>120</v>
      </c>
      <c r="D483" s="21"/>
      <c r="E483" s="21"/>
      <c r="F483" s="21"/>
      <c r="G483" s="21"/>
      <c r="H483" s="21"/>
      <c r="I483" s="21"/>
      <c r="J483" s="21"/>
      <c r="K483" s="21"/>
      <c r="L483" s="21"/>
      <c r="M483" s="35"/>
    </row>
    <row r="484" spans="2:13" s="4" customFormat="1" ht="13.5" customHeight="1" outlineLevel="1" x14ac:dyDescent="0.4">
      <c r="B484" s="20"/>
      <c r="C484" s="166" t="s">
        <v>161</v>
      </c>
      <c r="D484" s="622">
        <f xml:space="preserve"> IFERROR(( Feedstocks!D15 * (Feedstocks!E15/ IF(Feedstocks!I15="Default",  Feedstocks!J15, Feedstocks!K15)) /('Transport 1'!F219 * 'Feedstock conversion'!F217 * 'Transport 2'!F219)) /F417, 0)</f>
        <v>0</v>
      </c>
      <c r="E484" s="21"/>
      <c r="F484" s="21"/>
      <c r="G484" s="21"/>
      <c r="H484" s="21"/>
      <c r="I484" s="21"/>
      <c r="J484" s="21"/>
      <c r="K484" s="21"/>
      <c r="L484" s="21"/>
      <c r="M484" s="35"/>
    </row>
    <row r="485" spans="2:13" s="4" customFormat="1" ht="13.5" customHeight="1" outlineLevel="1" x14ac:dyDescent="0.4">
      <c r="B485" s="28"/>
      <c r="C485" s="155"/>
      <c r="D485" s="29"/>
      <c r="E485" s="29"/>
      <c r="F485" s="29"/>
      <c r="G485" s="29"/>
      <c r="H485" s="29"/>
      <c r="I485" s="29"/>
      <c r="J485" s="29"/>
      <c r="K485" s="29"/>
      <c r="L485" s="29"/>
      <c r="M485" s="60"/>
    </row>
    <row r="486" spans="2:13" s="4" customFormat="1" x14ac:dyDescent="0.4">
      <c r="C486" s="14"/>
    </row>
    <row r="487" spans="2:13" s="4" customFormat="1" hidden="1" x14ac:dyDescent="0.4">
      <c r="C487" s="14"/>
    </row>
    <row r="488" spans="2:13" s="4" customFormat="1" hidden="1" x14ac:dyDescent="0.4">
      <c r="C488" s="14"/>
    </row>
    <row r="489" spans="2:13" s="4" customFormat="1" hidden="1" x14ac:dyDescent="0.4">
      <c r="C489" s="14"/>
    </row>
    <row r="490" spans="2:13" s="4" customFormat="1" hidden="1" x14ac:dyDescent="0.4">
      <c r="C490" s="14"/>
    </row>
    <row r="491" spans="2:13" s="4" customFormat="1" hidden="1" x14ac:dyDescent="0.4">
      <c r="C491" s="14"/>
    </row>
    <row r="492" spans="2:13" s="4" customFormat="1" hidden="1" x14ac:dyDescent="0.4">
      <c r="C492" s="14"/>
    </row>
    <row r="493" spans="2:13" s="4" customFormat="1" hidden="1" x14ac:dyDescent="0.4">
      <c r="C493" s="14"/>
    </row>
    <row r="494" spans="2:13" s="4" customFormat="1" hidden="1" x14ac:dyDescent="0.4">
      <c r="C494" s="14"/>
    </row>
    <row r="495" spans="2:13" s="4" customFormat="1" hidden="1" x14ac:dyDescent="0.4">
      <c r="C495" s="14"/>
    </row>
    <row r="496" spans="2:13" s="4" customFormat="1" hidden="1" x14ac:dyDescent="0.4">
      <c r="C496" s="14"/>
    </row>
    <row r="497" spans="2:13" s="4" customFormat="1" hidden="1" x14ac:dyDescent="0.4">
      <c r="C497" s="14"/>
    </row>
    <row r="498" spans="2:13" s="4" customFormat="1" hidden="1" x14ac:dyDescent="0.4">
      <c r="C498" s="14"/>
    </row>
    <row r="499" spans="2:13" s="4" customFormat="1" hidden="1" x14ac:dyDescent="0.4">
      <c r="C499" s="14"/>
    </row>
    <row r="500" spans="2:13" s="4" customFormat="1" hidden="1" x14ac:dyDescent="0.4">
      <c r="C500" s="14"/>
    </row>
    <row r="501" spans="2:13" s="4" customFormat="1" hidden="1" x14ac:dyDescent="0.4">
      <c r="C501" s="14"/>
    </row>
    <row r="502" spans="2:13" s="4" customFormat="1" hidden="1" x14ac:dyDescent="0.4">
      <c r="C502" s="14"/>
    </row>
    <row r="503" spans="2:13" s="4" customFormat="1" hidden="1" x14ac:dyDescent="0.4">
      <c r="C503" s="14"/>
    </row>
    <row r="504" spans="2:13" s="4" customFormat="1" hidden="1" x14ac:dyDescent="0.4">
      <c r="C504" s="14"/>
    </row>
    <row r="505" spans="2:13" s="4" customFormat="1" hidden="1" x14ac:dyDescent="0.4">
      <c r="C505" s="14"/>
    </row>
    <row r="506" spans="2:13" s="4" customFormat="1" hidden="1" x14ac:dyDescent="0.4">
      <c r="C506" s="14"/>
    </row>
    <row r="507" spans="2:13" s="4" customFormat="1" hidden="1" x14ac:dyDescent="0.4">
      <c r="C507" s="14"/>
    </row>
    <row r="508" spans="2:13" s="4" customFormat="1" ht="19.2" x14ac:dyDescent="0.45">
      <c r="B508" s="750" t="str">
        <f>"Cultivation &amp; Harvesting"&amp;" - "&amp;Feedstocks!C16</f>
        <v xml:space="preserve">Cultivation &amp; Harvesting - </v>
      </c>
      <c r="C508" s="750"/>
      <c r="D508" s="750"/>
      <c r="E508" s="750"/>
      <c r="F508" s="750"/>
      <c r="G508" s="750"/>
      <c r="H508" s="750"/>
      <c r="I508" s="750"/>
      <c r="J508" s="750"/>
      <c r="K508" s="750"/>
      <c r="L508" s="750"/>
      <c r="M508" s="750"/>
    </row>
    <row r="509" spans="2:13" s="4" customFormat="1" ht="17.399999999999999" customHeight="1" outlineLevel="1" x14ac:dyDescent="0.4">
      <c r="B509" s="17"/>
      <c r="C509" s="184"/>
      <c r="D509" s="19"/>
      <c r="E509" s="19"/>
      <c r="F509" s="19"/>
      <c r="G509" s="19"/>
      <c r="H509" s="19"/>
      <c r="I509" s="19"/>
      <c r="J509" s="19"/>
      <c r="K509" s="19"/>
      <c r="L509" s="19"/>
      <c r="M509" s="50"/>
    </row>
    <row r="510" spans="2:13" s="4" customFormat="1" outlineLevel="1" x14ac:dyDescent="0.4">
      <c r="B510" s="20"/>
      <c r="C510" s="356" t="s">
        <v>46</v>
      </c>
      <c r="D510" s="751"/>
      <c r="E510" s="751"/>
      <c r="F510" s="751"/>
      <c r="G510" s="1"/>
      <c r="I510" s="303" t="s">
        <v>122</v>
      </c>
      <c r="J510" s="64"/>
      <c r="K510" s="47"/>
      <c r="L510" s="45"/>
      <c r="M510" s="35"/>
    </row>
    <row r="511" spans="2:13" s="4" customFormat="1" outlineLevel="1" x14ac:dyDescent="0.4">
      <c r="B511" s="20"/>
      <c r="C511" s="162" t="s">
        <v>123</v>
      </c>
      <c r="D511" s="752" t="str">
        <f>IF(Feedstocks!$H$16&gt;0,Feedstocks!$H$16,"")</f>
        <v/>
      </c>
      <c r="E511" s="753"/>
      <c r="F511" s="753"/>
      <c r="G511" s="76"/>
      <c r="H511" s="94"/>
      <c r="I511" s="41"/>
      <c r="J511" s="36"/>
      <c r="K511" s="164" t="s">
        <v>124</v>
      </c>
      <c r="L511" s="37"/>
      <c r="M511" s="35"/>
    </row>
    <row r="512" spans="2:13" s="4" customFormat="1" outlineLevel="1" x14ac:dyDescent="0.4">
      <c r="B512" s="20"/>
      <c r="C512" s="24"/>
      <c r="D512" s="21"/>
      <c r="E512" s="21"/>
      <c r="F512" s="21"/>
      <c r="G512" s="21"/>
      <c r="H512" s="21"/>
      <c r="I512" s="41"/>
      <c r="J512" s="164" t="s">
        <v>125</v>
      </c>
      <c r="K512" s="183" t="str">
        <f>IFERROR(IF('Feedstock conversion'!E263="Yes",(K515/(IF(Feedstocks!I16="default",Feedstocks!J16,IF(Feedstocks!I16="actual",Feedstocks!K16,"Insert data (plant inputs)"))/Feedstocks!E16*'Transport 1'!F269*'Feedstock conversion'!D267*'Transport 2'!F269*('Digestion &amp; outputs'!$G$21/1000)))*IF('Feedstock conversion'!E292="Yes",'Feedstock conversion'!J295,1)*'Digestion &amp; outputs'!$K$23,IF('Feedstock conversion'!E263="No",(K515/(IF(Feedstocks!I16="default",Feedstocks!J16,IF(Feedstocks!I16="actual",Feedstocks!K16,"Insert data (plant inputs)"))/Feedstocks!E16*'Transport 1'!F269*'Transport 2'!F269*('Digestion &amp; outputs'!$G$21/1000)))*'Digestion &amp; outputs'!$K$23,"")),"")</f>
        <v/>
      </c>
      <c r="L512" s="37"/>
      <c r="M512" s="35"/>
    </row>
    <row r="513" spans="2:13" s="4" customFormat="1" ht="18" customHeight="1" outlineLevel="1" x14ac:dyDescent="0.4">
      <c r="B513" s="20"/>
      <c r="C513" s="286" t="s">
        <v>126</v>
      </c>
      <c r="D513" s="673" t="s">
        <v>127</v>
      </c>
      <c r="G513" s="21"/>
      <c r="H513" s="21"/>
      <c r="I513" s="41"/>
      <c r="J513" s="67"/>
      <c r="K513" s="67"/>
      <c r="L513" s="37"/>
      <c r="M513" s="35"/>
    </row>
    <row r="514" spans="2:13" s="4" customFormat="1" outlineLevel="1" x14ac:dyDescent="0.4">
      <c r="B514" s="20"/>
      <c r="C514" s="14"/>
      <c r="G514" s="21"/>
      <c r="H514" s="21"/>
      <c r="I514" s="41"/>
      <c r="J514" s="36"/>
      <c r="K514" s="164" t="s">
        <v>128</v>
      </c>
      <c r="L514" s="37"/>
      <c r="M514" s="35"/>
    </row>
    <row r="515" spans="2:13" s="4" customFormat="1" outlineLevel="1" x14ac:dyDescent="0.4">
      <c r="B515" s="20"/>
      <c r="C515" s="150" t="s">
        <v>129</v>
      </c>
      <c r="G515" s="21"/>
      <c r="H515" s="21"/>
      <c r="I515" s="41"/>
      <c r="J515" s="169" t="s">
        <v>130</v>
      </c>
      <c r="K515" s="52">
        <f>IFERROR(SUM(K520:K526,K528:K533,K537:K543,K545:K551,K553:K557,K561,K565:K569,K573,K578:K581),"")</f>
        <v>0</v>
      </c>
      <c r="L515" s="37"/>
      <c r="M515" s="35"/>
    </row>
    <row r="516" spans="2:13" s="4" customFormat="1" outlineLevel="1" x14ac:dyDescent="0.4">
      <c r="B516" s="20"/>
      <c r="C516" s="166" t="s">
        <v>131</v>
      </c>
      <c r="D516" s="164" t="s">
        <v>132</v>
      </c>
      <c r="E516" s="164" t="s">
        <v>133</v>
      </c>
      <c r="F516" s="164" t="s">
        <v>134</v>
      </c>
      <c r="G516" s="748" t="str">
        <f>IF(C517="actual","Must insert actual data for fertiliser application","")</f>
        <v/>
      </c>
      <c r="H516" s="21"/>
      <c r="I516" s="46"/>
      <c r="J516" s="58"/>
      <c r="K516" s="58"/>
      <c r="L516" s="59"/>
      <c r="M516" s="35"/>
    </row>
    <row r="517" spans="2:13" s="4" customFormat="1" outlineLevel="1" x14ac:dyDescent="0.4">
      <c r="B517" s="20"/>
      <c r="C517" s="151" t="s">
        <v>96</v>
      </c>
      <c r="D517" s="93" t="str">
        <f>IFERROR(INDEX(Crop_yields,MATCH(D513,Crops_for_yields,0)),"")</f>
        <v/>
      </c>
      <c r="E517" s="135"/>
      <c r="F517" s="31" t="str">
        <f>IFERROR(IF(C517="Default",D517,IF(ISBLANK(E517),"Insert data",E517)),"")</f>
        <v/>
      </c>
      <c r="G517" s="749"/>
      <c r="H517" s="21"/>
      <c r="I517" s="21"/>
      <c r="J517" s="21"/>
      <c r="K517" s="21"/>
      <c r="L517" s="21"/>
      <c r="M517" s="35"/>
    </row>
    <row r="518" spans="2:13" s="4" customFormat="1" ht="24" customHeight="1" outlineLevel="1" x14ac:dyDescent="0.4">
      <c r="B518" s="20"/>
      <c r="C518" s="150" t="s">
        <v>135</v>
      </c>
      <c r="D518" s="21"/>
      <c r="E518" s="21"/>
      <c r="F518" s="21"/>
      <c r="H518" s="21"/>
      <c r="I518" s="303" t="s">
        <v>136</v>
      </c>
      <c r="J518" s="47"/>
      <c r="K518" s="47"/>
      <c r="L518" s="45"/>
      <c r="M518" s="35"/>
    </row>
    <row r="519" spans="2:13" s="14" customFormat="1" outlineLevel="1" x14ac:dyDescent="0.4">
      <c r="B519" s="23"/>
      <c r="C519" s="166" t="s">
        <v>137</v>
      </c>
      <c r="D519" s="164" t="s">
        <v>138</v>
      </c>
      <c r="E519" s="164" t="s">
        <v>139</v>
      </c>
      <c r="F519" s="164" t="s">
        <v>140</v>
      </c>
      <c r="G519" s="4"/>
      <c r="H519" s="24"/>
      <c r="I519" s="42"/>
      <c r="J519" s="164" t="s">
        <v>137</v>
      </c>
      <c r="K519" s="164" t="s">
        <v>141</v>
      </c>
      <c r="L519" s="37"/>
      <c r="M519" s="63"/>
    </row>
    <row r="520" spans="2:13" s="4" customFormat="1" outlineLevel="1" x14ac:dyDescent="0.4">
      <c r="B520" s="20"/>
      <c r="C520" s="617" t="str">
        <f>IF(D513="Do not use defaults", "", "Nitrogen fertiliser (unspecified)")</f>
        <v/>
      </c>
      <c r="D520" s="618" t="str">
        <f>IF(D513="Do not use defaults", "",INDEX(N_fertiliser_N_composition,MATCH(C520,N_Fertilisers,0)))</f>
        <v/>
      </c>
      <c r="E520" s="27" t="str">
        <f>IF(D513="Do not use defaults","", "kg(Nitrogen)/Ha")</f>
        <v/>
      </c>
      <c r="F520" s="619" t="str">
        <f>IF(D513="Do not use defaults", "",VLOOKUP(D513,Default_crop_data[],2,FALSE))</f>
        <v/>
      </c>
      <c r="H520" s="1"/>
      <c r="I520" s="43"/>
      <c r="J520" s="27" t="str">
        <f t="shared" ref="J520:J526" si="15">IF(C520&gt;0,C520,"")</f>
        <v/>
      </c>
      <c r="K520" s="91" t="str">
        <f>IFERROR(IF(C520&gt;0,IF(ISBLANK(E520),"Insert unit",IF(ISBLANK(F520),"Insert data",(IF(E520="kg(fertiliser)/HA",F520*D520,F520)*INDEX(N_Fertiliser_EF,MATCH(C520,N_Fertilisers,0))/F517)/1000)),""),"")</f>
        <v/>
      </c>
      <c r="L520" s="39"/>
      <c r="M520" s="35"/>
    </row>
    <row r="521" spans="2:13" s="4" customFormat="1" outlineLevel="1" x14ac:dyDescent="0.4">
      <c r="B521" s="20"/>
      <c r="C521" s="151"/>
      <c r="D521" s="92" t="str">
        <f>IF(C521&gt;0,INDEX(N_fertiliser_N_composition,MATCH(C521,N_Fertilisers,0)),"")</f>
        <v/>
      </c>
      <c r="E521" s="138"/>
      <c r="F521" s="137"/>
      <c r="H521" s="1"/>
      <c r="I521" s="43"/>
      <c r="J521" s="27" t="str">
        <f t="shared" si="15"/>
        <v/>
      </c>
      <c r="K521" s="91" t="str">
        <f>IFERROR(IF(C521&gt;0,IF(ISBLANK(E521),"Insert unit",IF(ISBLANK(F521),"Insert data",(IF(E521="kg(fertiliser)/HA",F521*D521,F521)*INDEX(N_Fertiliser_EF,MATCH(C521,N_Fertilisers,0))/F517)/1000)),""),"")</f>
        <v/>
      </c>
      <c r="L521" s="39"/>
      <c r="M521" s="35"/>
    </row>
    <row r="522" spans="2:13" s="4" customFormat="1" outlineLevel="1" x14ac:dyDescent="0.4">
      <c r="B522" s="20"/>
      <c r="C522" s="151"/>
      <c r="D522" s="92" t="str">
        <f>IF(C522&gt;0,INDEX(N_fertiliser_N_composition,MATCH(C522,N_Fertilisers,0)),"")</f>
        <v/>
      </c>
      <c r="E522" s="138"/>
      <c r="F522" s="137"/>
      <c r="H522" s="1"/>
      <c r="I522" s="43"/>
      <c r="J522" s="27" t="str">
        <f t="shared" si="15"/>
        <v/>
      </c>
      <c r="K522" s="91" t="str">
        <f>IFERROR(IF(C522&gt;0,IF(ISBLANK(E522),"Insert unit",IF(ISBLANK(F522),"Insert data",(IF(E522="kg(fertiliser)/HA",F522*D522,F522)*INDEX(N_Fertiliser_EF,MATCH(C522,N_Fertilisers,0))/F517)/1000)),""),"")</f>
        <v/>
      </c>
      <c r="L522" s="39"/>
      <c r="M522" s="35"/>
    </row>
    <row r="523" spans="2:13" s="4" customFormat="1" outlineLevel="1" x14ac:dyDescent="0.4">
      <c r="B523" s="20"/>
      <c r="C523" s="151"/>
      <c r="D523" s="92" t="str">
        <f>IF(C523&gt;0,INDEX(N_fertiliser_N_composition,MATCH(C523,N_Fertilisers,0)),"")</f>
        <v/>
      </c>
      <c r="E523" s="138"/>
      <c r="F523" s="137"/>
      <c r="H523" s="1"/>
      <c r="I523" s="43"/>
      <c r="J523" s="27" t="str">
        <f t="shared" si="15"/>
        <v/>
      </c>
      <c r="K523" s="91" t="str">
        <f>IFERROR(IF(C523&gt;0,IF(ISBLANK(E523),"Insert unit",IF(ISBLANK(F523),"Insert data",(IF(E523="kg(fertiliser)/HA",F523*D523,F523)*INDEX(N_Fertiliser_EF,MATCH(C523,N_Fertilisers,0))/F517)/1000)),""),"")</f>
        <v/>
      </c>
      <c r="L523" s="39"/>
      <c r="M523" s="35"/>
    </row>
    <row r="524" spans="2:13" s="4" customFormat="1" outlineLevel="1" x14ac:dyDescent="0.4">
      <c r="B524" s="20"/>
      <c r="C524" s="151"/>
      <c r="D524" s="136"/>
      <c r="E524" s="138"/>
      <c r="F524" s="137"/>
      <c r="H524" s="1"/>
      <c r="I524" s="43"/>
      <c r="J524" s="27" t="str">
        <f t="shared" si="15"/>
        <v/>
      </c>
      <c r="K524" s="91" t="str">
        <f>IFERROR(IF(C524&gt;0,IF(ISBLANK(E524),"Insert unit",IF(OR(ISBLANK(F524),ISBLANK(D524)),"Insert data",(IF(E524="kg(fertiliser)/HA",F524*D524,F524)*INDEX(N_Fertiliser_EF,MATCH("nitrogen fertiliser (unspecified)",N_Fertilisers,0))/F517)/1000)),""),"")</f>
        <v/>
      </c>
      <c r="L524" s="39"/>
      <c r="M524" s="35"/>
    </row>
    <row r="525" spans="2:13" s="4" customFormat="1" outlineLevel="1" x14ac:dyDescent="0.4">
      <c r="B525" s="20"/>
      <c r="C525" s="151"/>
      <c r="D525" s="136"/>
      <c r="E525" s="138"/>
      <c r="F525" s="137"/>
      <c r="H525" s="1"/>
      <c r="I525" s="43"/>
      <c r="J525" s="27" t="str">
        <f t="shared" si="15"/>
        <v/>
      </c>
      <c r="K525" s="91" t="str">
        <f>IFERROR(IF(C525&gt;0,IF(ISBLANK(E525),"Insert unit",IF(OR(ISBLANK(F525),ISBLANK(D525)),"Insert data",(IF(E525="kg(fertiliser)/HA",F525*D525,F525)*INDEX(N_Fertiliser_EF,MATCH("nitrogen fertiliser (unspecified)",N_Fertilisers,0))/F517)/1000)),""),"")</f>
        <v/>
      </c>
      <c r="L525" s="39"/>
      <c r="M525" s="35"/>
    </row>
    <row r="526" spans="2:13" s="4" customFormat="1" outlineLevel="1" x14ac:dyDescent="0.4">
      <c r="B526" s="20"/>
      <c r="C526" s="151"/>
      <c r="D526" s="136"/>
      <c r="E526" s="138"/>
      <c r="F526" s="137"/>
      <c r="G526" s="14"/>
      <c r="H526" s="1"/>
      <c r="I526" s="43"/>
      <c r="J526" s="27" t="str">
        <f t="shared" si="15"/>
        <v/>
      </c>
      <c r="K526" s="91" t="str">
        <f>IFERROR(IF(C526&gt;0,IF(ISBLANK(E526),"Insert unit",IF(OR(ISBLANK(F526),ISBLANK(D526)),"Insert data",(IF(E526="kg(fertiliser)/HA",F526*D526,F526)*INDEX(N_Fertiliser_EF,MATCH("nitrogen fertiliser (unspecified)",N_Fertilisers,0))/F517)/1000)),""),"")</f>
        <v/>
      </c>
      <c r="L526" s="39"/>
      <c r="M526" s="35"/>
    </row>
    <row r="527" spans="2:13" s="4" customFormat="1" outlineLevel="1" x14ac:dyDescent="0.4">
      <c r="B527" s="20"/>
      <c r="C527" s="166" t="s">
        <v>142</v>
      </c>
      <c r="D527" s="164" t="s">
        <v>138</v>
      </c>
      <c r="E527" s="164" t="s">
        <v>139</v>
      </c>
      <c r="F527" s="164" t="s">
        <v>140</v>
      </c>
      <c r="G527" s="14"/>
      <c r="H527" s="1"/>
      <c r="I527" s="43"/>
      <c r="J527" s="166" t="s">
        <v>142</v>
      </c>
      <c r="K527" s="164" t="s">
        <v>141</v>
      </c>
      <c r="L527" s="39"/>
      <c r="M527" s="35"/>
    </row>
    <row r="528" spans="2:13" s="4" customFormat="1" outlineLevel="1" x14ac:dyDescent="0.4">
      <c r="B528" s="20"/>
      <c r="C528" s="649" t="str">
        <f>IF(D513="Do not use defaults", "", "Digestate")</f>
        <v/>
      </c>
      <c r="D528" s="618" t="str">
        <f>IF(D513="Do not use defaults", "",INDEX(Organic_fertilisers_N_Composition,MATCH(C528,Organic_fertilisers,0)))</f>
        <v/>
      </c>
      <c r="E528" s="27" t="str">
        <f>IF(D513="Do not use defaults", "", "t(fertiliser)/Ha")</f>
        <v/>
      </c>
      <c r="F528" s="651" t="str">
        <f>IF(D513="Do not use defaults", "",VLOOKUP(D513,Default_crop_data[],5,FALSE))</f>
        <v/>
      </c>
      <c r="G528" s="14"/>
      <c r="H528" s="1"/>
      <c r="I528" s="43"/>
      <c r="J528" s="27" t="str">
        <f t="shared" ref="J528:J533" si="16">IF(C528&gt;0,C528,"")</f>
        <v/>
      </c>
      <c r="K528" s="91" t="str">
        <f>IFERROR(IF(C528&gt;0,IF(ISBLANK(E528),"Insert unit",IF(ISBLANK(F528),"Insert data",(IF(E528="kg(fertiliser)/HA",F528*D528,IF(E528="t(fertiliser)/Ha",F528*1000*D528,F528))*INDEX(Organic_fertiliser_EF,MATCH(C528,Organic_fertilisers,0))/F517)/1000)),""),"")</f>
        <v/>
      </c>
      <c r="L528" s="39"/>
      <c r="M528" s="35"/>
    </row>
    <row r="529" spans="2:13" s="4" customFormat="1" outlineLevel="1" x14ac:dyDescent="0.4">
      <c r="B529" s="20"/>
      <c r="C529" s="650"/>
      <c r="D529" s="92" t="str">
        <f>IF(C529&gt;0,INDEX(Organic_fertilisers_N_Composition,MATCH(C529,Organic_fertilisers,0)),"")</f>
        <v/>
      </c>
      <c r="E529" s="138"/>
      <c r="F529" s="652"/>
      <c r="G529" s="14"/>
      <c r="H529" s="1"/>
      <c r="I529" s="43"/>
      <c r="J529" s="27" t="str">
        <f t="shared" si="16"/>
        <v/>
      </c>
      <c r="K529" s="91" t="str">
        <f>IFERROR(IF(C529&gt;0,IF(ISBLANK(E529),"Insert unit",IF(ISBLANK(F529),"Insert data",(IF(E529="kg(fertiliser)/HA",F529*D529,IF(E529="t(fertiliser)/Ha",F529*1000*D529,F529))*INDEX(Organic_fertiliser_EF,MATCH(C529,Organic_fertilisers,0))/F517)/1000)),""),"")</f>
        <v/>
      </c>
      <c r="L529" s="39"/>
      <c r="M529" s="35"/>
    </row>
    <row r="530" spans="2:13" s="4" customFormat="1" outlineLevel="1" x14ac:dyDescent="0.4">
      <c r="B530" s="20"/>
      <c r="C530" s="650"/>
      <c r="D530" s="92" t="str">
        <f>IF(C530&gt;0,INDEX(Organic_fertilisers_N_Composition,MATCH(C530,Organic_fertilisers,0)),"")</f>
        <v/>
      </c>
      <c r="E530" s="138"/>
      <c r="F530" s="652"/>
      <c r="G530" s="14"/>
      <c r="H530" s="1"/>
      <c r="I530" s="43"/>
      <c r="J530" s="27" t="str">
        <f t="shared" si="16"/>
        <v/>
      </c>
      <c r="K530" s="91" t="str">
        <f>IFERROR(IF(C530&gt;0,IF(ISBLANK(E530),"Insert unit",IF(ISBLANK(F530),"Insert data",(IF(E530="kg(fertiliser)/HA",F530*D530,IF(E530="t(fertiliser)/Ha",F530*1000*D530,F530))*INDEX(Organic_fertiliser_EF,MATCH(C530,Organic_fertilisers,0))/F517)/1000)),""),"")</f>
        <v/>
      </c>
      <c r="L530" s="39"/>
      <c r="M530" s="35"/>
    </row>
    <row r="531" spans="2:13" s="4" customFormat="1" outlineLevel="1" x14ac:dyDescent="0.4">
      <c r="B531" s="20"/>
      <c r="C531" s="650"/>
      <c r="D531" s="92" t="str">
        <f>IF(C531&gt;0,INDEX(Organic_fertilisers_N_Composition,MATCH(C531,Organic_fertilisers,0)),"")</f>
        <v/>
      </c>
      <c r="E531" s="138"/>
      <c r="F531" s="652"/>
      <c r="G531" s="14"/>
      <c r="H531" s="1"/>
      <c r="I531" s="43"/>
      <c r="J531" s="27" t="str">
        <f t="shared" si="16"/>
        <v/>
      </c>
      <c r="K531" s="91" t="str">
        <f>IFERROR(IF(C531&gt;0,IF(ISBLANK(E531),"Insert unit",IF(ISBLANK(F531),"Insert data",(IF(E531="kg(fertiliser)/HA",F531*D531,IF(E531="t(fertiliser)/Ha",F531*1000*D531,F531))*INDEX(Organic_fertiliser_EF,MATCH(C531,Organic_fertilisers,0))/F517)/1000)),""),"")</f>
        <v/>
      </c>
      <c r="L531" s="39"/>
      <c r="M531" s="35"/>
    </row>
    <row r="532" spans="2:13" s="4" customFormat="1" outlineLevel="1" x14ac:dyDescent="0.4">
      <c r="B532" s="20"/>
      <c r="C532" s="650"/>
      <c r="D532" s="136"/>
      <c r="E532" s="138"/>
      <c r="F532" s="652"/>
      <c r="G532" s="14"/>
      <c r="H532" s="1"/>
      <c r="I532" s="43"/>
      <c r="J532" s="27" t="str">
        <f t="shared" si="16"/>
        <v/>
      </c>
      <c r="K532" s="91" t="str">
        <f>IFERROR(IF(C532&gt;0,IF(ISBLANK(E532),"Insert unit",IF(ISBLANK(F532),"Insert data",0)),""),"")</f>
        <v/>
      </c>
      <c r="L532" s="39"/>
      <c r="M532" s="35"/>
    </row>
    <row r="533" spans="2:13" s="4" customFormat="1" outlineLevel="1" x14ac:dyDescent="0.4">
      <c r="B533" s="20"/>
      <c r="C533" s="656"/>
      <c r="D533" s="657"/>
      <c r="E533" s="658"/>
      <c r="F533" s="659"/>
      <c r="G533" s="14"/>
      <c r="H533" s="1"/>
      <c r="I533" s="43"/>
      <c r="J533" s="27" t="str">
        <f t="shared" si="16"/>
        <v/>
      </c>
      <c r="K533" s="91" t="str">
        <f>IFERROR(IF(C533&gt;0,IF(ISBLANK(E533),"Insert unit",IF(ISBLANK(F533),"Insert data",0)),""),"")</f>
        <v/>
      </c>
      <c r="L533" s="39"/>
      <c r="M533" s="35"/>
    </row>
    <row r="534" spans="2:13" s="4" customFormat="1" outlineLevel="1" x14ac:dyDescent="0.4">
      <c r="B534" s="20"/>
      <c r="C534" s="166" t="s">
        <v>143</v>
      </c>
      <c r="D534" s="164" t="s">
        <v>138</v>
      </c>
      <c r="E534" s="164" t="s">
        <v>139</v>
      </c>
      <c r="F534" s="164" t="s">
        <v>140</v>
      </c>
      <c r="G534" s="14"/>
      <c r="H534" s="1"/>
      <c r="I534" s="43"/>
      <c r="J534" s="166" t="str">
        <f>IF(C534&gt;0,C534,"")</f>
        <v>Low in-field emissions fertiliser</v>
      </c>
      <c r="K534" s="164" t="s">
        <v>141</v>
      </c>
      <c r="L534" s="39"/>
      <c r="M534" s="35"/>
    </row>
    <row r="535" spans="2:13" s="4" customFormat="1" outlineLevel="1" x14ac:dyDescent="0.4">
      <c r="B535" s="20"/>
      <c r="C535" s="151"/>
      <c r="D535" s="92"/>
      <c r="E535" s="138"/>
      <c r="F535" s="137"/>
      <c r="G535" s="14"/>
      <c r="H535" s="1"/>
      <c r="I535" s="43"/>
      <c r="J535" s="27" t="str">
        <f>IF(C535&gt;0,C535,"")</f>
        <v/>
      </c>
      <c r="K535" s="91" t="str" cm="1">
        <f t="array" ref="K535">IFERROR(IF(C535&gt;0,IF(ISBLANK(E535),"Insert unit",IF(ISBLANK(F535),"Insert data",(IF(E535="kg(fertiliser)/Ha",F535*D535,IF(E535="t(fertiliser)/Ha",F535*1000*D535,F535))*(Low_infield_EF_table[Emission Factor (gCO2eq/kgnitrogen)])/F517)/1000)),""),"")</f>
        <v/>
      </c>
      <c r="L535" s="39"/>
      <c r="M535" s="35"/>
    </row>
    <row r="536" spans="2:13" s="14" customFormat="1" outlineLevel="1" x14ac:dyDescent="0.4">
      <c r="B536" s="23"/>
      <c r="C536" s="166" t="s">
        <v>144</v>
      </c>
      <c r="D536" s="166" t="s">
        <v>145</v>
      </c>
      <c r="E536" s="166" t="s">
        <v>138</v>
      </c>
      <c r="F536" s="166" t="s">
        <v>139</v>
      </c>
      <c r="G536" s="166" t="s">
        <v>140</v>
      </c>
      <c r="H536" s="24"/>
      <c r="I536" s="42"/>
      <c r="J536" s="166" t="s">
        <v>144</v>
      </c>
      <c r="K536" s="164" t="s">
        <v>141</v>
      </c>
      <c r="L536" s="37"/>
      <c r="M536" s="63"/>
    </row>
    <row r="537" spans="2:13" s="4" customFormat="1" outlineLevel="1" x14ac:dyDescent="0.4">
      <c r="B537" s="20"/>
      <c r="C537" s="617" t="str">
        <f>IF(D513="Do not use defaults", "", "P2O5 fertiliser (unspecified)")</f>
        <v/>
      </c>
      <c r="D537" s="618" t="str" cm="1">
        <f t="array" ref="D537">IF(D513="Do not use defaults", "",INDEX(P_fertiliser_P_composition,MATCH(C537,P_fertilisers,0)))</f>
        <v/>
      </c>
      <c r="E537" s="618" t="str">
        <f>IF(C537="P2O5 fertiliser (unspecified)",0, "")</f>
        <v/>
      </c>
      <c r="F537" s="27" t="str">
        <f>IF(D513="Do not use defaults","", "t(kg(P2O5)/Ha")</f>
        <v/>
      </c>
      <c r="G537" s="619" t="str">
        <f>IF(D513="Do not use defaults","",VLOOKUP(D513,Default_crop_data[],3,FALSE))</f>
        <v/>
      </c>
      <c r="H537" s="1"/>
      <c r="I537" s="43"/>
      <c r="J537" s="27" t="str">
        <f>IF(C537&gt;0,C537,"")</f>
        <v/>
      </c>
      <c r="K537" s="91" t="str">
        <f>IFERROR(IF(C537&gt;0,IF(ISBLANK(F537),"Insert unit",IF(ISBLANK(G537),"Insert data",(IF(F537="kg(fertiliser)/HA",G537*D537,G537)*INDEX(P_fertiliser_EF,MATCH(C537,P_fertilisers,0))/F517)/1000)),""),"")</f>
        <v/>
      </c>
      <c r="L537" s="39"/>
      <c r="M537" s="35"/>
    </row>
    <row r="538" spans="2:13" s="4" customFormat="1" outlineLevel="1" x14ac:dyDescent="0.4">
      <c r="B538" s="20"/>
      <c r="C538" s="151"/>
      <c r="D538" s="92" t="str">
        <f>IF(C538&gt;0,INDEX(P_fertiliser_P_composition,MATCH(C538,P_fertilisers,0)),"")</f>
        <v/>
      </c>
      <c r="E538" s="92"/>
      <c r="F538" s="138"/>
      <c r="G538" s="137"/>
      <c r="H538" s="1"/>
      <c r="I538" s="43"/>
      <c r="J538" s="27" t="str">
        <f>IF(C538&gt;0,C538,"")</f>
        <v/>
      </c>
      <c r="K538" s="91" t="str">
        <f>IFERROR(IF(C538&gt;0,IF(ISBLANK(F538),"Insert unit",IF(ISBLANK(G538),"Insert data",(IF(F538="kg(fertiliser)/HA",G538*D538,G538)*INDEX(P_fertiliser_EF,MATCH(C538,P_fertilisers,0))/F517)/1000)),""),"")</f>
        <v/>
      </c>
      <c r="L538" s="39"/>
      <c r="M538" s="35"/>
    </row>
    <row r="539" spans="2:13" s="4" customFormat="1" outlineLevel="1" x14ac:dyDescent="0.4">
      <c r="B539" s="20"/>
      <c r="C539" s="151"/>
      <c r="D539" s="92" t="str">
        <f>IF(C539&gt;0,INDEX(P_fertiliser_P_composition,MATCH(C539,P_fertilisers,0)),"")</f>
        <v/>
      </c>
      <c r="E539" s="92"/>
      <c r="F539" s="138"/>
      <c r="G539" s="137"/>
      <c r="H539" s="1"/>
      <c r="I539" s="43"/>
      <c r="J539" s="27"/>
      <c r="K539" s="91" t="str">
        <f>IFERROR(IF(C539&gt;0,IF(ISBLANK(F539),"Insert unit",IF(ISBLANK(G539),"Insert data",(IF(F539="kg(fertiliser)/HA",G539*D539,G539)*INDEX(P_fertiliser_EF,MATCH(C539,P_fertilisers,0))/F517)/1000)),""),"")</f>
        <v/>
      </c>
      <c r="L539" s="39"/>
      <c r="M539" s="35"/>
    </row>
    <row r="540" spans="2:13" s="4" customFormat="1" outlineLevel="1" x14ac:dyDescent="0.4">
      <c r="B540" s="20"/>
      <c r="C540" s="151"/>
      <c r="D540" s="92" t="str">
        <f>IF(C540&gt;0,INDEX(P_fertiliser_P_composition,MATCH(C540,P_fertilisers,0)),"")</f>
        <v/>
      </c>
      <c r="E540" s="92"/>
      <c r="F540" s="138"/>
      <c r="G540" s="137"/>
      <c r="H540" s="1"/>
      <c r="I540" s="43"/>
      <c r="J540" s="27"/>
      <c r="K540" s="91" t="str">
        <f>IFERROR(IF(C540&gt;0,IF(ISBLANK(F540),"Insert unit",IF(ISBLANK(G540),"Insert data",(IF(F540="kg(fertiliser)/HA",G540*D540,G540)*INDEX(P_fertiliser_EF,MATCH(C540,P_fertilisers,0))/F517)/1000)),""),"")</f>
        <v/>
      </c>
      <c r="L540" s="39"/>
      <c r="M540" s="35"/>
    </row>
    <row r="541" spans="2:13" s="4" customFormat="1" outlineLevel="1" x14ac:dyDescent="0.4">
      <c r="B541" s="20"/>
      <c r="C541" s="151"/>
      <c r="D541" s="136"/>
      <c r="E541" s="136"/>
      <c r="F541" s="138"/>
      <c r="G541" s="137"/>
      <c r="H541" s="1"/>
      <c r="I541" s="43"/>
      <c r="J541" s="27"/>
      <c r="K541" s="91" t="str">
        <f>IFERROR(IF(C541&gt;0,IF(ISBLANK(F541),"Insert unit",IF(OR(ISBLANK(F541),ISBLANK(D541),ISBLANK(E541)),"Insert data",(IF(F541="kg(fertiliser)/HA",G541*D541,G541)*INDEX(P_fertiliser_EF,MATCH("p2O5 fertiliser (unspecified)",P_fertilisers,0))/F517)/1000)),""),"")</f>
        <v/>
      </c>
      <c r="L541" s="39"/>
      <c r="M541" s="35"/>
    </row>
    <row r="542" spans="2:13" s="4" customFormat="1" outlineLevel="1" x14ac:dyDescent="0.4">
      <c r="B542" s="20"/>
      <c r="C542" s="151"/>
      <c r="D542" s="136"/>
      <c r="E542" s="136"/>
      <c r="F542" s="138"/>
      <c r="G542" s="137"/>
      <c r="H542" s="1"/>
      <c r="I542" s="43"/>
      <c r="J542" s="27" t="str">
        <f>IF(C542&gt;0,C542,"")</f>
        <v/>
      </c>
      <c r="K542" s="91" t="str">
        <f>IFERROR(IF(C542&gt;0,IF(ISBLANK(F542),"Insert unit",IF(OR(ISBLANK(F542),ISBLANK(D542),ISBLANK(E542)),"Insert data",(IF(F542="kg(fertiliser)/HA",G542*D542,G542)*INDEX(P_fertiliser_EF,MATCH("p2O5 fertiliser (unspecified)",P_fertilisers,0))/F517)/1000)),""),"")</f>
        <v/>
      </c>
      <c r="L542" s="39"/>
      <c r="M542" s="35"/>
    </row>
    <row r="543" spans="2:13" s="4" customFormat="1" outlineLevel="1" x14ac:dyDescent="0.4">
      <c r="B543" s="20"/>
      <c r="C543" s="151"/>
      <c r="D543" s="136"/>
      <c r="E543" s="136"/>
      <c r="F543" s="138"/>
      <c r="G543" s="137"/>
      <c r="H543" s="1"/>
      <c r="I543" s="43"/>
      <c r="J543" s="27" t="str">
        <f>IF(C543&gt;0,C543,"")</f>
        <v/>
      </c>
      <c r="K543" s="91" t="str">
        <f>IFERROR(IF(C543&gt;0,IF(ISBLANK(F543),"Insert unit",IF(OR(ISBLANK(F543),ISBLANK(D543),ISBLANK(E543)),"Insert data",(IF(F543="kg(fertiliser)/HA",G543*D543,G543)*INDEX(P_fertiliser_EF,MATCH("p2O5 fertiliser (unspecified)",P_fertilisers,0))/F517)/1000)),""),"")</f>
        <v/>
      </c>
      <c r="L543" s="39"/>
      <c r="M543" s="35"/>
    </row>
    <row r="544" spans="2:13" s="14" customFormat="1" outlineLevel="1" x14ac:dyDescent="0.4">
      <c r="B544" s="23"/>
      <c r="C544" s="166" t="s">
        <v>146</v>
      </c>
      <c r="D544" s="166" t="s">
        <v>147</v>
      </c>
      <c r="E544" s="166" t="s">
        <v>138</v>
      </c>
      <c r="F544" s="166" t="s">
        <v>139</v>
      </c>
      <c r="G544" s="166" t="s">
        <v>140</v>
      </c>
      <c r="H544" s="24"/>
      <c r="I544" s="42"/>
      <c r="J544" s="166" t="s">
        <v>146</v>
      </c>
      <c r="K544" s="164" t="s">
        <v>141</v>
      </c>
      <c r="L544" s="37"/>
      <c r="M544" s="35"/>
    </row>
    <row r="545" spans="2:13" s="4" customFormat="1" outlineLevel="1" x14ac:dyDescent="0.4">
      <c r="B545" s="20"/>
      <c r="C545" s="617" t="str">
        <f>IF(D513="Do not use defaults", "", "K2O fertiliser (unspecified)")</f>
        <v/>
      </c>
      <c r="D545" s="618" t="str" cm="1">
        <f t="array" ref="D545">IF(D513="Do not use defaults", "",INDEX(K_fertiliser_K_composition,MATCH(C545,K_fertilisers,0)))</f>
        <v/>
      </c>
      <c r="E545" s="618" t="str" cm="1">
        <f t="array" ref="E545">IF(D513="Do not use defaults", "",INDEX(K_fertiliser_N_composition,MATCH(C545,K_fertilisers,0)))</f>
        <v/>
      </c>
      <c r="F545" s="27" t="str">
        <f>IF(D513="Do not use defaults","", "t(kg(K2O)/Ha")</f>
        <v/>
      </c>
      <c r="G545" s="619" t="str">
        <f>IF(D513="Do not use defaults", "",VLOOKUP(D513,Default_crop_data[],4,FALSE))</f>
        <v/>
      </c>
      <c r="H545" s="1"/>
      <c r="I545" s="43"/>
      <c r="J545" s="27" t="str">
        <f t="shared" ref="J545:J551" si="17">IF(C545&gt;0,C545,"")</f>
        <v/>
      </c>
      <c r="K545" s="91" t="str">
        <f>IFERROR(IF(C545&gt;0,IF(ISBLANK(F545),"Insert unit",IF(ISBLANK(G545),"Insert data",(IF(F545="kg(fertiliser)/HA",G545*D545,G545)*INDEX(K_Fertiliser_EF,MATCH(C545,K_fertilisers,0))/F517)/1000)),""),"")</f>
        <v/>
      </c>
      <c r="L545" s="39"/>
      <c r="M545" s="35"/>
    </row>
    <row r="546" spans="2:13" s="4" customFormat="1" outlineLevel="1" x14ac:dyDescent="0.4">
      <c r="B546" s="20"/>
      <c r="C546" s="151"/>
      <c r="D546" s="92" t="str">
        <f>IF(C546&gt;0,INDEX(K_fertiliser_K_composition,MATCH(C546,K_fertilisers,0)),"")</f>
        <v/>
      </c>
      <c r="E546" s="92" t="str">
        <f>IF(C546&gt;0,INDEX(K_fertiliser_N_composition,MATCH(C546,K_fertilisers,0)),"")</f>
        <v/>
      </c>
      <c r="F546" s="138"/>
      <c r="G546" s="137"/>
      <c r="H546" s="1"/>
      <c r="I546" s="43"/>
      <c r="J546" s="27" t="str">
        <f t="shared" si="17"/>
        <v/>
      </c>
      <c r="K546" s="91" t="str">
        <f>IFERROR(IF(C546&gt;0,IF(ISBLANK(F546),"Insert unit",IF(ISBLANK(G546),"Insert data",(IF(F546="kg(fertiliser)/HA",G546*D546,G546)*INDEX(K_Fertiliser_EF,MATCH(C546,K_fertilisers,0))/F517)/1000)),""),"")</f>
        <v/>
      </c>
      <c r="L546" s="39"/>
      <c r="M546" s="35"/>
    </row>
    <row r="547" spans="2:13" s="4" customFormat="1" outlineLevel="1" x14ac:dyDescent="0.4">
      <c r="B547" s="20"/>
      <c r="C547" s="151"/>
      <c r="D547" s="92" t="str">
        <f>IF(C547&gt;0,INDEX(K_fertiliser_K_composition,MATCH(C547,K_fertilisers,0)),"")</f>
        <v/>
      </c>
      <c r="E547" s="92" t="str">
        <f>IF(C547&gt;0,INDEX(K_fertiliser_N_composition,MATCH(C547,K_fertilisers,0)),"")</f>
        <v/>
      </c>
      <c r="F547" s="138"/>
      <c r="G547" s="137"/>
      <c r="H547" s="1"/>
      <c r="I547" s="43"/>
      <c r="J547" s="27" t="str">
        <f t="shared" si="17"/>
        <v/>
      </c>
      <c r="K547" s="91" t="str">
        <f>IFERROR(IF(C547&gt;0,IF(ISBLANK(F547),"Insert unit",IF(ISBLANK(G547),"Insert data",(IF(F547="kg(fertiliser)/HA",G547*D547,G547)*INDEX(K_Fertiliser_EF,MATCH(C547,K_fertilisers,0))/F517)/1000)),""),"")</f>
        <v/>
      </c>
      <c r="L547" s="39"/>
      <c r="M547" s="35"/>
    </row>
    <row r="548" spans="2:13" s="4" customFormat="1" outlineLevel="1" x14ac:dyDescent="0.4">
      <c r="B548" s="20"/>
      <c r="C548" s="151"/>
      <c r="D548" s="92"/>
      <c r="E548" s="92"/>
      <c r="F548" s="138"/>
      <c r="G548" s="137"/>
      <c r="H548" s="1"/>
      <c r="I548" s="43"/>
      <c r="J548" s="27" t="str">
        <f t="shared" si="17"/>
        <v/>
      </c>
      <c r="K548" s="91" t="str">
        <f>IFERROR(IF(C548&gt;0,IF(ISBLANK(F548),"Insert unit",IF(ISBLANK(G548),"Insert data",(IF(F548="kg(fertiliser)/HA",G548*D548,G548)*INDEX(K_Fertiliser_EF,MATCH(C548,K_fertilisers,0))/F517)/1000)),""),"")</f>
        <v/>
      </c>
      <c r="L548" s="39"/>
      <c r="M548" s="35"/>
    </row>
    <row r="549" spans="2:13" s="4" customFormat="1" outlineLevel="1" x14ac:dyDescent="0.4">
      <c r="B549" s="20"/>
      <c r="C549" s="151"/>
      <c r="D549" s="136"/>
      <c r="E549" s="136"/>
      <c r="F549" s="138"/>
      <c r="G549" s="137"/>
      <c r="H549" s="1"/>
      <c r="I549" s="43"/>
      <c r="J549" s="27" t="str">
        <f t="shared" si="17"/>
        <v/>
      </c>
      <c r="K549" s="91" t="str">
        <f>IFERROR(IF(C549&gt;0,IF(ISBLANK(F549),"Insert unit",IF(OR(ISBLANK(F549),ISBLANK(D549),ISBLANK(E549)),"Insert data",(IF(F549="kg(fertiliser)/HA",G549*D549,G549)*INDEX(K_Fertiliser_EF,MATCH("K2O fertiliser (unspecified)",K_fertilisers,0))/F517)/1000)),""),"")</f>
        <v/>
      </c>
      <c r="L549" s="39"/>
      <c r="M549" s="35"/>
    </row>
    <row r="550" spans="2:13" s="4" customFormat="1" outlineLevel="1" x14ac:dyDescent="0.4">
      <c r="B550" s="20"/>
      <c r="C550" s="151"/>
      <c r="D550" s="136"/>
      <c r="E550" s="136"/>
      <c r="F550" s="138"/>
      <c r="G550" s="137"/>
      <c r="H550" s="1"/>
      <c r="I550" s="43"/>
      <c r="J550" s="27" t="str">
        <f t="shared" si="17"/>
        <v/>
      </c>
      <c r="K550" s="91" t="str">
        <f>IFERROR(IF(C550&gt;0,IF(ISBLANK(F550),"Insert unit",IF(OR(ISBLANK(F550),ISBLANK(D550),ISBLANK(E550)),"Insert data",(IF(F550="kg(fertiliser)/HA",G550*D550,G550)*INDEX(K_Fertiliser_EF,MATCH("K2O fertiliser (unspecified)",K_fertilisers,0))/F517)/1000)),""),"")</f>
        <v/>
      </c>
      <c r="L550" s="39"/>
      <c r="M550" s="35"/>
    </row>
    <row r="551" spans="2:13" s="4" customFormat="1" outlineLevel="1" x14ac:dyDescent="0.4">
      <c r="B551" s="20"/>
      <c r="C551" s="151"/>
      <c r="D551" s="136"/>
      <c r="E551" s="136"/>
      <c r="F551" s="138"/>
      <c r="G551" s="137"/>
      <c r="H551" s="1"/>
      <c r="I551" s="43"/>
      <c r="J551" s="27" t="str">
        <f t="shared" si="17"/>
        <v/>
      </c>
      <c r="K551" s="91" t="str">
        <f>IFERROR(IF(C551&gt;0,IF(ISBLANK(F551),"Insert unit",IF(OR(ISBLANK(F551),ISBLANK(D551),ISBLANK(E551)),"Insert data",(IF(F551="kg(fertiliser)/HA",G551*D551,G551)*INDEX(K_Fertiliser_EF,MATCH("K2O fertiliser (unspecified)",K_fertilisers,0))/F517)/1000)),""),"")</f>
        <v/>
      </c>
      <c r="L551" s="39"/>
      <c r="M551" s="35"/>
    </row>
    <row r="552" spans="2:13" s="14" customFormat="1" outlineLevel="1" x14ac:dyDescent="0.4">
      <c r="B552" s="23"/>
      <c r="C552" s="166" t="s">
        <v>148</v>
      </c>
      <c r="D552" s="166" t="s">
        <v>149</v>
      </c>
      <c r="E552" s="166" t="s">
        <v>138</v>
      </c>
      <c r="F552" s="166" t="s">
        <v>139</v>
      </c>
      <c r="G552" s="166" t="s">
        <v>140</v>
      </c>
      <c r="H552" s="24"/>
      <c r="I552" s="42"/>
      <c r="J552" s="166" t="s">
        <v>148</v>
      </c>
      <c r="K552" s="164" t="s">
        <v>141</v>
      </c>
      <c r="L552" s="37"/>
      <c r="M552" s="63"/>
    </row>
    <row r="553" spans="2:13" s="4" customFormat="1" outlineLevel="1" x14ac:dyDescent="0.4">
      <c r="B553" s="20"/>
      <c r="C553" s="617" t="str">
        <f>IF(D513="Do not use defaults", "", "Lime fertiliser (CaO)")</f>
        <v/>
      </c>
      <c r="D553" s="618" t="str" cm="1">
        <f t="array" ref="D553">IF(D513="Do not use defaults", "",INDEX(Other_fertiliser_nutrient_composition,MATCH(C553,Other_fertilisers,0)))</f>
        <v/>
      </c>
      <c r="E553" s="618" t="str">
        <f>IF(D513="Do not use defaults", "",INDEX(Other_fertiliser_N_compostion,MATCH(C553,Other_fertilisers,0)))</f>
        <v/>
      </c>
      <c r="F553" s="27" t="str">
        <f>IF(D513="Do not use defaults","", "kg(nutrient)/Ha")</f>
        <v/>
      </c>
      <c r="G553" s="619" t="str">
        <f>IF(D513="Do not use defaults", "",VLOOKUP(D513,Default_crop_data[],6,FALSE))</f>
        <v/>
      </c>
      <c r="H553" s="1"/>
      <c r="I553" s="43"/>
      <c r="J553" s="27" t="str">
        <f>IF(C553&gt;0,C553,"")</f>
        <v/>
      </c>
      <c r="K553" s="91" t="str">
        <f>IFERROR(IF(C553&gt;0,IF(ISBLANK(F553),"Insert unit",IF(ISBLANK(G553),"Insert data",(IF(F553="kg(fertiliser)/HA",G553*D553,G553)*INDEX(Other_fertiliser_EF,MATCH(C553,Other_fertilisers,0))/F517)/1000)),""),"")</f>
        <v/>
      </c>
      <c r="L553" s="39"/>
      <c r="M553" s="35"/>
    </row>
    <row r="554" spans="2:13" s="4" customFormat="1" outlineLevel="1" x14ac:dyDescent="0.4">
      <c r="B554" s="20"/>
      <c r="C554" s="151"/>
      <c r="D554" s="92" t="str">
        <f>IF(C554&gt;0,INDEX(Other_fertiliser_nutrient_composition,MATCH(C554,Other_fertilisers,0)),"")</f>
        <v/>
      </c>
      <c r="E554" s="92" t="str">
        <f>IF(C554&gt;0,INDEX(Other_fertiliser_N_compostion,MATCH(C554,Other_fertilisers,0)),"")</f>
        <v/>
      </c>
      <c r="F554" s="138"/>
      <c r="G554" s="137"/>
      <c r="H554" s="1"/>
      <c r="I554" s="43"/>
      <c r="J554" s="27" t="str">
        <f>IF(C554&gt;0,C554,"")</f>
        <v/>
      </c>
      <c r="K554" s="91" t="str">
        <f>IFERROR(IF(C554&gt;0,IF(ISBLANK(F554),"Insert unit",IF(ISBLANK(G554),"Insert data",(IF(F554="kg(fertiliser)/HA",G554*D554,G554)*INDEX(Other_fertiliser_EF,MATCH(C554,Other_fertilisers,0))/F517)/1000)),""),"")</f>
        <v/>
      </c>
      <c r="L554" s="39"/>
      <c r="M554" s="35"/>
    </row>
    <row r="555" spans="2:13" s="4" customFormat="1" outlineLevel="1" x14ac:dyDescent="0.4">
      <c r="B555" s="20"/>
      <c r="C555" s="151"/>
      <c r="D555" s="92" t="str">
        <f>IF(C555&gt;0,INDEX(Other_fertiliser_nutrient_composition,MATCH(C555,Other_fertilisers,0)),"")</f>
        <v/>
      </c>
      <c r="E555" s="92" t="str">
        <f>IF(C555&gt;0,INDEX(Other_fertiliser_N_compostion,MATCH(C555,Other_fertilisers,0)),"")</f>
        <v/>
      </c>
      <c r="F555" s="138"/>
      <c r="G555" s="137"/>
      <c r="H555" s="1"/>
      <c r="I555" s="43"/>
      <c r="J555" s="27" t="str">
        <f>IF(C555&gt;0,C555,"")</f>
        <v/>
      </c>
      <c r="K555" s="91" t="str">
        <f>IFERROR(IF(C555&gt;0,IF(ISBLANK(F555),"Insert unit",IF(ISBLANK(G555),"Insert data",(IF(F555="kg(fertiliser)/HA",G555*D555,G555)*INDEX(Other_fertiliser_EF,MATCH(C555,Other_fertilisers,0))/F517)/1000)),""),"")</f>
        <v/>
      </c>
      <c r="L555" s="39"/>
      <c r="M555" s="35"/>
    </row>
    <row r="556" spans="2:13" s="4" customFormat="1" outlineLevel="1" x14ac:dyDescent="0.4">
      <c r="B556" s="20"/>
      <c r="C556" s="151"/>
      <c r="D556" s="92" t="str">
        <f>IF(C556&gt;0,INDEX(Other_fertiliser_nutrient_composition,MATCH(C556,Other_fertilisers,0)),"")</f>
        <v/>
      </c>
      <c r="E556" s="92" t="str">
        <f>IF(C556&gt;0,INDEX(Other_fertiliser_N_compostion,MATCH(C556,Other_fertilisers,0)),"")</f>
        <v/>
      </c>
      <c r="F556" s="138"/>
      <c r="G556" s="137"/>
      <c r="H556" s="1"/>
      <c r="I556" s="43"/>
      <c r="J556" s="27" t="str">
        <f>IF(C556&gt;0,C556,"")</f>
        <v/>
      </c>
      <c r="K556" s="91" t="str">
        <f>IFERROR(IF(C556&gt;0,IF(ISBLANK(F556),"Insert unit",IF(ISBLANK(G556),"Insert data",(IF(F556="kg(fertiliser)/HA",G556*D556,G556)*INDEX(Other_fertiliser_EF,MATCH(C556,Other_fertilisers,0))/F517)/1000)),""),"")</f>
        <v/>
      </c>
      <c r="L556" s="39"/>
      <c r="M556" s="35"/>
    </row>
    <row r="557" spans="2:13" s="4" customFormat="1" outlineLevel="1" x14ac:dyDescent="0.4">
      <c r="B557" s="20"/>
      <c r="C557" s="151"/>
      <c r="D557" s="92" t="str">
        <f>IF(C557&gt;0,INDEX(Other_fertiliser_nutrient_composition,MATCH(C557,Other_fertilisers,0)),"")</f>
        <v/>
      </c>
      <c r="E557" s="92" t="str">
        <f>IF(C557&gt;0,INDEX(Other_fertiliser_N_compostion,MATCH(C557,Other_fertilisers,0)),"")</f>
        <v/>
      </c>
      <c r="F557" s="138"/>
      <c r="G557" s="137"/>
      <c r="H557" s="1"/>
      <c r="I557" s="43"/>
      <c r="J557" s="27" t="str">
        <f>IF(C557&gt;0,C557,"")</f>
        <v/>
      </c>
      <c r="K557" s="91" t="str">
        <f>IFERROR(IF(C557&gt;0,IF(ISBLANK(F557),"Insert unit",IF(ISBLANK(G557),"Insert data",(IF(F557="kg(fertiliser)/HA",G557*D557,G557)*INDEX(Other_fertiliser_EF,MATCH(C557,Other_fertilisers,0))/F517)/1000)),""),"")</f>
        <v/>
      </c>
      <c r="L557" s="39"/>
      <c r="M557" s="35"/>
    </row>
    <row r="558" spans="2:13" s="4" customFormat="1" outlineLevel="1" x14ac:dyDescent="0.4">
      <c r="B558" s="20"/>
      <c r="C558" s="24"/>
      <c r="D558" s="21"/>
      <c r="E558" s="21"/>
      <c r="F558" s="21"/>
      <c r="G558" s="21"/>
      <c r="H558" s="21"/>
      <c r="I558" s="41"/>
      <c r="J558" s="36"/>
      <c r="K558" s="36"/>
      <c r="L558" s="37"/>
      <c r="M558" s="35"/>
    </row>
    <row r="559" spans="2:13" s="4" customFormat="1" outlineLevel="1" x14ac:dyDescent="0.4">
      <c r="B559" s="20"/>
      <c r="C559" s="185" t="s">
        <v>150</v>
      </c>
      <c r="D559" s="21"/>
      <c r="G559" s="21"/>
      <c r="H559" s="21"/>
      <c r="I559" s="41"/>
      <c r="J559" s="36"/>
      <c r="K559" s="36"/>
      <c r="L559" s="37"/>
      <c r="M559" s="35"/>
    </row>
    <row r="560" spans="2:13" s="4" customFormat="1" outlineLevel="1" x14ac:dyDescent="0.4">
      <c r="B560" s="20"/>
      <c r="C560" s="166" t="s">
        <v>151</v>
      </c>
      <c r="D560" s="164" t="s">
        <v>140</v>
      </c>
      <c r="I560" s="41"/>
      <c r="J560" s="36"/>
      <c r="K560" s="164" t="s">
        <v>141</v>
      </c>
      <c r="L560" s="37"/>
      <c r="M560" s="35"/>
    </row>
    <row r="561" spans="2:13" s="4" customFormat="1" outlineLevel="1" x14ac:dyDescent="0.4">
      <c r="B561" s="20"/>
      <c r="C561" s="152" t="s">
        <v>152</v>
      </c>
      <c r="D561" s="30" t="str">
        <f>IFERROR(SUM(IFERROR(IF(E520="kg(fertiliser)/Ha",F520*D520,F520),0),IFERROR(IF(E521="kg(fertiliser)/Ha",F521*D521,F521),0),IFERROR(IF(E522="kg(fertiliser)/Ha",F522*D522,F522),0),IFERROR(IF(E523="kg(fertiliser)/Ha",F523*D523,F523),0),IFERROR(IF(E524="kg(fertiliser)/Ha",F524*D524,F524),0),IFERROR(IF(E525="kg(fertiliser)/Ha",F525*D525,F525),0),IFERROR(IF(E526="kg(fertiliser)/Ha",F526*D526,F526),0),IFERROR(IF(E528="kg(fertiliser)/Ha",F528*D528,IF(E528="kg(nitrogen)/Ha",F528,F528*1000*D528)),0),IFERROR(IF(E529="kg(fertiliser)/Ha",F529*D529,IF(E529="kg(nitrogen)/Ha",F529,F529*1000*D529)),0),IFERROR(IF(E530="kg(fertiliser)/Ha",F530*D530,IF(E530="kg(nitrogen)/Ha",F530,F530*1000*D530)),0),IFERROR(IF(E531="kg(fertiliser)/Ha",F531*D531,IF(E531="kg(nitrogen)/Ha",F531,F531*1000*D531)),0),IFERROR(IF(E532="kg(fertiliser)/Ha",F532*D532,IF(E532="kg(nitrogen)/Ha",F532,F532*1000*D532)),0),IFERROR(IF(E533="kg(fertiliser)/Ha",F533*D533,IF(E533="kg(nitrogen)/Ha",F533,F533*1000*D533)),0),IFERROR(IF(E535="kg(fertiliser)/Ha",F535*D535,IF(E535="kg(nitrogen)/Ha",F535,F535*1000*D535)),0),IFERROR(IF(F537="kg(fertiliser)/Ha",G537*E537,G537*E537/D537),0),IFERROR(IF(F538="kg(fertiliser)/Ha",G538*E538,G538*E538/D538),0),IFERROR(IF(F539="kg(fertiliser)/Ha",G539*E539,G539*E539/D539),0),IFERROR(IF(F540="kg(fertiliser)/Ha",G540*E540,G540*E540/D540),0),IFERROR(IF(F541="kg(fertiliser)/Ha",G541*E541,G541*E541/D541),0),IFERROR(IF(F542="kg(fertiliser)/Ha",G542*E542,G542*E542/D542),0),IFERROR(IF(F543="kg(fertiliser)/Ha",G543*E543,G543*E543/D543),0),IFERROR(IF(F545="kg(fertiliser)/Ha",G545*E545,G545*E545/D545),0),IFERROR(IF(F546="kg(fertiliser)/Ha",G546*E546,G546*E546/D546),0),IFERROR(IF(F547="kg(fertiliser)/Ha",G547*E547,G547*E547/D547),0),IFERROR(IF(F548="kg(fertiliser)/Ha",G548*E548,G548*E548/D548),0),IFERROR(IF(F549="kg(fertiliser)/Ha",G549*E549,G549*E549/D549),0),IFERROR(IF(F550="kg(fertiliser)/Ha",G550*E550,G550*E550/D550),0),IFERROR(IF(F551="kg(fertiliser)/Ha",G551*E551,G551*E551/D551),0),IFERROR(IF(F553="kg(fertiliser)/Ha",G553*E553,G553*E553/D553),0),IFERROR(IF(F554="kg(fertiliser)/Ha",G554*E554,G554*E554/D554),0),IFERROR(IF(F555="kg(fertiliser)/Ha",G555*E555,G555*E555/D555),0),IFERROR(IF(F556="kg(fertiliser)/Ha",G556*E556,G556*E556/D556),0),IFERROR(IF(F557="kg(fertiliser)/Ha",G557*E557,G557*E557/D557),0)), "")</f>
        <v/>
      </c>
      <c r="E561" s="1"/>
      <c r="I561" s="43"/>
      <c r="J561" s="164" t="s">
        <v>153</v>
      </c>
      <c r="K561" s="52" t="str">
        <f>IFERROR(SUM(IFERROR(IF(E520="kg(fertiliser)/Ha",F520*D520,F520)*INDEX(Soil_EFs,MATCH("Inorganic",Soil_EFs_N_type,0)),0),IFERROR(IF(E521="kg(fertiliser)/Ha",F521*D521,F521)*INDEX(Soil_EFs,MATCH("Inorganic",Soil_EFs_N_type,0)),0),IFERROR(IF(E522="kg(fertiliser)/Ha",F522*D522,F522)*INDEX(Soil_EFs,MATCH("Inorganic",Soil_EFs_N_type,0)),0),IFERROR(IF(E523="kg(fertiliser)/Ha",F523*D523,F523)*INDEX(Soil_EFs,MATCH("Inorganic",Soil_EFs_N_type,0)),0),IFERROR(IF(E524="kg(fertiliser)/Ha",F524*D524,F524)*INDEX(Soil_EFs,MATCH("Inorganic",Soil_EFs_N_type,0)),0),IFERROR(IF(E525="kg(fertiliser)/Ha",F525*D525,F525)*INDEX(Soil_EFs,MATCH("Inorganic",Soil_EFs_N_type,0)),0),IFERROR(IF(E526="kg(fertiliser)/Ha",F526*D526,F526)*INDEX(Soil_EFs,MATCH("Inorganic",Soil_EFs_N_type,0)),0),IFERROR(IF(E528="kg(fertiliser)/HA",F528*D528,IF(E528="t(fertiliser)/Ha",F528*1000*D528,F528))*INDEX(Soil_EFs,MATCH("organic",Soil_EFs_N_type,0)),0),IFERROR(IF(E529="kg(fertiliser)/HA",F529*D529,IF(E529="t(fertiliser)/Ha",F529*1000*D529,F529))*INDEX(Soil_EFs,MATCH("organic",Soil_EFs_N_type,0)),0),IFERROR(IF(E530="kg(fertiliser)/HA",F530*D530,IF(E530="t(fertiliser)/Ha",F530*1000*D530,F530))*INDEX(Soil_EFs,MATCH("organic",Soil_EFs_N_type,0)),0),IFERROR(IF(E531="kg(fertiliser)/HA",F531*D531,IF(E531="t(fertiliser)/Ha",F531*1000*D531,F531))*INDEX(Soil_EFs,MATCH("organic",Soil_EFs_N_type,0)),0),IFERROR(IF(E532="kg(fertiliser)/HA",F532*D532,IF(E532="t(fertiliser)/Ha",F532*1000*D532,F532))*INDEX(Soil_EFs,MATCH("organic",Soil_EFs_N_type,0)),0),IFERROR(IF(E533="kg(fertiliser)/HA",F533*D533,IF(E533="t(fertiliser)/Ha",F533*1000*D533,F533))*INDEX(Soil_EFs,MATCH("organic",Soil_EFs_N_type,0)),0),IFERROR(IF(E535="kg(fertiliser)/HA",F535*D535,IF(E535="t(fertiliser)/Ha",F535*1000*D535,F535))*'Reference values'!$D$348,0),IFERROR(IF(F537="kg(fertiliser)/Ha",G537*E537,G537*E537/D537)*INDEX(Soil_EFs,MATCH("Inorganic",Soil_EFs_N_type,0)),0),IFERROR(IF(F538="kg(fertiliser)/Ha",G538*E538,G538*E538/D538)*INDEX(Soil_EFs,MATCH("Inorganic",Soil_EFs_N_type,0)),0),IFERROR(IF(F539="kg(fertiliser)/Ha",G539*E539,G539*E539/D539)*INDEX(Soil_EFs,MATCH("Inorganic",Soil_EFs_N_type,0)),0),IFERROR(IF(F540="kg(fertiliser)/Ha",G540*E540,G540*E540/D540)*INDEX(Soil_EFs,MATCH("Inorganic",Soil_EFs_N_type,0)),0),IFERROR(IF(F541="kg(fertiliser)/Ha",G541*E541,G541*E541/D541)*INDEX(Soil_EFs,MATCH("Inorganic",Soil_EFs_N_type,0)),0),IFERROR(IF(F542="kg(fertiliser)/Ha",G542*E542,G542*E542/D542)*INDEX(Soil_EFs,MATCH("Inorganic",Soil_EFs_N_type,0)),0),IFERROR(IF(F543="kg(fertiliser)/Ha",G543*E543,G543*E543/D543)*INDEX(Soil_EFs,MATCH("Inorganic",Soil_EFs_N_type,0)),0),IFERROR(IF(F545="kg(fertiliser)/Ha",G545*E545,G545*E545/D545)*INDEX(Soil_EFs,MATCH("Inorganic",Soil_EFs_N_type,0)),0),IFERROR(IF(F546="kg(fertiliser)/Ha",G546*E546,G546*E546/D546)*INDEX(Soil_EFs,MATCH("Inorganic",Soil_EFs_N_type,0)),0),IFERROR(IF(F547="kg(fertiliser)/Ha",G547*E547,G547*E547/D547)*INDEX(Soil_EFs,MATCH("Inorganic",Soil_EFs_N_type,0)),0),IFERROR(IF(F548="kg(fertiliser)/Ha",G548*E548,G548*E548/D548)*INDEX(Soil_EFs,MATCH("Inorganic",Soil_EFs_N_type,0)),0),IFERROR(IF(F549="kg(fertiliser)/Ha",G549*E549,G549*E549/D549)*INDEX(Soil_EFs,MATCH("Inorganic",Soil_EFs_N_type,0)),0),IFERROR(IF(F550="kg(fertiliser)/Ha",G550*E550,G550*E550/D550)*INDEX(Soil_EFs,MATCH("Inorganic",Soil_EFs_N_type,0)),0),IFERROR(IF(F551="kg(fertiliser)/Ha",G551*E551,G551*E551/D551)*INDEX(Soil_EFs,MATCH("Inorganic",Soil_EFs_N_type,0)),0),IFERROR(IF(F553="kg(fertiliser)/Ha",G553*E553,G553*E553/D553)*INDEX(Soil_EFs,MATCH("Inorganic",Soil_EFs_N_type,0)),0),IFERROR(IF(F554="kg(fertiliser)/Ha",G554*E554,G554*E554/D554)*INDEX(Soil_EFs,MATCH("Inorganic",Soil_EFs_N_type,0)),0),IFERROR(IF(F555="kg(fertiliser)/Ha",G555*E555,G555*E555/D555)*INDEX(Soil_EFs,MATCH("Inorganic",Soil_EFs_N_type,0)),0),IFERROR(IF(F556="kg(fertiliser)/Ha",G556*E556,G556*E556/D556)*INDEX(Soil_EFs,MATCH("Inorganic",Soil_EFs_N_type,0)),0),IFERROR(IF(F557="kg(fertiliser)/Ha",G557*E557,G557*E557/D557)*INDEX(Soil_EFs,MATCH),0))/F517,"")</f>
        <v/>
      </c>
      <c r="L561" s="38"/>
      <c r="M561" s="35"/>
    </row>
    <row r="562" spans="2:13" s="4" customFormat="1" ht="14.25" customHeight="1" outlineLevel="1" x14ac:dyDescent="0.4">
      <c r="B562" s="20"/>
      <c r="C562" s="24"/>
      <c r="D562" s="21"/>
      <c r="E562" s="21"/>
      <c r="F562" s="21"/>
      <c r="G562" s="21"/>
      <c r="H562" s="21"/>
      <c r="I562" s="41"/>
      <c r="J562" s="36"/>
      <c r="K562" s="36"/>
      <c r="L562" s="37"/>
      <c r="M562" s="35"/>
    </row>
    <row r="563" spans="2:13" s="4" customFormat="1" outlineLevel="1" x14ac:dyDescent="0.4">
      <c r="B563" s="20"/>
      <c r="C563" s="150" t="s">
        <v>154</v>
      </c>
      <c r="D563" s="21"/>
      <c r="E563" s="21"/>
      <c r="F563" s="21"/>
      <c r="G563" s="21"/>
      <c r="H563" s="21"/>
      <c r="I563" s="41"/>
      <c r="J563" s="36"/>
      <c r="K563" s="36"/>
      <c r="L563" s="37"/>
      <c r="M563" s="35"/>
    </row>
    <row r="564" spans="2:13" s="14" customFormat="1" ht="30.6" outlineLevel="1" x14ac:dyDescent="0.4">
      <c r="B564" s="23"/>
      <c r="C564" s="166" t="s">
        <v>155</v>
      </c>
      <c r="D564" s="166" t="s">
        <v>156</v>
      </c>
      <c r="E564" s="166" t="s">
        <v>139</v>
      </c>
      <c r="F564" s="166" t="s">
        <v>140</v>
      </c>
      <c r="G564" s="24"/>
      <c r="H564" s="24"/>
      <c r="I564" s="42"/>
      <c r="J564" s="166" t="s">
        <v>155</v>
      </c>
      <c r="K564" s="164" t="s">
        <v>141</v>
      </c>
      <c r="L564" s="37"/>
      <c r="M564" s="63"/>
    </row>
    <row r="565" spans="2:13" s="4" customFormat="1" outlineLevel="1" x14ac:dyDescent="0.4">
      <c r="B565" s="20"/>
      <c r="C565" s="617" t="str">
        <f>IF(D513="Do not use defaults", "", "Pesticides")</f>
        <v/>
      </c>
      <c r="D565" s="620" t="str">
        <f>IF(C565="Pesticides", 100%, "")</f>
        <v/>
      </c>
      <c r="E565" s="27" t="str">
        <f>IF(C565="Pesticides", "kg(active ingredient)/Ha", "")</f>
        <v/>
      </c>
      <c r="F565" s="27" t="str">
        <f>IF(D513="Do not use defaults","",VLOOKUP(D513,Default_crop_data[],7,FALSE))</f>
        <v/>
      </c>
      <c r="G565" s="1"/>
      <c r="H565" s="1"/>
      <c r="I565" s="43"/>
      <c r="J565" s="27" t="str">
        <f>IF(C565&gt;0,C565,"")</f>
        <v/>
      </c>
      <c r="K565" s="91" t="str">
        <f>IFERROR(IF(C565&gt;0,IF(ISBLANK(E565),"Insert unit",IF(OR(ISBLANK(F565),AND(ISBLANK(D565),E565="kg(pesticide)/Ha")),"Insert data",(IF(E565="kg(pesticide)/HA",F565*D565,F565)*INDEX(Pesticide_EF,MATCH("Pesticide (any)",Pesticides,0))/F517)/1000)),""),"")</f>
        <v/>
      </c>
      <c r="L565" s="39"/>
      <c r="M565" s="35"/>
    </row>
    <row r="566" spans="2:13" s="4" customFormat="1" outlineLevel="1" x14ac:dyDescent="0.4">
      <c r="B566" s="20"/>
      <c r="C566" s="151"/>
      <c r="D566" s="139"/>
      <c r="E566" s="138"/>
      <c r="F566" s="134"/>
      <c r="G566" s="1"/>
      <c r="H566" s="1"/>
      <c r="I566" s="43"/>
      <c r="J566" s="27" t="str">
        <f>IF(C566&gt;0,C566,"")</f>
        <v/>
      </c>
      <c r="K566" s="91" t="str">
        <f>IFERROR(IF(C566&gt;0,IF(ISBLANK(G566),"Insert data",(IF(F566="kg(fertiliser)/HA",G566*D566,G566)*INDEX(Other_fertiliser_EF,MATCH(C566,Other_fertilisers,0))/F517)/1000),""),"")</f>
        <v/>
      </c>
      <c r="L566" s="39"/>
      <c r="M566" s="35"/>
    </row>
    <row r="567" spans="2:13" s="4" customFormat="1" outlineLevel="1" x14ac:dyDescent="0.4">
      <c r="B567" s="20"/>
      <c r="C567" s="151"/>
      <c r="D567" s="139"/>
      <c r="E567" s="138"/>
      <c r="F567" s="134"/>
      <c r="G567" s="1"/>
      <c r="H567" s="1"/>
      <c r="I567" s="43"/>
      <c r="J567" s="27" t="str">
        <f>IF(C567&gt;0,C567,"")</f>
        <v/>
      </c>
      <c r="K567" s="91" t="str">
        <f>IFERROR(IF(C567&gt;0,IF(ISBLANK(G567),"Insert data",(IF(F567="kg(fertiliser)/HA",G567*D567,G567)*INDEX(Other_fertiliser_EF,MATCH(C567,Other_fertilisers,0))/F517)/1000),""),"")</f>
        <v/>
      </c>
      <c r="L567" s="39"/>
      <c r="M567" s="35"/>
    </row>
    <row r="568" spans="2:13" s="4" customFormat="1" outlineLevel="1" x14ac:dyDescent="0.4">
      <c r="B568" s="20"/>
      <c r="C568" s="151"/>
      <c r="D568" s="139"/>
      <c r="E568" s="138"/>
      <c r="F568" s="134"/>
      <c r="G568" s="1"/>
      <c r="H568" s="1"/>
      <c r="I568" s="43"/>
      <c r="J568" s="27" t="str">
        <f>IF(C568&gt;0,C568,"")</f>
        <v/>
      </c>
      <c r="K568" s="91" t="str">
        <f>IFERROR(IF(C568&gt;0,IF(ISBLANK(G568),"Insert data",(IF(F568="kg(fertiliser)/HA",G568*D568,G568)*INDEX(Other_fertiliser_EF,MATCH(C568,Other_fertilisers,0))/F517)/1000),""),"")</f>
        <v/>
      </c>
      <c r="L568" s="39"/>
      <c r="M568" s="35"/>
    </row>
    <row r="569" spans="2:13" s="4" customFormat="1" outlineLevel="1" x14ac:dyDescent="0.4">
      <c r="B569" s="20"/>
      <c r="C569" s="151"/>
      <c r="D569" s="139"/>
      <c r="E569" s="138"/>
      <c r="F569" s="134"/>
      <c r="G569" s="1"/>
      <c r="H569" s="1"/>
      <c r="I569" s="43"/>
      <c r="J569" s="27" t="str">
        <f>IF(C569&gt;0,C569,"")</f>
        <v/>
      </c>
      <c r="K569" s="91" t="str">
        <f>IFERROR(IF(C569&gt;0,IF(ISBLANK(G569),"Insert data",(IF(F569="kg(fertiliser)/HA",G569*D569,G569)*INDEX(Other_fertiliser_EF,MATCH(C569,Other_fertilisers,0))/F517)/1000),""),"")</f>
        <v/>
      </c>
      <c r="L569" s="39"/>
      <c r="M569" s="35"/>
    </row>
    <row r="570" spans="2:13" s="4" customFormat="1" outlineLevel="1" x14ac:dyDescent="0.4">
      <c r="B570" s="20"/>
      <c r="C570" s="24"/>
      <c r="D570" s="21"/>
      <c r="E570" s="21"/>
      <c r="F570" s="21"/>
      <c r="G570" s="21"/>
      <c r="H570" s="21"/>
      <c r="I570" s="41"/>
      <c r="J570" s="36"/>
      <c r="K570" s="36"/>
      <c r="L570" s="37"/>
      <c r="M570" s="35"/>
    </row>
    <row r="571" spans="2:13" s="4" customFormat="1" outlineLevel="1" x14ac:dyDescent="0.4">
      <c r="B571" s="20"/>
      <c r="C571" s="150" t="s">
        <v>157</v>
      </c>
      <c r="D571" s="21"/>
      <c r="E571" s="21"/>
      <c r="F571" s="21"/>
      <c r="G571" s="21"/>
      <c r="H571" s="21"/>
      <c r="I571" s="41"/>
      <c r="J571" s="36"/>
      <c r="K571" s="36"/>
      <c r="L571" s="37"/>
      <c r="M571" s="35"/>
    </row>
    <row r="572" spans="2:13" s="4" customFormat="1" outlineLevel="1" x14ac:dyDescent="0.4">
      <c r="B572" s="20"/>
      <c r="C572" s="167" t="s">
        <v>158</v>
      </c>
      <c r="D572" s="168" t="s">
        <v>151</v>
      </c>
      <c r="E572" s="168" t="s">
        <v>140</v>
      </c>
      <c r="F572" s="21"/>
      <c r="G572" s="21"/>
      <c r="H572" s="21"/>
      <c r="I572" s="41"/>
      <c r="J572" s="164" t="s">
        <v>158</v>
      </c>
      <c r="K572" s="164" t="s">
        <v>141</v>
      </c>
      <c r="L572" s="37"/>
      <c r="M572" s="35"/>
    </row>
    <row r="573" spans="2:13" s="4" customFormat="1" outlineLevel="1" x14ac:dyDescent="0.4">
      <c r="B573" s="20"/>
      <c r="C573" s="617" t="str">
        <f>IF(D513="Silage grass", "Grass", IF(D513="Do not use defaults", "", D513))</f>
        <v/>
      </c>
      <c r="D573" s="27" t="str">
        <f>IF(C573=D513, "kg/Ha", "")</f>
        <v/>
      </c>
      <c r="E573" s="30" t="str">
        <f>IF(D513="Do not use defaults", "",VLOOKUP(D513,Default_crop_data[],8,FALSE))</f>
        <v/>
      </c>
      <c r="F573" s="1"/>
      <c r="G573" s="1"/>
      <c r="H573" s="1"/>
      <c r="I573" s="43"/>
      <c r="J573" s="27" t="str">
        <f>IF(C573&gt;0,C573,"")</f>
        <v/>
      </c>
      <c r="K573" s="52" t="str">
        <f>IF(C573&gt;0,IFERROR(E573*INDEX(Seed_EF,MATCH(C573,Seeds,0))/F517/1000,""),"")</f>
        <v/>
      </c>
      <c r="L573" s="38"/>
      <c r="M573" s="35"/>
    </row>
    <row r="574" spans="2:13" s="4" customFormat="1" outlineLevel="1" x14ac:dyDescent="0.4">
      <c r="B574" s="20"/>
      <c r="C574" s="153"/>
      <c r="D574" s="138"/>
      <c r="E574" s="140"/>
      <c r="F574" s="1"/>
      <c r="G574" s="1"/>
      <c r="H574" s="1"/>
      <c r="I574" s="43"/>
      <c r="J574" s="27" t="str">
        <f>IF(C574&gt;0,C574,"")</f>
        <v/>
      </c>
      <c r="K574" s="52" t="str">
        <f>IF(C574&gt;0,IFERROR(E574*INDEX(Seed_EF,MATCH(C574,Seeds,0))/F518/1000,""),"")</f>
        <v/>
      </c>
      <c r="L574" s="38"/>
      <c r="M574" s="35"/>
    </row>
    <row r="575" spans="2:13" s="4" customFormat="1" outlineLevel="1" x14ac:dyDescent="0.4">
      <c r="B575" s="20"/>
      <c r="C575" s="24"/>
      <c r="D575" s="21"/>
      <c r="E575" s="21"/>
      <c r="F575" s="21"/>
      <c r="G575" s="21"/>
      <c r="H575" s="21"/>
      <c r="I575" s="41"/>
      <c r="J575" s="36"/>
      <c r="K575" s="36"/>
      <c r="L575" s="37"/>
      <c r="M575" s="35"/>
    </row>
    <row r="576" spans="2:13" s="12" customFormat="1" ht="15" customHeight="1" outlineLevel="1" x14ac:dyDescent="0.35">
      <c r="B576" s="20"/>
      <c r="C576" s="25" t="s">
        <v>159</v>
      </c>
      <c r="D576" s="1"/>
      <c r="E576" s="1"/>
      <c r="F576" s="1"/>
      <c r="G576" s="1"/>
      <c r="H576" s="1"/>
      <c r="I576" s="43"/>
      <c r="J576" s="34"/>
      <c r="K576" s="34"/>
      <c r="L576" s="44"/>
      <c r="M576" s="54"/>
    </row>
    <row r="577" spans="2:13" s="12" customFormat="1" ht="15" customHeight="1" outlineLevel="1" x14ac:dyDescent="0.35">
      <c r="B577" s="20"/>
      <c r="C577" s="166" t="s">
        <v>160</v>
      </c>
      <c r="D577" s="164" t="s">
        <v>151</v>
      </c>
      <c r="E577" s="164" t="s">
        <v>140</v>
      </c>
      <c r="F577" s="1"/>
      <c r="G577" s="1"/>
      <c r="H577" s="1"/>
      <c r="I577" s="43"/>
      <c r="J577" s="164" t="s">
        <v>160</v>
      </c>
      <c r="K577" s="164" t="s">
        <v>141</v>
      </c>
      <c r="L577" s="37"/>
      <c r="M577" s="54"/>
    </row>
    <row r="578" spans="2:13" s="12" customFormat="1" ht="15" customHeight="1" outlineLevel="1" x14ac:dyDescent="0.35">
      <c r="B578" s="20"/>
      <c r="C578" s="621" t="str">
        <f>IF(D513="Do not use defaults", "", "Diesel")</f>
        <v/>
      </c>
      <c r="D578" s="74" t="str">
        <f>IF(D513="Do not use defaults", "", "litres/Ha")</f>
        <v/>
      </c>
      <c r="E578" s="622" t="str">
        <f>IF(D513="Do not use defaults", "",VLOOKUP(D513,Default_crop_data[],9,FALSE))</f>
        <v/>
      </c>
      <c r="F578" s="1"/>
      <c r="G578" s="26"/>
      <c r="H578" s="1"/>
      <c r="I578" s="43"/>
      <c r="J578" s="27" t="str">
        <f>IF(C578&gt;0,C578,"")</f>
        <v/>
      </c>
      <c r="K578" s="52" t="str">
        <f>IF(D513="Do not use defaults", "", IFERROR(IF(C578&gt;0,IF(ISBLANK(E578),"Insert data",IF(D578="litres/Ha",E578*INDEX(Fuel_Densities,MATCH(C578,Fuels_for_Densities,0))/1000*INDEX(Fuel_LHV,MATCH(C578,Fuels_for_LHV,0))/F517/1000*INDEX(Fuel_EFs,MATCH(C578,Fuels_for_EF,0)),IF(D578="kg/Ha",E578*INDEX(Fuel_LHV,MATCH(C578,Fuels_for_LHV,0))/F517/1000*INDEX(Fuel_EFs,MATCH(C578,Fuels_for_EF,0)),IF(D578="tonnes/Ha",E578*INDEX(Fuel_LHV,MATCH(C578,Fuels_for_LHV,0))/F517*INDEX(Fuel_EFs,MATCH(C578,Fuels_for_EF,0)),"Insert unit")))),""),""))</f>
        <v/>
      </c>
      <c r="L578" s="40"/>
      <c r="M578" s="54"/>
    </row>
    <row r="579" spans="2:13" s="12" customFormat="1" ht="15" customHeight="1" outlineLevel="1" x14ac:dyDescent="0.35">
      <c r="B579" s="20"/>
      <c r="C579" s="621" t="str">
        <f>IF(D513="Do not use defaults", "", "Diesel")</f>
        <v/>
      </c>
      <c r="D579" s="74" t="str">
        <f>IF(D513="Do not use defaults", "", "litres/Ha")</f>
        <v/>
      </c>
      <c r="E579" s="622" t="str">
        <f>IF(D513="Do not use defaults", "",VLOOKUP(D513,Default_crop_data[],10,FALSE))</f>
        <v/>
      </c>
      <c r="F579" s="1"/>
      <c r="G579" s="1"/>
      <c r="H579" s="1"/>
      <c r="I579" s="43"/>
      <c r="J579" s="27" t="str">
        <f>IF(C579&gt;0,C579,"")</f>
        <v/>
      </c>
      <c r="K579" s="52" t="str">
        <f>IF(D513="Do not use defaults", "", IFERROR(IF(C579&gt;0,IF(ISBLANK(E579),"Insert data",IF(D579="litres/Ha",E579*INDEX(Fuel_Densities,MATCH(C579,Fuels_for_Densities,0))/1000*INDEX(Fuel_LHV,MATCH(C579,Fuels_for_LHV,0))/F517/1000*INDEX(Fuel_EFs,MATCH(C579,Fuels_for_EF,0)),IF(D579="kg/Ha",E579*INDEX(Fuel_LHV,MATCH(C579,Fuels_for_LHV,0))/F517/1000*INDEX(Fuel_EFs,MATCH(C579,Fuels_for_EF,0)),IF(D579="tonnes/Ha",E579*INDEX(Fuel_LHV,MATCH(C579,Fuels_for_LHV,0))/F517*INDEX(Fuel_EFs,MATCH(C579,Fuels_for_EF,0)),"Insert unit")))),""),""))</f>
        <v/>
      </c>
      <c r="L579" s="40"/>
      <c r="M579" s="54"/>
    </row>
    <row r="580" spans="2:13" s="12" customFormat="1" ht="15" customHeight="1" outlineLevel="1" x14ac:dyDescent="0.35">
      <c r="B580" s="20"/>
      <c r="C580" s="154"/>
      <c r="D580" s="141"/>
      <c r="E580" s="142"/>
      <c r="F580" s="1"/>
      <c r="G580" s="1"/>
      <c r="H580" s="1"/>
      <c r="I580" s="43"/>
      <c r="J580" s="27" t="str">
        <f>IF(C580&gt;0,C580,"")</f>
        <v/>
      </c>
      <c r="K580" s="52" t="str">
        <f>IFERROR(IF(C580&gt;0,IF(ISBLANK(E580),"Insert data",IF(D580="litres/Ha",E580*INDEX(Fuel_Densities,MATCH(C580,Fuels_for_Densities,0))/1000*INDEX(Fuel_LHV,MATCH(C580,Fuels_for_LHV,0))/F517/1000*INDEX(Fuel_EFs,MATCH(C580,Fuels_for_EF,0)),IF(D580="kg/Ha",E580*INDEX(Fuel_LHV,MATCH(C580,Fuels_for_LHV,0))/F517/1000*INDEX(Fuel_EFs,MATCH(C580,Fuels_for_EF,0)),IF(D580="tonnes/Ha",E580*INDEX(Fuel_LHV,MATCH(C580,Fuels_for_LHV,0))/F517*INDEX(Fuel_EFs,MATCH(C580,Fuels_for_EF,0)),"Insert unit")))),""),"")</f>
        <v/>
      </c>
      <c r="L580" s="40"/>
      <c r="M580" s="54"/>
    </row>
    <row r="581" spans="2:13" s="12" customFormat="1" ht="15" customHeight="1" outlineLevel="1" x14ac:dyDescent="0.35">
      <c r="B581" s="20"/>
      <c r="C581" s="154"/>
      <c r="D581" s="141"/>
      <c r="E581" s="142"/>
      <c r="F581" s="1"/>
      <c r="G581" s="1"/>
      <c r="H581" s="1"/>
      <c r="I581" s="43"/>
      <c r="J581" s="27" t="str">
        <f>IF(C581&gt;0,C581,"")</f>
        <v/>
      </c>
      <c r="K581" s="52" t="str">
        <f>IFERROR(IF(C581&gt;0,IF(ISBLANK(E581),"Insert data",IF(D581="litres/Ha",E581*INDEX(Fuel_Densities,MATCH(C581,Fuels_for_Densities,0))/1000*INDEX(Fuel_LHV,MATCH(C581,Fuels_for_LHV,0))/F517/1000*INDEX(Fuel_EFs,MATCH(C581,Fuels_for_EF,0)),IF(D581="kg/Ha",E581*INDEX(Fuel_LHV,MATCH(C581,Fuels_for_LHV,0))/F517/1000*INDEX(Fuel_EFs,MATCH(C581,Fuels_for_EF,0)),IF(D581="tonnes/Ha",E581*INDEX(Fuel_LHV,MATCH(C581,Fuels_for_LHV,0))/F517*INDEX(Fuel_EFs,MATCH(C581,Fuels_for_EF,0)),"Insert unit")))),""),"")</f>
        <v/>
      </c>
      <c r="L581" s="40"/>
      <c r="M581" s="54"/>
    </row>
    <row r="582" spans="2:13" s="4" customFormat="1" ht="13.5" customHeight="1" outlineLevel="1" x14ac:dyDescent="0.4">
      <c r="B582" s="20"/>
      <c r="C582" s="24"/>
      <c r="D582" s="21"/>
      <c r="E582" s="21"/>
      <c r="F582" s="21"/>
      <c r="G582" s="21"/>
      <c r="H582" s="21"/>
      <c r="I582" s="46"/>
      <c r="J582" s="58"/>
      <c r="K582" s="58"/>
      <c r="L582" s="59"/>
      <c r="M582" s="35"/>
    </row>
    <row r="583" spans="2:13" s="4" customFormat="1" ht="13.5" customHeight="1" outlineLevel="1" x14ac:dyDescent="0.4">
      <c r="B583" s="20"/>
      <c r="C583" s="661" t="s">
        <v>120</v>
      </c>
      <c r="D583" s="21"/>
      <c r="E583" s="21"/>
      <c r="F583" s="21"/>
      <c r="G583" s="21"/>
      <c r="H583" s="21"/>
      <c r="I583" s="21"/>
      <c r="J583" s="21"/>
      <c r="K583" s="21"/>
      <c r="L583" s="21"/>
      <c r="M583" s="35"/>
    </row>
    <row r="584" spans="2:13" s="4" customFormat="1" ht="13.5" customHeight="1" outlineLevel="1" x14ac:dyDescent="0.4">
      <c r="B584" s="20"/>
      <c r="C584" s="166" t="s">
        <v>161</v>
      </c>
      <c r="D584" s="622">
        <f xml:space="preserve"> IFERROR(( Feedstocks!D16 * (Feedstocks!E16 / IF(Feedstocks!I16="Default",  Feedstocks!J16, Feedstocks!K16)) /('Transport 1'!F269 * 'Feedstock conversion'!F267 * 'Transport 2'!F269)) /F517, 0)</f>
        <v>0</v>
      </c>
      <c r="E584" s="21"/>
      <c r="F584" s="21"/>
      <c r="G584" s="21"/>
      <c r="H584" s="21"/>
      <c r="I584" s="21"/>
      <c r="J584" s="21"/>
      <c r="K584" s="21"/>
      <c r="L584" s="21"/>
      <c r="M584" s="35"/>
    </row>
    <row r="585" spans="2:13" s="4" customFormat="1" ht="13.5" customHeight="1" outlineLevel="1" x14ac:dyDescent="0.4">
      <c r="B585" s="28"/>
      <c r="C585" s="155"/>
      <c r="D585" s="29"/>
      <c r="E585" s="29"/>
      <c r="F585" s="29"/>
      <c r="G585" s="29"/>
      <c r="H585" s="29"/>
      <c r="I585" s="29"/>
      <c r="J585" s="29"/>
      <c r="K585" s="29"/>
      <c r="L585" s="29"/>
      <c r="M585" s="60"/>
    </row>
    <row r="586" spans="2:13" s="4" customFormat="1" x14ac:dyDescent="0.4">
      <c r="C586" s="14"/>
    </row>
    <row r="587" spans="2:13" s="4" customFormat="1" hidden="1" x14ac:dyDescent="0.4">
      <c r="C587" s="14"/>
    </row>
    <row r="588" spans="2:13" s="4" customFormat="1" hidden="1" x14ac:dyDescent="0.4">
      <c r="C588" s="14"/>
    </row>
    <row r="589" spans="2:13" s="4" customFormat="1" hidden="1" x14ac:dyDescent="0.4">
      <c r="C589" s="14"/>
    </row>
    <row r="590" spans="2:13" s="4" customFormat="1" hidden="1" x14ac:dyDescent="0.4">
      <c r="C590" s="14"/>
    </row>
    <row r="591" spans="2:13" s="4" customFormat="1" hidden="1" x14ac:dyDescent="0.4">
      <c r="C591" s="14"/>
    </row>
    <row r="592" spans="2:13" s="4" customFormat="1" hidden="1" x14ac:dyDescent="0.4">
      <c r="C592" s="14"/>
    </row>
    <row r="593" spans="2:13" s="4" customFormat="1" hidden="1" x14ac:dyDescent="0.4">
      <c r="C593" s="14"/>
    </row>
    <row r="594" spans="2:13" s="4" customFormat="1" hidden="1" x14ac:dyDescent="0.4">
      <c r="C594" s="14"/>
    </row>
    <row r="595" spans="2:13" s="4" customFormat="1" hidden="1" x14ac:dyDescent="0.4">
      <c r="C595" s="14"/>
    </row>
    <row r="596" spans="2:13" s="4" customFormat="1" hidden="1" x14ac:dyDescent="0.4">
      <c r="C596" s="14"/>
    </row>
    <row r="597" spans="2:13" s="4" customFormat="1" hidden="1" x14ac:dyDescent="0.4">
      <c r="C597" s="14"/>
    </row>
    <row r="598" spans="2:13" s="4" customFormat="1" hidden="1" x14ac:dyDescent="0.4">
      <c r="C598" s="14"/>
    </row>
    <row r="599" spans="2:13" s="4" customFormat="1" hidden="1" x14ac:dyDescent="0.4">
      <c r="C599" s="14"/>
    </row>
    <row r="600" spans="2:13" s="4" customFormat="1" hidden="1" x14ac:dyDescent="0.4">
      <c r="C600" s="14"/>
    </row>
    <row r="601" spans="2:13" s="4" customFormat="1" hidden="1" x14ac:dyDescent="0.4">
      <c r="C601" s="14"/>
    </row>
    <row r="602" spans="2:13" s="4" customFormat="1" hidden="1" x14ac:dyDescent="0.4">
      <c r="C602" s="14"/>
    </row>
    <row r="603" spans="2:13" s="4" customFormat="1" hidden="1" x14ac:dyDescent="0.4">
      <c r="C603" s="14"/>
    </row>
    <row r="604" spans="2:13" s="4" customFormat="1" hidden="1" x14ac:dyDescent="0.4">
      <c r="C604" s="14"/>
    </row>
    <row r="605" spans="2:13" s="4" customFormat="1" hidden="1" x14ac:dyDescent="0.4">
      <c r="C605" s="14"/>
    </row>
    <row r="606" spans="2:13" s="4" customFormat="1" hidden="1" x14ac:dyDescent="0.4">
      <c r="C606" s="14"/>
    </row>
    <row r="607" spans="2:13" s="4" customFormat="1" hidden="1" x14ac:dyDescent="0.4">
      <c r="C607" s="14"/>
    </row>
    <row r="608" spans="2:13" s="4" customFormat="1" ht="19.2" x14ac:dyDescent="0.45">
      <c r="B608" s="754" t="str">
        <f>"Cultivation &amp; Harvesting"&amp;" - "&amp;Feedstocks!C17</f>
        <v xml:space="preserve">Cultivation &amp; Harvesting - </v>
      </c>
      <c r="C608" s="755"/>
      <c r="D608" s="755"/>
      <c r="E608" s="755"/>
      <c r="F608" s="755"/>
      <c r="G608" s="755"/>
      <c r="H608" s="755"/>
      <c r="I608" s="755"/>
      <c r="J608" s="755"/>
      <c r="K608" s="755"/>
      <c r="L608" s="755"/>
      <c r="M608" s="756"/>
    </row>
    <row r="609" spans="2:13" s="4" customFormat="1" outlineLevel="1" x14ac:dyDescent="0.4">
      <c r="B609" s="17"/>
      <c r="C609" s="184"/>
      <c r="D609" s="19"/>
      <c r="E609" s="19"/>
      <c r="F609" s="19"/>
      <c r="G609" s="19"/>
      <c r="H609" s="19"/>
      <c r="I609" s="19"/>
      <c r="J609" s="19"/>
      <c r="K609" s="19"/>
      <c r="L609" s="19"/>
      <c r="M609" s="50"/>
    </row>
    <row r="610" spans="2:13" s="4" customFormat="1" outlineLevel="1" x14ac:dyDescent="0.4">
      <c r="B610" s="20"/>
      <c r="C610" s="521" t="s">
        <v>46</v>
      </c>
      <c r="D610" s="751"/>
      <c r="E610" s="751"/>
      <c r="F610" s="751"/>
      <c r="G610" s="1"/>
      <c r="I610" s="303" t="s">
        <v>122</v>
      </c>
      <c r="J610" s="64"/>
      <c r="K610" s="47"/>
      <c r="L610" s="45"/>
      <c r="M610" s="35"/>
    </row>
    <row r="611" spans="2:13" s="4" customFormat="1" outlineLevel="1" x14ac:dyDescent="0.4">
      <c r="B611" s="20"/>
      <c r="C611" s="163" t="s">
        <v>123</v>
      </c>
      <c r="D611" s="753" t="str">
        <f>IF(Feedstocks!$H$17&gt;0,Feedstocks!$H$17,"")</f>
        <v/>
      </c>
      <c r="E611" s="753"/>
      <c r="F611" s="753"/>
      <c r="G611" s="76"/>
      <c r="H611" s="94"/>
      <c r="I611" s="41"/>
      <c r="J611" s="36"/>
      <c r="K611" s="164" t="s">
        <v>124</v>
      </c>
      <c r="L611" s="37"/>
      <c r="M611" s="35"/>
    </row>
    <row r="612" spans="2:13" s="4" customFormat="1" outlineLevel="1" x14ac:dyDescent="0.4">
      <c r="B612" s="20"/>
      <c r="C612" s="24"/>
      <c r="D612" s="21"/>
      <c r="E612" s="21"/>
      <c r="F612" s="21"/>
      <c r="G612" s="21"/>
      <c r="H612" s="21"/>
      <c r="I612" s="41"/>
      <c r="J612" s="169" t="s">
        <v>125</v>
      </c>
      <c r="K612" s="68" t="str">
        <f>IFERROR(IF('Feedstock conversion'!E313="Yes",(K615/(IF(Feedstocks!I17="default",Feedstocks!J17,IF(Feedstocks!I17="actual",Feedstocks!K17,"Insert data (plant inputs)"))/Feedstocks!E17*'Transport 1'!F319*'Feedstock conversion'!D317*'Transport 2'!F319*('Digestion &amp; outputs'!$G$22/1000)))*IF('Feedstock conversion'!E342="Yes",'Feedstock conversion'!J345,1)*'Digestion &amp; outputs'!$K$23,IF('Feedstock conversion'!E313="No",(K615/(IF(Feedstocks!I17="default",Feedstocks!J17,IF(Feedstocks!I17="actual",Feedstocks!K17,"Insert data (plant inputs)"))/Feedstocks!E17*'Transport 1'!F319*'Transport 2'!F319*('Digestion &amp; outputs'!$G$22/1000)))*'Digestion &amp; outputs'!$K$23,"")),"")</f>
        <v/>
      </c>
      <c r="L612" s="37"/>
      <c r="M612" s="35"/>
    </row>
    <row r="613" spans="2:13" s="4" customFormat="1" ht="18" customHeight="1" outlineLevel="1" x14ac:dyDescent="0.4">
      <c r="B613" s="20"/>
      <c r="C613" s="286" t="s">
        <v>126</v>
      </c>
      <c r="D613" s="673" t="s">
        <v>127</v>
      </c>
      <c r="G613" s="21"/>
      <c r="H613" s="21"/>
      <c r="I613" s="41"/>
      <c r="J613" s="67"/>
      <c r="K613" s="67"/>
      <c r="L613" s="37"/>
      <c r="M613" s="35"/>
    </row>
    <row r="614" spans="2:13" s="4" customFormat="1" outlineLevel="1" x14ac:dyDescent="0.4">
      <c r="B614" s="20"/>
      <c r="C614" s="14"/>
      <c r="G614" s="21"/>
      <c r="H614" s="21"/>
      <c r="I614" s="41"/>
      <c r="J614" s="36"/>
      <c r="K614" s="164" t="s">
        <v>128</v>
      </c>
      <c r="L614" s="37"/>
      <c r="M614" s="35"/>
    </row>
    <row r="615" spans="2:13" s="4" customFormat="1" outlineLevel="1" x14ac:dyDescent="0.4">
      <c r="B615" s="20"/>
      <c r="C615" s="150" t="s">
        <v>129</v>
      </c>
      <c r="G615" s="21"/>
      <c r="H615" s="21"/>
      <c r="I615" s="41"/>
      <c r="J615" s="169" t="s">
        <v>130</v>
      </c>
      <c r="K615" s="52">
        <f>IFERROR(SUM(K620:K626,K628:K633,K637:K643,K645:K651,K653:K657,K661,K665:K669,K673,K678:K681),"")</f>
        <v>0</v>
      </c>
      <c r="L615" s="37"/>
      <c r="M615" s="35"/>
    </row>
    <row r="616" spans="2:13" s="4" customFormat="1" outlineLevel="1" x14ac:dyDescent="0.4">
      <c r="B616" s="20"/>
      <c r="C616" s="166" t="s">
        <v>131</v>
      </c>
      <c r="D616" s="164" t="s">
        <v>132</v>
      </c>
      <c r="E616" s="164" t="s">
        <v>133</v>
      </c>
      <c r="F616" s="164" t="s">
        <v>134</v>
      </c>
      <c r="G616" s="748" t="str">
        <f>IF(C617="actual","Must insert actual data for fertiliser application","")</f>
        <v/>
      </c>
      <c r="H616" s="21"/>
      <c r="I616" s="46"/>
      <c r="J616" s="58"/>
      <c r="K616" s="58"/>
      <c r="L616" s="59"/>
      <c r="M616" s="35"/>
    </row>
    <row r="617" spans="2:13" s="4" customFormat="1" outlineLevel="1" x14ac:dyDescent="0.4">
      <c r="B617" s="20"/>
      <c r="C617" s="151" t="s">
        <v>96</v>
      </c>
      <c r="D617" s="93" t="str">
        <f>IFERROR(INDEX(Crop_yields,MATCH(D613,Crops_for_yields,0)),"")</f>
        <v/>
      </c>
      <c r="E617" s="135"/>
      <c r="F617" s="31" t="str">
        <f>IFERROR(IF(C617="Default",D617,IF(ISBLANK(E617),"Insert data",E617)),"")</f>
        <v/>
      </c>
      <c r="G617" s="749"/>
      <c r="H617" s="21"/>
      <c r="I617" s="21"/>
      <c r="J617" s="21"/>
      <c r="K617" s="21"/>
      <c r="L617" s="21"/>
      <c r="M617" s="35"/>
    </row>
    <row r="618" spans="2:13" s="4" customFormat="1" ht="24" customHeight="1" outlineLevel="1" x14ac:dyDescent="0.4">
      <c r="B618" s="20"/>
      <c r="C618" s="150" t="s">
        <v>135</v>
      </c>
      <c r="D618" s="21"/>
      <c r="E618" s="21"/>
      <c r="F618" s="21"/>
      <c r="H618" s="21"/>
      <c r="I618" s="303" t="s">
        <v>136</v>
      </c>
      <c r="J618" s="47"/>
      <c r="K618" s="47"/>
      <c r="L618" s="45"/>
      <c r="M618" s="35"/>
    </row>
    <row r="619" spans="2:13" s="14" customFormat="1" outlineLevel="1" x14ac:dyDescent="0.4">
      <c r="B619" s="23"/>
      <c r="C619" s="166" t="s">
        <v>137</v>
      </c>
      <c r="D619" s="164" t="s">
        <v>138</v>
      </c>
      <c r="E619" s="164" t="s">
        <v>139</v>
      </c>
      <c r="F619" s="164" t="s">
        <v>140</v>
      </c>
      <c r="G619" s="4"/>
      <c r="H619" s="24"/>
      <c r="I619" s="42"/>
      <c r="J619" s="164" t="s">
        <v>137</v>
      </c>
      <c r="K619" s="164" t="s">
        <v>141</v>
      </c>
      <c r="L619" s="37"/>
      <c r="M619" s="63"/>
    </row>
    <row r="620" spans="2:13" s="4" customFormat="1" outlineLevel="1" x14ac:dyDescent="0.4">
      <c r="B620" s="20"/>
      <c r="C620" s="617" t="str">
        <f>IF(D613="Do not use defaults", "", "Nitrogen fertiliser (unspecified)")</f>
        <v/>
      </c>
      <c r="D620" s="618" t="str">
        <f>IF(D613="Do not use defaults", "",INDEX(N_fertiliser_N_composition,MATCH(C620,N_Fertilisers,0)))</f>
        <v/>
      </c>
      <c r="E620" s="27" t="str">
        <f>IF(D613="Do not use defaults","", "kg(Nitrogen)/Ha")</f>
        <v/>
      </c>
      <c r="F620" s="619" t="str">
        <f>IF(D613="Do not use defaults", "",VLOOKUP(D613,Default_crop_data[],2,FALSE))</f>
        <v/>
      </c>
      <c r="H620" s="1"/>
      <c r="I620" s="43"/>
      <c r="J620" s="27" t="str">
        <f t="shared" ref="J620:J626" si="18">IF(C620&gt;0,C620,"")</f>
        <v/>
      </c>
      <c r="K620" s="91" t="str">
        <f>IFERROR(IF(C620&gt;0,IF(ISBLANK(E620),"Insert unit",IF(ISBLANK(F620),"Insert data",(IF(E620="kg(fertiliser)/HA",F620*D620,F620)*INDEX(N_Fertiliser_EF,MATCH(C620,N_Fertilisers,0))/F617)/1000)),""),"")</f>
        <v/>
      </c>
      <c r="L620" s="39"/>
      <c r="M620" s="35"/>
    </row>
    <row r="621" spans="2:13" s="4" customFormat="1" outlineLevel="1" x14ac:dyDescent="0.4">
      <c r="B621" s="20"/>
      <c r="C621" s="151"/>
      <c r="D621" s="92" t="str">
        <f>IF(C621&gt;0,INDEX(N_fertiliser_N_composition,MATCH(C621,N_Fertilisers,0)),"")</f>
        <v/>
      </c>
      <c r="E621" s="138"/>
      <c r="F621" s="137"/>
      <c r="H621" s="1"/>
      <c r="I621" s="43"/>
      <c r="J621" s="27" t="str">
        <f t="shared" si="18"/>
        <v/>
      </c>
      <c r="K621" s="91" t="str">
        <f>IFERROR(IF(C621&gt;0,IF(ISBLANK(E621),"Insert unit",IF(ISBLANK(F621),"Insert data",(IF(E621="kg(fertiliser)/HA",F621*D621,F621)*INDEX(N_Fertiliser_EF,MATCH(C621,N_Fertilisers,0))/F617)/1000)),""),"")</f>
        <v/>
      </c>
      <c r="L621" s="39"/>
      <c r="M621" s="35"/>
    </row>
    <row r="622" spans="2:13" s="4" customFormat="1" outlineLevel="1" x14ac:dyDescent="0.4">
      <c r="B622" s="20"/>
      <c r="C622" s="151"/>
      <c r="D622" s="92" t="str">
        <f>IF(C622&gt;0,INDEX(N_fertiliser_N_composition,MATCH(C622,N_Fertilisers,0)),"")</f>
        <v/>
      </c>
      <c r="E622" s="138"/>
      <c r="F622" s="137"/>
      <c r="H622" s="1"/>
      <c r="I622" s="43"/>
      <c r="J622" s="27" t="str">
        <f t="shared" si="18"/>
        <v/>
      </c>
      <c r="K622" s="91" t="str">
        <f>IFERROR(IF(C622&gt;0,IF(ISBLANK(E622),"Insert unit",IF(ISBLANK(F622),"Insert data",(IF(E622="kg(fertiliser)/HA",F622*D622,F622)*INDEX(N_Fertiliser_EF,MATCH(C622,N_Fertilisers,0))/F617)/1000)),""),"")</f>
        <v/>
      </c>
      <c r="L622" s="39"/>
      <c r="M622" s="35"/>
    </row>
    <row r="623" spans="2:13" s="4" customFormat="1" outlineLevel="1" x14ac:dyDescent="0.4">
      <c r="B623" s="20"/>
      <c r="C623" s="151"/>
      <c r="D623" s="92" t="str">
        <f>IF(C623&gt;0,INDEX(N_fertiliser_N_composition,MATCH(C623,N_Fertilisers,0)),"")</f>
        <v/>
      </c>
      <c r="E623" s="138"/>
      <c r="F623" s="137"/>
      <c r="H623" s="1"/>
      <c r="I623" s="43"/>
      <c r="J623" s="27" t="str">
        <f t="shared" si="18"/>
        <v/>
      </c>
      <c r="K623" s="91" t="str">
        <f>IFERROR(IF(C623&gt;0,IF(ISBLANK(E623),"Insert unit",IF(ISBLANK(F623),"Insert data",(IF(E623="kg(fertiliser)/HA",F623*D623,F623)*INDEX(N_Fertiliser_EF,MATCH(C623,N_Fertilisers,0))/F617)/1000)),""),"")</f>
        <v/>
      </c>
      <c r="L623" s="39"/>
      <c r="M623" s="35"/>
    </row>
    <row r="624" spans="2:13" s="4" customFormat="1" outlineLevel="1" x14ac:dyDescent="0.4">
      <c r="B624" s="20"/>
      <c r="C624" s="151"/>
      <c r="D624" s="136"/>
      <c r="E624" s="138"/>
      <c r="F624" s="137"/>
      <c r="H624" s="1"/>
      <c r="I624" s="43"/>
      <c r="J624" s="27" t="str">
        <f t="shared" si="18"/>
        <v/>
      </c>
      <c r="K624" s="91" t="str">
        <f>IFERROR(IF(C624&gt;0,IF(ISBLANK(E624),"Insert unit",IF(OR(ISBLANK(F624),ISBLANK(D624)),"Insert data",(IF(E624="kg(fertiliser)/HA",F624*D624,F624)*INDEX(N_Fertiliser_EF,MATCH("nitrogen fertiliser (unspecified)",N_Fertilisers,0))/F617)/1000)),""),"")</f>
        <v/>
      </c>
      <c r="L624" s="39"/>
      <c r="M624" s="35"/>
    </row>
    <row r="625" spans="2:13" s="4" customFormat="1" outlineLevel="1" x14ac:dyDescent="0.4">
      <c r="B625" s="20"/>
      <c r="C625" s="151"/>
      <c r="D625" s="136"/>
      <c r="E625" s="138"/>
      <c r="F625" s="137"/>
      <c r="H625" s="1"/>
      <c r="I625" s="43"/>
      <c r="J625" s="27" t="str">
        <f t="shared" si="18"/>
        <v/>
      </c>
      <c r="K625" s="91" t="str">
        <f>IFERROR(IF(C625&gt;0,IF(ISBLANK(E625),"Insert unit",IF(OR(ISBLANK(F625),ISBLANK(D625)),"Insert data",(IF(E625="kg(fertiliser)/HA",F625*D625,F625)*INDEX(N_Fertiliser_EF,MATCH("nitrogen fertiliser (unspecified)",N_Fertilisers,0))/F617)/1000)),""),"")</f>
        <v/>
      </c>
      <c r="L625" s="39"/>
      <c r="M625" s="35"/>
    </row>
    <row r="626" spans="2:13" s="4" customFormat="1" outlineLevel="1" x14ac:dyDescent="0.4">
      <c r="B626" s="20"/>
      <c r="C626" s="151"/>
      <c r="D626" s="136"/>
      <c r="E626" s="138"/>
      <c r="F626" s="137"/>
      <c r="G626" s="14"/>
      <c r="H626" s="1"/>
      <c r="I626" s="43"/>
      <c r="J626" s="27" t="str">
        <f t="shared" si="18"/>
        <v/>
      </c>
      <c r="K626" s="91" t="str">
        <f>IFERROR(IF(C626&gt;0,IF(ISBLANK(E626),"Insert unit",IF(OR(ISBLANK(F626),ISBLANK(D626)),"Insert data",(IF(E626="kg(fertiliser)/HA",F626*D626,F626)*INDEX(N_Fertiliser_EF,MATCH("nitrogen fertiliser (unspecified)",N_Fertilisers,0))/F617)/1000)),""),"")</f>
        <v/>
      </c>
      <c r="L626" s="39"/>
      <c r="M626" s="35"/>
    </row>
    <row r="627" spans="2:13" s="4" customFormat="1" outlineLevel="1" x14ac:dyDescent="0.4">
      <c r="B627" s="20"/>
      <c r="C627" s="653" t="s">
        <v>142</v>
      </c>
      <c r="D627" s="654" t="s">
        <v>138</v>
      </c>
      <c r="E627" s="654" t="s">
        <v>139</v>
      </c>
      <c r="F627" s="655" t="s">
        <v>140</v>
      </c>
      <c r="G627" s="14"/>
      <c r="H627" s="1"/>
      <c r="I627" s="43"/>
      <c r="J627" s="166" t="s">
        <v>142</v>
      </c>
      <c r="K627" s="164" t="s">
        <v>141</v>
      </c>
      <c r="L627" s="39"/>
      <c r="M627" s="35"/>
    </row>
    <row r="628" spans="2:13" s="4" customFormat="1" outlineLevel="1" x14ac:dyDescent="0.4">
      <c r="B628" s="20"/>
      <c r="C628" s="649" t="str">
        <f>IF(D613="Do not use defaults", "", "Digestate")</f>
        <v/>
      </c>
      <c r="D628" s="618" t="str">
        <f>IF(D613="Do not use defaults", "",INDEX(Organic_fertilisers_N_Composition,MATCH(C628,Organic_fertilisers,0)))</f>
        <v/>
      </c>
      <c r="E628" s="27" t="str">
        <f>IF(D613="Do not use defaults", "", "t(fertiliser)/Ha")</f>
        <v/>
      </c>
      <c r="F628" s="651" t="str">
        <f>IF(D613="Do not use defaults", "",VLOOKUP(D613,Default_crop_data[],5,FALSE))</f>
        <v/>
      </c>
      <c r="G628" s="14"/>
      <c r="H628" s="1"/>
      <c r="I628" s="43"/>
      <c r="J628" s="27" t="str">
        <f t="shared" ref="J628:J633" si="19">IF(C628&gt;0,C628,"")</f>
        <v/>
      </c>
      <c r="K628" s="91" t="str">
        <f>IFERROR(IF(C628&gt;0,IF(ISBLANK(E628),"Insert unit",IF(ISBLANK(F628),"Insert data",(IF(E628="kg(fertiliser)/HA",F628*D628,IF(E628="t(fertiliser)/Ha",F628*1000*D628,F628))*INDEX(Organic_fertiliser_EF,MATCH(C628,Organic_fertilisers,0))/F617)/1000)),""),"")</f>
        <v/>
      </c>
      <c r="L628" s="39"/>
      <c r="M628" s="35"/>
    </row>
    <row r="629" spans="2:13" s="4" customFormat="1" outlineLevel="1" x14ac:dyDescent="0.4">
      <c r="B629" s="20"/>
      <c r="C629" s="650"/>
      <c r="D629" s="92" t="str">
        <f>IF(C629&gt;0,INDEX(Organic_fertilisers_N_Composition,MATCH(C629,Organic_fertilisers,0)),"")</f>
        <v/>
      </c>
      <c r="E629" s="138"/>
      <c r="F629" s="652"/>
      <c r="G629" s="14"/>
      <c r="H629" s="1"/>
      <c r="I629" s="43"/>
      <c r="J629" s="27" t="str">
        <f t="shared" si="19"/>
        <v/>
      </c>
      <c r="K629" s="91" t="str">
        <f>IFERROR(IF(C629&gt;0,IF(ISBLANK(E629),"Insert unit",IF(ISBLANK(F629),"Insert data",(IF(E629="kg(fertiliser)/HA",F629*D629,IF(E629="t(fertiliser)/Ha",F629*1000*D629,F629))*INDEX(Organic_fertiliser_EF,MATCH(C629,Organic_fertilisers,0))/F617)/1000)),""),"")</f>
        <v/>
      </c>
      <c r="L629" s="39"/>
      <c r="M629" s="35"/>
    </row>
    <row r="630" spans="2:13" s="4" customFormat="1" outlineLevel="1" x14ac:dyDescent="0.4">
      <c r="B630" s="20"/>
      <c r="C630" s="650"/>
      <c r="D630" s="92" t="str">
        <f>IF(C630&gt;0,INDEX(Organic_fertilisers_N_Composition,MATCH(C630,Organic_fertilisers,0)),"")</f>
        <v/>
      </c>
      <c r="E630" s="138"/>
      <c r="F630" s="652"/>
      <c r="G630" s="14"/>
      <c r="H630" s="1"/>
      <c r="I630" s="43"/>
      <c r="J630" s="27" t="str">
        <f t="shared" si="19"/>
        <v/>
      </c>
      <c r="K630" s="91" t="str">
        <f>IFERROR(IF(C630&gt;0,IF(ISBLANK(E630),"Insert unit",IF(ISBLANK(F630),"Insert data",(IF(E630="kg(fertiliser)/HA",F630*D630,IF(E630="t(fertiliser)/Ha",F630*1000*D630,F630))*INDEX(Organic_fertiliser_EF,MATCH(C630,Organic_fertilisers,0))/F617)/1000)),""),"")</f>
        <v/>
      </c>
      <c r="L630" s="39"/>
      <c r="M630" s="35"/>
    </row>
    <row r="631" spans="2:13" s="4" customFormat="1" outlineLevel="1" x14ac:dyDescent="0.4">
      <c r="B631" s="20"/>
      <c r="C631" s="650"/>
      <c r="D631" s="92" t="str">
        <f>IF(C631&gt;0,INDEX(Organic_fertilisers_N_Composition,MATCH(C631,Organic_fertilisers,0)),"")</f>
        <v/>
      </c>
      <c r="E631" s="138"/>
      <c r="F631" s="652"/>
      <c r="G631" s="14"/>
      <c r="H631" s="1"/>
      <c r="I631" s="43"/>
      <c r="J631" s="27" t="str">
        <f t="shared" si="19"/>
        <v/>
      </c>
      <c r="K631" s="91" t="str">
        <f>IFERROR(IF(C631&gt;0,IF(ISBLANK(E631),"Insert unit",IF(ISBLANK(F631),"Insert data",(IF(E631="kg(fertiliser)/HA",F631*D631,IF(E631="t(fertiliser)/Ha",F631*1000*D631,F631))*INDEX(Organic_fertiliser_EF,MATCH(C631,Organic_fertilisers,0))/F617)/1000)),""),"")</f>
        <v/>
      </c>
      <c r="L631" s="39"/>
      <c r="M631" s="35"/>
    </row>
    <row r="632" spans="2:13" s="4" customFormat="1" outlineLevel="1" x14ac:dyDescent="0.4">
      <c r="B632" s="20"/>
      <c r="C632" s="650"/>
      <c r="D632" s="136"/>
      <c r="E632" s="138"/>
      <c r="F632" s="652"/>
      <c r="G632" s="14"/>
      <c r="H632" s="1"/>
      <c r="I632" s="43"/>
      <c r="J632" s="27" t="str">
        <f t="shared" si="19"/>
        <v/>
      </c>
      <c r="K632" s="91" t="str">
        <f>IFERROR(IF(C632&gt;0,IF(ISBLANK(E632),"Insert unit",IF(ISBLANK(F632),"Insert data",0)),""),"")</f>
        <v/>
      </c>
      <c r="L632" s="39"/>
      <c r="M632" s="35"/>
    </row>
    <row r="633" spans="2:13" s="4" customFormat="1" outlineLevel="1" x14ac:dyDescent="0.4">
      <c r="B633" s="20"/>
      <c r="C633" s="656"/>
      <c r="D633" s="657"/>
      <c r="E633" s="658"/>
      <c r="F633" s="659"/>
      <c r="G633" s="14"/>
      <c r="H633" s="1"/>
      <c r="I633" s="43"/>
      <c r="J633" s="27" t="str">
        <f t="shared" si="19"/>
        <v/>
      </c>
      <c r="K633" s="91" t="str">
        <f>IFERROR(IF(C633&gt;0,IF(ISBLANK(E633),"Insert unit",IF(ISBLANK(F633),"Insert data",0)),""),"")</f>
        <v/>
      </c>
      <c r="L633" s="39"/>
      <c r="M633" s="35"/>
    </row>
    <row r="634" spans="2:13" s="4" customFormat="1" outlineLevel="1" x14ac:dyDescent="0.4">
      <c r="B634" s="20"/>
      <c r="C634" s="166" t="s">
        <v>143</v>
      </c>
      <c r="D634" s="164" t="s">
        <v>138</v>
      </c>
      <c r="E634" s="164" t="s">
        <v>139</v>
      </c>
      <c r="F634" s="164" t="s">
        <v>140</v>
      </c>
      <c r="G634" s="14"/>
      <c r="H634" s="1"/>
      <c r="I634" s="43"/>
      <c r="J634" s="166" t="str">
        <f>IF(C634&gt;0,C634,"")</f>
        <v>Low in-field emissions fertiliser</v>
      </c>
      <c r="K634" s="164" t="s">
        <v>141</v>
      </c>
      <c r="L634" s="39"/>
      <c r="M634" s="35"/>
    </row>
    <row r="635" spans="2:13" s="4" customFormat="1" outlineLevel="1" x14ac:dyDescent="0.4">
      <c r="B635" s="20"/>
      <c r="C635" s="151"/>
      <c r="D635" s="92"/>
      <c r="E635" s="138"/>
      <c r="F635" s="137"/>
      <c r="G635" s="14"/>
      <c r="H635" s="1"/>
      <c r="I635" s="43"/>
      <c r="J635" s="27" t="str">
        <f>IF(C635&gt;0,C635,"")</f>
        <v/>
      </c>
      <c r="K635" s="91" t="str" cm="1">
        <f t="array" ref="K635">IFERROR(IF(C635&gt;0,IF(ISBLANK(E635),"Insert unit",IF(ISBLANK(F635),"Insert data",(IF(E635="kg(fertiliser)/Ha",F635*D635,IF(E635="t(fertiliser)/Ha",F635*1000*D635,F635))*(Low_infield_EF_table[Emission Factor (gCO2eq/kgnitrogen)])/F617)/1000)),""),"")</f>
        <v/>
      </c>
      <c r="L635" s="39"/>
      <c r="M635" s="35"/>
    </row>
    <row r="636" spans="2:13" s="14" customFormat="1" outlineLevel="1" x14ac:dyDescent="0.4">
      <c r="B636" s="23"/>
      <c r="C636" s="166" t="s">
        <v>144</v>
      </c>
      <c r="D636" s="166" t="s">
        <v>145</v>
      </c>
      <c r="E636" s="166" t="s">
        <v>138</v>
      </c>
      <c r="F636" s="166" t="s">
        <v>139</v>
      </c>
      <c r="G636" s="166" t="s">
        <v>140</v>
      </c>
      <c r="H636" s="24"/>
      <c r="I636" s="42"/>
      <c r="J636" s="166" t="s">
        <v>144</v>
      </c>
      <c r="K636" s="164" t="s">
        <v>141</v>
      </c>
      <c r="L636" s="37"/>
      <c r="M636" s="63"/>
    </row>
    <row r="637" spans="2:13" s="4" customFormat="1" outlineLevel="1" x14ac:dyDescent="0.4">
      <c r="B637" s="20"/>
      <c r="C637" s="617" t="str">
        <f>IF(D613="Do not use defaults", "", "P2O5 fertiliser (unspecified)")</f>
        <v/>
      </c>
      <c r="D637" s="618" t="str" cm="1">
        <f t="array" ref="D637">IF(D613="Do not use defaults", "",INDEX(P_fertiliser_P_composition,MATCH(C637,P_fertilisers,0)))</f>
        <v/>
      </c>
      <c r="E637" s="618" t="str">
        <f>IF(C637="P2O5 fertiliser (unspecified)",0, "")</f>
        <v/>
      </c>
      <c r="F637" s="27" t="str">
        <f>IF(D613="Do not use defaults","", "t(kg(P2O5)/Ha")</f>
        <v/>
      </c>
      <c r="G637" s="619" t="str">
        <f>IF(D613="Do not use defaults","",VLOOKUP(D613,Default_crop_data[],3,FALSE))</f>
        <v/>
      </c>
      <c r="H637" s="1"/>
      <c r="I637" s="43"/>
      <c r="J637" s="27" t="str">
        <f>IF(C637&gt;0,C637,"")</f>
        <v/>
      </c>
      <c r="K637" s="91" t="str">
        <f>IFERROR(IF(C637&gt;0,IF(ISBLANK(F637),"Insert unit",IF(ISBLANK(G637),"Insert data",(IF(F637="kg(fertiliser)/HA",G637*D637,G637)*INDEX(P_fertiliser_EF,MATCH(C637,P_fertilisers,0))/F617)/1000)),""),"")</f>
        <v/>
      </c>
      <c r="L637" s="39"/>
      <c r="M637" s="35"/>
    </row>
    <row r="638" spans="2:13" s="4" customFormat="1" outlineLevel="1" x14ac:dyDescent="0.4">
      <c r="B638" s="20"/>
      <c r="C638" s="151"/>
      <c r="D638" s="92" t="str">
        <f>IF(C638&gt;0,INDEX(P_fertiliser_P_composition,MATCH(C638,P_fertilisers,0)),"")</f>
        <v/>
      </c>
      <c r="E638" s="92"/>
      <c r="F638" s="138"/>
      <c r="G638" s="137"/>
      <c r="H638" s="1"/>
      <c r="I638" s="43"/>
      <c r="J638" s="27" t="str">
        <f>IF(C638&gt;0,C638,"")</f>
        <v/>
      </c>
      <c r="K638" s="91" t="str">
        <f>IFERROR(IF(C638&gt;0,IF(ISBLANK(F638),"Insert unit",IF(ISBLANK(G638),"Insert data",(IF(F638="kg(fertiliser)/HA",G638*D638,G638)*INDEX(P_fertiliser_EF,MATCH(C638,P_fertilisers,0))/F617)/1000)),""),"")</f>
        <v/>
      </c>
      <c r="L638" s="39"/>
      <c r="M638" s="35"/>
    </row>
    <row r="639" spans="2:13" s="4" customFormat="1" outlineLevel="1" x14ac:dyDescent="0.4">
      <c r="B639" s="20"/>
      <c r="C639" s="151"/>
      <c r="D639" s="92" t="str">
        <f>IF(C639&gt;0,INDEX(P_fertiliser_P_composition,MATCH(C639,P_fertilisers,0)),"")</f>
        <v/>
      </c>
      <c r="E639" s="92"/>
      <c r="F639" s="138"/>
      <c r="G639" s="137"/>
      <c r="H639" s="1"/>
      <c r="I639" s="43"/>
      <c r="J639" s="27"/>
      <c r="K639" s="91" t="str">
        <f>IFERROR(IF(C639&gt;0,IF(ISBLANK(F639),"Insert unit",IF(ISBLANK(G639),"Insert data",(IF(F639="kg(fertiliser)/HA",G639*D639,G639)*INDEX(P_fertiliser_EF,MATCH(C639,P_fertilisers,0))/F617)/1000)),""),"")</f>
        <v/>
      </c>
      <c r="L639" s="39"/>
      <c r="M639" s="35"/>
    </row>
    <row r="640" spans="2:13" s="4" customFormat="1" outlineLevel="1" x14ac:dyDescent="0.4">
      <c r="B640" s="20"/>
      <c r="C640" s="151"/>
      <c r="D640" s="92" t="str">
        <f>IF(C640&gt;0,INDEX(P_fertiliser_P_composition,MATCH(C640,P_fertilisers,0)),"")</f>
        <v/>
      </c>
      <c r="E640" s="92"/>
      <c r="F640" s="138"/>
      <c r="G640" s="137"/>
      <c r="H640" s="1"/>
      <c r="I640" s="43"/>
      <c r="J640" s="27"/>
      <c r="K640" s="91" t="str">
        <f>IFERROR(IF(C640&gt;0,IF(ISBLANK(F640),"Insert unit",IF(ISBLANK(G640),"Insert data",(IF(F640="kg(fertiliser)/HA",G640*D640,G640)*INDEX(P_fertiliser_EF,MATCH(C640,P_fertilisers,0))/F617)/1000)),""),"")</f>
        <v/>
      </c>
      <c r="L640" s="39"/>
      <c r="M640" s="35"/>
    </row>
    <row r="641" spans="2:13" s="4" customFormat="1" outlineLevel="1" x14ac:dyDescent="0.4">
      <c r="B641" s="20"/>
      <c r="C641" s="151"/>
      <c r="D641" s="136"/>
      <c r="E641" s="136"/>
      <c r="F641" s="138"/>
      <c r="G641" s="137"/>
      <c r="H641" s="1"/>
      <c r="I641" s="43"/>
      <c r="J641" s="27"/>
      <c r="K641" s="91" t="str">
        <f>IFERROR(IF(C641&gt;0,IF(ISBLANK(F641),"Insert unit",IF(OR(ISBLANK(F641),ISBLANK(D641),ISBLANK(E641)),"Insert data",(IF(F641="kg(fertiliser)/HA",G641*D641,G641)*INDEX(P_fertiliser_EF,MATCH("p2O5 fertiliser (unspecified)",P_fertilisers,0))/F617)/1000)),""),"")</f>
        <v/>
      </c>
      <c r="L641" s="39"/>
      <c r="M641" s="35"/>
    </row>
    <row r="642" spans="2:13" s="4" customFormat="1" outlineLevel="1" x14ac:dyDescent="0.4">
      <c r="B642" s="20"/>
      <c r="C642" s="151"/>
      <c r="D642" s="136"/>
      <c r="E642" s="136"/>
      <c r="F642" s="138"/>
      <c r="G642" s="137"/>
      <c r="H642" s="1"/>
      <c r="I642" s="43"/>
      <c r="J642" s="27" t="str">
        <f>IF(C642&gt;0,C642,"")</f>
        <v/>
      </c>
      <c r="K642" s="91" t="str">
        <f>IFERROR(IF(C642&gt;0,IF(ISBLANK(F642),"Insert unit",IF(OR(ISBLANK(F642),ISBLANK(D642),ISBLANK(E642)),"Insert data",(IF(F642="kg(fertiliser)/HA",G642*D642,G642)*INDEX(P_fertiliser_EF,MATCH("p2O5 fertiliser (unspecified)",P_fertilisers,0))/F617)/1000)),""),"")</f>
        <v/>
      </c>
      <c r="L642" s="39"/>
      <c r="M642" s="35"/>
    </row>
    <row r="643" spans="2:13" s="4" customFormat="1" outlineLevel="1" x14ac:dyDescent="0.4">
      <c r="B643" s="20"/>
      <c r="C643" s="151"/>
      <c r="D643" s="136"/>
      <c r="E643" s="136"/>
      <c r="F643" s="138"/>
      <c r="G643" s="137"/>
      <c r="H643" s="1"/>
      <c r="I643" s="43"/>
      <c r="J643" s="27" t="str">
        <f>IF(C643&gt;0,C643,"")</f>
        <v/>
      </c>
      <c r="K643" s="91" t="str">
        <f>IFERROR(IF(C643&gt;0,IF(ISBLANK(F643),"Insert unit",IF(OR(ISBLANK(F643),ISBLANK(D643),ISBLANK(E643)),"Insert data",(IF(F643="kg(fertiliser)/HA",G643*D643,G643)*INDEX(P_fertiliser_EF,MATCH("p2O5 fertiliser (unspecified)",P_fertilisers,0))/F617)/1000)),""),"")</f>
        <v/>
      </c>
      <c r="L643" s="39"/>
      <c r="M643" s="35"/>
    </row>
    <row r="644" spans="2:13" s="14" customFormat="1" outlineLevel="1" x14ac:dyDescent="0.4">
      <c r="B644" s="23"/>
      <c r="C644" s="166" t="s">
        <v>146</v>
      </c>
      <c r="D644" s="166" t="s">
        <v>147</v>
      </c>
      <c r="E644" s="166" t="s">
        <v>138</v>
      </c>
      <c r="F644" s="166" t="s">
        <v>139</v>
      </c>
      <c r="G644" s="166" t="s">
        <v>140</v>
      </c>
      <c r="H644" s="24"/>
      <c r="I644" s="42"/>
      <c r="J644" s="166" t="s">
        <v>146</v>
      </c>
      <c r="K644" s="164" t="s">
        <v>141</v>
      </c>
      <c r="L644" s="37"/>
      <c r="M644" s="35"/>
    </row>
    <row r="645" spans="2:13" s="4" customFormat="1" outlineLevel="1" x14ac:dyDescent="0.4">
      <c r="B645" s="20"/>
      <c r="C645" s="617" t="str">
        <f>IF(D613="Do not use defaults", "", "K2O fertiliser (unspecified)")</f>
        <v/>
      </c>
      <c r="D645" s="618" t="str" cm="1">
        <f t="array" ref="D645">IF(D613="Do not use defaults", "",INDEX(K_fertiliser_K_composition,MATCH(C645,K_fertilisers,0)))</f>
        <v/>
      </c>
      <c r="E645" s="618" t="str" cm="1">
        <f t="array" ref="E645">IF(D613="Do not use defaults", "",INDEX(K_fertiliser_N_composition,MATCH(C645,K_fertilisers,0)))</f>
        <v/>
      </c>
      <c r="F645" s="27" t="str">
        <f>IF(D613="Do not use defaults","", "t(kg(K2O)/Ha")</f>
        <v/>
      </c>
      <c r="G645" s="619" t="str">
        <f>IF(D613="Do not use defaults", "",VLOOKUP(D613,Default_crop_data[],4,FALSE))</f>
        <v/>
      </c>
      <c r="H645" s="1"/>
      <c r="I645" s="43"/>
      <c r="J645" s="27" t="str">
        <f t="shared" ref="J645:J651" si="20">IF(C645&gt;0,C645,"")</f>
        <v/>
      </c>
      <c r="K645" s="91" t="str">
        <f>IFERROR(IF(C645&gt;0,IF(ISBLANK(F645),"Insert unit",IF(ISBLANK(G645),"Insert data",(IF(F645="kg(fertiliser)/HA",G645*D645,G645)*INDEX(K_Fertiliser_EF,MATCH(C645,K_fertilisers,0))/F617)/1000)),""),"")</f>
        <v/>
      </c>
      <c r="L645" s="39"/>
      <c r="M645" s="35"/>
    </row>
    <row r="646" spans="2:13" s="4" customFormat="1" outlineLevel="1" x14ac:dyDescent="0.4">
      <c r="B646" s="20"/>
      <c r="C646" s="151"/>
      <c r="D646" s="92" t="str">
        <f>IF(C646&gt;0,INDEX(K_fertiliser_K_composition,MATCH(C646,K_fertilisers,0)),"")</f>
        <v/>
      </c>
      <c r="E646" s="92" t="str">
        <f>IF(C646&gt;0,INDEX(K_fertiliser_N_composition,MATCH(C646,K_fertilisers,0)),"")</f>
        <v/>
      </c>
      <c r="F646" s="138"/>
      <c r="G646" s="137"/>
      <c r="H646" s="1"/>
      <c r="I646" s="43"/>
      <c r="J646" s="27" t="str">
        <f t="shared" si="20"/>
        <v/>
      </c>
      <c r="K646" s="91" t="str">
        <f>IFERROR(IF(C646&gt;0,IF(ISBLANK(F646),"Insert unit",IF(ISBLANK(G646),"Insert data",(IF(F646="kg(fertiliser)/HA",G646*D646,G646)*INDEX(K_Fertiliser_EF,MATCH(C646,K_fertilisers,0))/F617)/1000)),""),"")</f>
        <v/>
      </c>
      <c r="L646" s="39"/>
      <c r="M646" s="35"/>
    </row>
    <row r="647" spans="2:13" s="4" customFormat="1" outlineLevel="1" x14ac:dyDescent="0.4">
      <c r="B647" s="20"/>
      <c r="C647" s="151"/>
      <c r="D647" s="92" t="str">
        <f>IF(C647&gt;0,INDEX(K_fertiliser_K_composition,MATCH(C647,K_fertilisers,0)),"")</f>
        <v/>
      </c>
      <c r="E647" s="92" t="str">
        <f>IF(C647&gt;0,INDEX(K_fertiliser_N_composition,MATCH(C647,K_fertilisers,0)),"")</f>
        <v/>
      </c>
      <c r="F647" s="138"/>
      <c r="G647" s="137"/>
      <c r="H647" s="1"/>
      <c r="I647" s="43"/>
      <c r="J647" s="27" t="str">
        <f t="shared" si="20"/>
        <v/>
      </c>
      <c r="K647" s="91" t="str">
        <f>IFERROR(IF(C647&gt;0,IF(ISBLANK(F647),"Insert unit",IF(ISBLANK(G647),"Insert data",(IF(F647="kg(fertiliser)/HA",G647*D647,G647)*INDEX(K_Fertiliser_EF,MATCH(C647,K_fertilisers,0))/F617)/1000)),""),"")</f>
        <v/>
      </c>
      <c r="L647" s="39"/>
      <c r="M647" s="35"/>
    </row>
    <row r="648" spans="2:13" s="4" customFormat="1" outlineLevel="1" x14ac:dyDescent="0.4">
      <c r="B648" s="20"/>
      <c r="C648" s="151"/>
      <c r="D648" s="92"/>
      <c r="E648" s="92"/>
      <c r="F648" s="138"/>
      <c r="G648" s="137"/>
      <c r="H648" s="1"/>
      <c r="I648" s="43"/>
      <c r="J648" s="27" t="str">
        <f t="shared" si="20"/>
        <v/>
      </c>
      <c r="K648" s="91" t="str">
        <f>IFERROR(IF(C648&gt;0,IF(ISBLANK(F648),"Insert unit",IF(ISBLANK(G648),"Insert data",(IF(F648="kg(fertiliser)/HA",G648*D648,G648)*INDEX(K_Fertiliser_EF,MATCH(C648,K_fertilisers,0))/F617)/1000)),""),"")</f>
        <v/>
      </c>
      <c r="L648" s="39"/>
      <c r="M648" s="35"/>
    </row>
    <row r="649" spans="2:13" s="4" customFormat="1" outlineLevel="1" x14ac:dyDescent="0.4">
      <c r="B649" s="20"/>
      <c r="C649" s="151"/>
      <c r="D649" s="136"/>
      <c r="E649" s="136"/>
      <c r="F649" s="138"/>
      <c r="G649" s="137"/>
      <c r="H649" s="1"/>
      <c r="I649" s="43"/>
      <c r="J649" s="27" t="str">
        <f t="shared" si="20"/>
        <v/>
      </c>
      <c r="K649" s="91" t="str">
        <f>IFERROR(IF(C649&gt;0,IF(ISBLANK(F649),"Insert unit",IF(OR(ISBLANK(F649),ISBLANK(D649),ISBLANK(E649)),"Insert data",(IF(F649="kg(fertiliser)/HA",G649*D649,G649)*INDEX(K_Fertiliser_EF,MATCH("K2O fertiliser (unspecified)",K_fertilisers,0))/F617)/1000)),""),"")</f>
        <v/>
      </c>
      <c r="L649" s="39"/>
      <c r="M649" s="35"/>
    </row>
    <row r="650" spans="2:13" s="4" customFormat="1" outlineLevel="1" x14ac:dyDescent="0.4">
      <c r="B650" s="20"/>
      <c r="C650" s="151"/>
      <c r="D650" s="136"/>
      <c r="E650" s="136"/>
      <c r="F650" s="138"/>
      <c r="G650" s="137"/>
      <c r="H650" s="1"/>
      <c r="I650" s="43"/>
      <c r="J650" s="27" t="str">
        <f t="shared" si="20"/>
        <v/>
      </c>
      <c r="K650" s="91" t="str">
        <f>IFERROR(IF(C650&gt;0,IF(ISBLANK(F650),"Insert unit",IF(OR(ISBLANK(F650),ISBLANK(D650),ISBLANK(E650)),"Insert data",(IF(F650="kg(fertiliser)/HA",G650*D650,G650)*INDEX(K_Fertiliser_EF,MATCH("K2O fertiliser (unspecified)",K_fertilisers,0))/F617)/1000)),""),"")</f>
        <v/>
      </c>
      <c r="L650" s="39"/>
      <c r="M650" s="35"/>
    </row>
    <row r="651" spans="2:13" s="4" customFormat="1" outlineLevel="1" x14ac:dyDescent="0.4">
      <c r="B651" s="20"/>
      <c r="C651" s="151"/>
      <c r="D651" s="136"/>
      <c r="E651" s="136"/>
      <c r="F651" s="138"/>
      <c r="G651" s="137"/>
      <c r="H651" s="1"/>
      <c r="I651" s="43"/>
      <c r="J651" s="27" t="str">
        <f t="shared" si="20"/>
        <v/>
      </c>
      <c r="K651" s="91" t="str">
        <f>IFERROR(IF(C651&gt;0,IF(ISBLANK(F651),"Insert unit",IF(OR(ISBLANK(F651),ISBLANK(D651),ISBLANK(E651)),"Insert data",(IF(F651="kg(fertiliser)/HA",G651*D651,G651)*INDEX(K_Fertiliser_EF,MATCH("K2O fertiliser (unspecified)",K_fertilisers,0))/F617)/1000)),""),"")</f>
        <v/>
      </c>
      <c r="L651" s="39"/>
      <c r="M651" s="35"/>
    </row>
    <row r="652" spans="2:13" s="14" customFormat="1" outlineLevel="1" x14ac:dyDescent="0.4">
      <c r="B652" s="23"/>
      <c r="C652" s="166" t="s">
        <v>148</v>
      </c>
      <c r="D652" s="166" t="s">
        <v>149</v>
      </c>
      <c r="E652" s="166" t="s">
        <v>138</v>
      </c>
      <c r="F652" s="166" t="s">
        <v>139</v>
      </c>
      <c r="G652" s="166" t="s">
        <v>140</v>
      </c>
      <c r="H652" s="24"/>
      <c r="I652" s="42"/>
      <c r="J652" s="166" t="s">
        <v>148</v>
      </c>
      <c r="K652" s="164" t="s">
        <v>141</v>
      </c>
      <c r="L652" s="37"/>
      <c r="M652" s="63"/>
    </row>
    <row r="653" spans="2:13" s="4" customFormat="1" outlineLevel="1" x14ac:dyDescent="0.4">
      <c r="B653" s="20"/>
      <c r="C653" s="617" t="str">
        <f>IF(D613="Do not use defaults", "", "Lime fertiliser (CaO)")</f>
        <v/>
      </c>
      <c r="D653" s="618" t="str" cm="1">
        <f t="array" ref="D653">IF(D613="Do not use defaults", "",INDEX(Other_fertiliser_nutrient_composition,MATCH(C653,Other_fertilisers,0)))</f>
        <v/>
      </c>
      <c r="E653" s="618" t="str">
        <f>IF(D613="Do not use defaults", "",INDEX(Other_fertiliser_N_compostion,MATCH(C653,Other_fertilisers,0)))</f>
        <v/>
      </c>
      <c r="F653" s="27" t="str">
        <f>IF(D613="Do not use defaults","", "kg(nutrient)/Ha")</f>
        <v/>
      </c>
      <c r="G653" s="619" t="str">
        <f>IF(D613="Do not use defaults", "",VLOOKUP(D613,Default_crop_data[],6,FALSE))</f>
        <v/>
      </c>
      <c r="H653" s="1"/>
      <c r="I653" s="43"/>
      <c r="J653" s="27" t="str">
        <f>IF(C653&gt;0,C653,"")</f>
        <v/>
      </c>
      <c r="K653" s="91" t="str">
        <f>IFERROR(IF(C653&gt;0,IF(ISBLANK(F653),"Insert unit",IF(ISBLANK(G653),"Insert data",(IF(F653="kg(fertiliser)/HA",G653*D653,G653)*INDEX(Other_fertiliser_EF,MATCH(C653,Other_fertilisers,0))/F617)/1000)),""),"")</f>
        <v/>
      </c>
      <c r="L653" s="39"/>
      <c r="M653" s="35"/>
    </row>
    <row r="654" spans="2:13" s="4" customFormat="1" outlineLevel="1" x14ac:dyDescent="0.4">
      <c r="B654" s="20"/>
      <c r="C654" s="151"/>
      <c r="D654" s="92" t="str">
        <f>IF(C654&gt;0,INDEX(Other_fertiliser_nutrient_composition,MATCH(C654,Other_fertilisers,0)),"")</f>
        <v/>
      </c>
      <c r="E654" s="92" t="str">
        <f>IF(C654&gt;0,INDEX(Other_fertiliser_N_compostion,MATCH(C654,Other_fertilisers,0)),"")</f>
        <v/>
      </c>
      <c r="F654" s="138"/>
      <c r="G654" s="137"/>
      <c r="H654" s="1"/>
      <c r="I654" s="43"/>
      <c r="J654" s="27" t="str">
        <f>IF(C654&gt;0,C654,"")</f>
        <v/>
      </c>
      <c r="K654" s="91" t="str">
        <f>IFERROR(IF(C654&gt;0,IF(ISBLANK(F654),"Insert unit",IF(ISBLANK(G654),"Insert data",(IF(F654="kg(fertiliser)/HA",G654*D654,G654)*INDEX(Other_fertiliser_EF,MATCH(C654,Other_fertilisers,0))/F617)/1000)),""),"")</f>
        <v/>
      </c>
      <c r="L654" s="39"/>
      <c r="M654" s="35"/>
    </row>
    <row r="655" spans="2:13" s="4" customFormat="1" outlineLevel="1" x14ac:dyDescent="0.4">
      <c r="B655" s="20"/>
      <c r="C655" s="151"/>
      <c r="D655" s="92" t="str">
        <f>IF(C655&gt;0,INDEX(Other_fertiliser_nutrient_composition,MATCH(C655,Other_fertilisers,0)),"")</f>
        <v/>
      </c>
      <c r="E655" s="92" t="str">
        <f>IF(C655&gt;0,INDEX(Other_fertiliser_N_compostion,MATCH(C655,Other_fertilisers,0)),"")</f>
        <v/>
      </c>
      <c r="F655" s="138"/>
      <c r="G655" s="137"/>
      <c r="H655" s="1"/>
      <c r="I655" s="43"/>
      <c r="J655" s="27" t="str">
        <f>IF(C655&gt;0,C655,"")</f>
        <v/>
      </c>
      <c r="K655" s="91" t="str">
        <f>IFERROR(IF(C655&gt;0,IF(ISBLANK(F655),"Insert unit",IF(ISBLANK(G655),"Insert data",(IF(F655="kg(fertiliser)/HA",G655*D655,G655)*INDEX(Other_fertiliser_EF,MATCH(C655,Other_fertilisers,0))/F617)/1000)),""),"")</f>
        <v/>
      </c>
      <c r="L655" s="39"/>
      <c r="M655" s="35"/>
    </row>
    <row r="656" spans="2:13" s="4" customFormat="1" outlineLevel="1" x14ac:dyDescent="0.4">
      <c r="B656" s="20"/>
      <c r="C656" s="151"/>
      <c r="D656" s="92" t="str">
        <f>IF(C656&gt;0,INDEX(Other_fertiliser_nutrient_composition,MATCH(C656,Other_fertilisers,0)),"")</f>
        <v/>
      </c>
      <c r="E656" s="92" t="str">
        <f>IF(C656&gt;0,INDEX(Other_fertiliser_N_compostion,MATCH(C656,Other_fertilisers,0)),"")</f>
        <v/>
      </c>
      <c r="F656" s="138"/>
      <c r="G656" s="137"/>
      <c r="H656" s="1"/>
      <c r="I656" s="43"/>
      <c r="J656" s="27" t="str">
        <f>IF(C656&gt;0,C656,"")</f>
        <v/>
      </c>
      <c r="K656" s="91" t="str">
        <f>IFERROR(IF(C656&gt;0,IF(ISBLANK(F656),"Insert unit",IF(ISBLANK(G656),"Insert data",(IF(F656="kg(fertiliser)/HA",G656*D656,G656)*INDEX(Other_fertiliser_EF,MATCH(C656,Other_fertilisers,0))/F617)/1000)),""),"")</f>
        <v/>
      </c>
      <c r="L656" s="39"/>
      <c r="M656" s="35"/>
    </row>
    <row r="657" spans="2:13" s="4" customFormat="1" outlineLevel="1" x14ac:dyDescent="0.4">
      <c r="B657" s="20"/>
      <c r="C657" s="151"/>
      <c r="D657" s="92" t="str">
        <f>IF(C657&gt;0,INDEX(Other_fertiliser_nutrient_composition,MATCH(C657,Other_fertilisers,0)),"")</f>
        <v/>
      </c>
      <c r="E657" s="92" t="str">
        <f>IF(C657&gt;0,INDEX(Other_fertiliser_N_compostion,MATCH(C657,Other_fertilisers,0)),"")</f>
        <v/>
      </c>
      <c r="F657" s="138"/>
      <c r="G657" s="137"/>
      <c r="H657" s="1"/>
      <c r="I657" s="43"/>
      <c r="J657" s="27" t="str">
        <f>IF(C657&gt;0,C657,"")</f>
        <v/>
      </c>
      <c r="K657" s="91" t="str">
        <f>IFERROR(IF(C657&gt;0,IF(ISBLANK(F657),"Insert unit",IF(ISBLANK(G657),"Insert data",(IF(F657="kg(fertiliser)/HA",G657*D657,G657)*INDEX(Other_fertiliser_EF,MATCH(C657,Other_fertilisers,0))/F617)/1000)),""),"")</f>
        <v/>
      </c>
      <c r="L657" s="39"/>
      <c r="M657" s="35"/>
    </row>
    <row r="658" spans="2:13" s="4" customFormat="1" outlineLevel="1" x14ac:dyDescent="0.4">
      <c r="B658" s="20"/>
      <c r="C658" s="24"/>
      <c r="D658" s="21"/>
      <c r="E658" s="21"/>
      <c r="F658" s="21"/>
      <c r="G658" s="21"/>
      <c r="H658" s="21"/>
      <c r="I658" s="41"/>
      <c r="J658" s="36"/>
      <c r="K658" s="36"/>
      <c r="L658" s="37"/>
      <c r="M658" s="35"/>
    </row>
    <row r="659" spans="2:13" s="4" customFormat="1" outlineLevel="1" x14ac:dyDescent="0.4">
      <c r="B659" s="20"/>
      <c r="C659" s="185" t="s">
        <v>150</v>
      </c>
      <c r="D659" s="21"/>
      <c r="G659" s="21"/>
      <c r="H659" s="21"/>
      <c r="I659" s="41"/>
      <c r="J659" s="36"/>
      <c r="K659" s="36"/>
      <c r="L659" s="37"/>
      <c r="M659" s="35"/>
    </row>
    <row r="660" spans="2:13" s="4" customFormat="1" outlineLevel="1" x14ac:dyDescent="0.4">
      <c r="B660" s="20"/>
      <c r="C660" s="166" t="s">
        <v>151</v>
      </c>
      <c r="D660" s="164" t="s">
        <v>140</v>
      </c>
      <c r="I660" s="41"/>
      <c r="J660" s="36"/>
      <c r="K660" s="164" t="s">
        <v>141</v>
      </c>
      <c r="L660" s="37"/>
      <c r="M660" s="35"/>
    </row>
    <row r="661" spans="2:13" s="4" customFormat="1" outlineLevel="1" x14ac:dyDescent="0.4">
      <c r="B661" s="20"/>
      <c r="C661" s="152" t="s">
        <v>152</v>
      </c>
      <c r="D661" s="30" t="str">
        <f>IFERROR(SUM(IFERROR(IF(E620="kg(fertiliser)/Ha",F620*D620,F620),0),IFERROR(IF(E621="kg(fertiliser)/Ha",F621*D621,F621),0),IFERROR(IF(E622="kg(fertiliser)/Ha",F622*D622,F622),0),IFERROR(IF(E623="kg(fertiliser)/Ha",F623*D623,F623),0),IFERROR(IF(E624="kg(fertiliser)/Ha",F624*D624,F624),0),IFERROR(IF(E625="kg(fertiliser)/Ha",F625*D625,F625),0),IFERROR(IF(E626="kg(fertiliser)/Ha",F626*D626,F626),0),IFERROR(IF(E628="kg(fertiliser)/Ha",F628*D628,IF(E628="kg(nitrogen)/Ha",F628,F628*1000*D628)),0),IFERROR(IF(E629="kg(fertiliser)/Ha",F629*D629,IF(E629="kg(nitrogen)/Ha",F629,F629*1000*D629)),0),IFERROR(IF(E630="kg(fertiliser)/Ha",F630*D630,IF(E630="kg(nitrogen)/Ha",F630,F630*1000*D630)),0),IFERROR(IF(E631="kg(fertiliser)/Ha",F631*D631,IF(E631="kg(nitrogen)/Ha",F631,F631*1000*D631)),0),IFERROR(IF(E632="kg(fertiliser)/Ha",F632*D632,IF(E632="kg(nitrogen)/Ha",F632,F632*1000*D632)),0),IFERROR(IF(E633="kg(fertiliser)/Ha",F633*D633,IF(E633="kg(nitrogen)/Ha",F633,F633*1000*D633)),0),IFERROR(IF(E635="kg(fertiliser)/Ha",F635*D635,IF(E635="kg(nitrogen)/Ha",F635,F635*1000*D635)),0),IFERROR(IF(F637="kg(fertiliser)/Ha",G637*E637,G637*E637/D637),0),IFERROR(IF(F638="kg(fertiliser)/Ha",G638*E638,G638*E638/D638),0),IFERROR(IF(F639="kg(fertiliser)/Ha",G639*E639,G639*E639/D639),0),IFERROR(IF(F640="kg(fertiliser)/Ha",G640*E640,G640*E640/D640),0),IFERROR(IF(F641="kg(fertiliser)/Ha",G641*E641,G641*E641/D641),0),IFERROR(IF(F642="kg(fertiliser)/Ha",G642*E642,G642*E642/D642),0),IFERROR(IF(F643="kg(fertiliser)/Ha",G643*E643,G643*E643/D643),0),IFERROR(IF(F645="kg(fertiliser)/Ha",G645*E645,G645*E645/D645),0),IFERROR(IF(F646="kg(fertiliser)/Ha",G646*E646,G646*E646/D646),0),IFERROR(IF(F647="kg(fertiliser)/Ha",G647*E647,G647*E647/D647),0),IFERROR(IF(F648="kg(fertiliser)/Ha",G648*E648,G648*E648/D648),0),IFERROR(IF(F649="kg(fertiliser)/Ha",G649*E649,G649*E649/D649),0),IFERROR(IF(F650="kg(fertiliser)/Ha",G650*E650,G650*E650/D650),0),IFERROR(IF(F651="kg(fertiliser)/Ha",G651*E651,G651*E651/D651),0),IFERROR(IF(F653="kg(fertiliser)/Ha",G653*E653,G653*E653/D653),0),IFERROR(IF(F654="kg(fertiliser)/Ha",G654*E654,G654*E654/D654),0),IFERROR(IF(F655="kg(fertiliser)/Ha",G655*E655,G655*E655/D655),0),IFERROR(IF(F656="kg(fertiliser)/Ha",G656*E656,G656*E656/D656),0),IFERROR(IF(F657="kg(fertiliser)/Ha",G657*E657,G657*E657/D657),0)), "")</f>
        <v/>
      </c>
      <c r="E661" s="1"/>
      <c r="I661" s="43"/>
      <c r="J661" s="164" t="s">
        <v>153</v>
      </c>
      <c r="K661" s="52" t="str">
        <f>IFERROR(SUM(IFERROR(IF(E620="kg(fertiliser)/Ha",F620*D620,F620)*INDEX(Soil_EFs,MATCH("Inorganic",Soil_EFs_N_type,0)),0),IFERROR(IF(E621="kg(fertiliser)/Ha",F621*D621,F621)*INDEX(Soil_EFs,MATCH("Inorganic",Soil_EFs_N_type,0)),0),IFERROR(IF(E622="kg(fertiliser)/Ha",F622*D622,F622)*INDEX(Soil_EFs,MATCH("Inorganic",Soil_EFs_N_type,0)),0),IFERROR(IF(E623="kg(fertiliser)/Ha",F623*D623,F623)*INDEX(Soil_EFs,MATCH("Inorganic",Soil_EFs_N_type,0)),0),IFERROR(IF(E624="kg(fertiliser)/Ha",F624*D624,F624)*INDEX(Soil_EFs,MATCH("Inorganic",Soil_EFs_N_type,0)),0),IFERROR(IF(E625="kg(fertiliser)/Ha",F625*D625,F625)*INDEX(Soil_EFs,MATCH("Inorganic",Soil_EFs_N_type,0)),0),IFERROR(IF(E626="kg(fertiliser)/Ha",F626*D626,F626)*INDEX(Soil_EFs,MATCH("Inorganic",Soil_EFs_N_type,0)),0),IFERROR(IF(E628="kg(fertiliser)/HA",F628*D628,IF(E628="t(fertiliser)/Ha",F628*1000*D628,F628))*INDEX(Soil_EFs,MATCH("organic",Soil_EFs_N_type,0)),0),IFERROR(IF(E629="kg(fertiliser)/HA",F629*D629,IF(E629="t(fertiliser)/Ha",F629*1000*D629,F629))*INDEX(Soil_EFs,MATCH("organic",Soil_EFs_N_type,0)),0),IFERROR(IF(E630="kg(fertiliser)/HA",F630*D630,IF(E630="t(fertiliser)/Ha",F630*1000*D630,F630))*INDEX(Soil_EFs,MATCH("organic",Soil_EFs_N_type,0)),0),IFERROR(IF(E631="kg(fertiliser)/HA",F631*D631,IF(E631="t(fertiliser)/Ha",F631*1000*D631,F631))*INDEX(Soil_EFs,MATCH("organic",Soil_EFs_N_type,0)),0),IFERROR(IF(E632="kg(fertiliser)/HA",F632*D632,IF(E632="t(fertiliser)/Ha",F632*1000*D632,F632))*INDEX(Soil_EFs,MATCH("organic",Soil_EFs_N_type,0)),0),IFERROR(IF(E633="kg(fertiliser)/HA",F633*D633,IF(E633="t(fertiliser)/Ha",F633*1000*D633,F633))*INDEX(Soil_EFs,MATCH("organic",Soil_EFs_N_type,0)),0),IFERROR(IF(E635="kg(fertiliser)/HA",F635*D635,IF(E635="t(fertiliser)/Ha",F635*1000*D635,F635))*'Reference values'!$D$348,0),IFERROR(IF(F637="kg(fertiliser)/Ha",G637*E637,G637*E637/D637)*INDEX(Soil_EFs,MATCH("Inorganic",Soil_EFs_N_type,0)),0),IFERROR(IF(F638="kg(fertiliser)/Ha",G638*E638,G638*E638/D638)*INDEX(Soil_EFs,MATCH("Inorganic",Soil_EFs_N_type,0)),0),IFERROR(IF(F639="kg(fertiliser)/Ha",G639*E639,G639*E639/D639)*INDEX(Soil_EFs,MATCH("Inorganic",Soil_EFs_N_type,0)),0),IFERROR(IF(F640="kg(fertiliser)/Ha",G640*E640,G640*E640/D640)*INDEX(Soil_EFs,MATCH("Inorganic",Soil_EFs_N_type,0)),0),IFERROR(IF(F641="kg(fertiliser)/Ha",G641*E641,G641*E641/D641)*INDEX(Soil_EFs,MATCH("Inorganic",Soil_EFs_N_type,0)),0),IFERROR(IF(F642="kg(fertiliser)/Ha",G642*E642,G642*E642/D642)*INDEX(Soil_EFs,MATCH("Inorganic",Soil_EFs_N_type,0)),0),IFERROR(IF(F643="kg(fertiliser)/Ha",G643*E643,G643*E643/D643)*INDEX(Soil_EFs,MATCH("Inorganic",Soil_EFs_N_type,0)),0),IFERROR(IF(F645="kg(fertiliser)/Ha",G645*E645,G645*E645/D645)*INDEX(Soil_EFs,MATCH("Inorganic",Soil_EFs_N_type,0)),0),IFERROR(IF(F646="kg(fertiliser)/Ha",G646*E646,G646*E646/D646)*INDEX(Soil_EFs,MATCH("Inorganic",Soil_EFs_N_type,0)),0),IFERROR(IF(F647="kg(fertiliser)/Ha",G647*E647,G647*E647/D647)*INDEX(Soil_EFs,MATCH("Inorganic",Soil_EFs_N_type,0)),0),IFERROR(IF(F648="kg(fertiliser)/Ha",G648*E648,G648*E648/D648)*INDEX(Soil_EFs,MATCH("Inorganic",Soil_EFs_N_type,0)),0),IFERROR(IF(F649="kg(fertiliser)/Ha",G649*E649,G649*E649/D649)*INDEX(Soil_EFs,MATCH("Inorganic",Soil_EFs_N_type,0)),0),IFERROR(IF(F650="kg(fertiliser)/Ha",G650*E650,G650*E650/D650)*INDEX(Soil_EFs,MATCH("Inorganic",Soil_EFs_N_type,0)),0),IFERROR(IF(F651="kg(fertiliser)/Ha",G651*E651,G651*E651/D651)*INDEX(Soil_EFs,MATCH("Inorganic",Soil_EFs_N_type,0)),0),IFERROR(IF(F653="kg(fertiliser)/Ha",G653*E653,G653*E653/D653)*INDEX(Soil_EFs,MATCH("Inorganic",Soil_EFs_N_type,0)),0),IFERROR(IF(F654="kg(fertiliser)/Ha",G654*E654,G654*E654/D654)*INDEX(Soil_EFs,MATCH("Inorganic",Soil_EFs_N_type,0)),0),IFERROR(IF(F655="kg(fertiliser)/Ha",G655*E655,G655*E655/D655)*INDEX(Soil_EFs,MATCH("Inorganic",Soil_EFs_N_type,0)),0),IFERROR(IF(F656="kg(fertiliser)/Ha",G656*E656,G656*E656/D656)*INDEX(Soil_EFs,MATCH("Inorganic",Soil_EFs_N_type,0)),0),IFERROR(IF(F657="kg(fertiliser)/Ha",G657*E657,G657*E657/D657)*INDEX(Soil_EFs,MATCH),0))/F617,"")</f>
        <v/>
      </c>
      <c r="L661" s="38"/>
      <c r="M661" s="35"/>
    </row>
    <row r="662" spans="2:13" s="4" customFormat="1" ht="14.25" customHeight="1" outlineLevel="1" x14ac:dyDescent="0.4">
      <c r="B662" s="20"/>
      <c r="C662" s="24"/>
      <c r="D662" s="21"/>
      <c r="E662" s="21"/>
      <c r="F662" s="21"/>
      <c r="G662" s="21"/>
      <c r="H662" s="21"/>
      <c r="I662" s="41"/>
      <c r="J662" s="36"/>
      <c r="K662" s="36"/>
      <c r="L662" s="37"/>
      <c r="M662" s="35"/>
    </row>
    <row r="663" spans="2:13" s="4" customFormat="1" outlineLevel="1" x14ac:dyDescent="0.4">
      <c r="B663" s="20"/>
      <c r="C663" s="150" t="s">
        <v>154</v>
      </c>
      <c r="D663" s="21"/>
      <c r="E663" s="21"/>
      <c r="F663" s="21"/>
      <c r="G663" s="21"/>
      <c r="H663" s="21"/>
      <c r="I663" s="41"/>
      <c r="J663" s="36"/>
      <c r="K663" s="36"/>
      <c r="L663" s="37"/>
      <c r="M663" s="35"/>
    </row>
    <row r="664" spans="2:13" s="14" customFormat="1" ht="30.6" outlineLevel="1" x14ac:dyDescent="0.4">
      <c r="B664" s="23"/>
      <c r="C664" s="166" t="s">
        <v>155</v>
      </c>
      <c r="D664" s="166" t="s">
        <v>156</v>
      </c>
      <c r="E664" s="166" t="s">
        <v>139</v>
      </c>
      <c r="F664" s="166" t="s">
        <v>140</v>
      </c>
      <c r="G664" s="24"/>
      <c r="H664" s="24"/>
      <c r="I664" s="42"/>
      <c r="J664" s="166" t="s">
        <v>155</v>
      </c>
      <c r="K664" s="164" t="s">
        <v>141</v>
      </c>
      <c r="L664" s="37"/>
      <c r="M664" s="63"/>
    </row>
    <row r="665" spans="2:13" s="4" customFormat="1" outlineLevel="1" x14ac:dyDescent="0.4">
      <c r="B665" s="20"/>
      <c r="C665" s="617" t="str">
        <f>IF(D613="Do not use defaults", "", "Pesticides")</f>
        <v/>
      </c>
      <c r="D665" s="620" t="str">
        <f>IF(C665="Pesticides", 100%, "")</f>
        <v/>
      </c>
      <c r="E665" s="27" t="str">
        <f>IF(C665="Pesticides", "kg(active ingredient)/Ha", "")</f>
        <v/>
      </c>
      <c r="F665" s="27" t="str">
        <f>IF(D613="Do not use defaults","",VLOOKUP(D613,Default_crop_data[],7,FALSE))</f>
        <v/>
      </c>
      <c r="G665" s="1"/>
      <c r="H665" s="1"/>
      <c r="I665" s="43"/>
      <c r="J665" s="27" t="str">
        <f>IF(C665&gt;0,C665,"")</f>
        <v/>
      </c>
      <c r="K665" s="91" t="str">
        <f>IFERROR(IF(C665&gt;0,IF(ISBLANK(E665),"Insert unit",IF(OR(ISBLANK(F665),AND(ISBLANK(D665),E665="kg(pesticide)/Ha")),"Insert data",(IF(E665="kg(pesticide)/HA",F665*D665,F665)*INDEX(Pesticide_EF,MATCH("Pesticide (any)",Pesticides,0))/F617)/1000)),""),"")</f>
        <v/>
      </c>
      <c r="L665" s="39"/>
      <c r="M665" s="35"/>
    </row>
    <row r="666" spans="2:13" s="4" customFormat="1" outlineLevel="1" x14ac:dyDescent="0.4">
      <c r="B666" s="20"/>
      <c r="C666" s="151"/>
      <c r="D666" s="139"/>
      <c r="E666" s="138"/>
      <c r="F666" s="134"/>
      <c r="G666" s="1"/>
      <c r="H666" s="1"/>
      <c r="I666" s="43"/>
      <c r="J666" s="27" t="str">
        <f>IF(C666&gt;0,C666,"")</f>
        <v/>
      </c>
      <c r="K666" s="91" t="str">
        <f>IFERROR(IF(C666&gt;0,IF(ISBLANK(G666),"Insert data",(IF(F666="kg(fertiliser)/HA",G666*D666,G666)*INDEX(Other_fertiliser_EF,MATCH(C666,Other_fertilisers,0))/F617)/1000),""),"")</f>
        <v/>
      </c>
      <c r="L666" s="39"/>
      <c r="M666" s="35"/>
    </row>
    <row r="667" spans="2:13" s="4" customFormat="1" outlineLevel="1" x14ac:dyDescent="0.4">
      <c r="B667" s="20"/>
      <c r="C667" s="151"/>
      <c r="D667" s="139"/>
      <c r="E667" s="138"/>
      <c r="F667" s="134"/>
      <c r="G667" s="1"/>
      <c r="H667" s="1"/>
      <c r="I667" s="43"/>
      <c r="J667" s="27" t="str">
        <f>IF(C667&gt;0,C667,"")</f>
        <v/>
      </c>
      <c r="K667" s="91" t="str">
        <f>IFERROR(IF(C667&gt;0,IF(ISBLANK(G667),"Insert data",(IF(F667="kg(fertiliser)/HA",G667*D667,G667)*INDEX(Other_fertiliser_EF,MATCH(C667,Other_fertilisers,0))/F617)/1000),""),"")</f>
        <v/>
      </c>
      <c r="L667" s="39"/>
      <c r="M667" s="35"/>
    </row>
    <row r="668" spans="2:13" s="4" customFormat="1" outlineLevel="1" x14ac:dyDescent="0.4">
      <c r="B668" s="20"/>
      <c r="C668" s="151"/>
      <c r="D668" s="139"/>
      <c r="E668" s="138"/>
      <c r="F668" s="134"/>
      <c r="G668" s="1"/>
      <c r="H668" s="1"/>
      <c r="I668" s="43"/>
      <c r="J668" s="27" t="str">
        <f>IF(C668&gt;0,C668,"")</f>
        <v/>
      </c>
      <c r="K668" s="91" t="str">
        <f>IFERROR(IF(C668&gt;0,IF(ISBLANK(G668),"Insert data",(IF(F668="kg(fertiliser)/HA",G668*D668,G668)*INDEX(Other_fertiliser_EF,MATCH(C668,Other_fertilisers,0))/F617)/1000),""),"")</f>
        <v/>
      </c>
      <c r="L668" s="39"/>
      <c r="M668" s="35"/>
    </row>
    <row r="669" spans="2:13" s="4" customFormat="1" outlineLevel="1" x14ac:dyDescent="0.4">
      <c r="B669" s="20"/>
      <c r="C669" s="151"/>
      <c r="D669" s="139"/>
      <c r="E669" s="138"/>
      <c r="F669" s="134"/>
      <c r="G669" s="1"/>
      <c r="H669" s="1"/>
      <c r="I669" s="43"/>
      <c r="J669" s="27" t="str">
        <f>IF(C669&gt;0,C669,"")</f>
        <v/>
      </c>
      <c r="K669" s="91" t="str">
        <f>IFERROR(IF(C669&gt;0,IF(ISBLANK(G669),"Insert data",(IF(F669="kg(fertiliser)/HA",G669*D669,G669)*INDEX(Other_fertiliser_EF,MATCH(C669,Other_fertilisers,0))/F617)/1000),""),"")</f>
        <v/>
      </c>
      <c r="L669" s="39"/>
      <c r="M669" s="35"/>
    </row>
    <row r="670" spans="2:13" s="4" customFormat="1" outlineLevel="1" x14ac:dyDescent="0.4">
      <c r="B670" s="20"/>
      <c r="C670" s="24"/>
      <c r="D670" s="21"/>
      <c r="E670" s="21"/>
      <c r="F670" s="21"/>
      <c r="G670" s="21"/>
      <c r="H670" s="21"/>
      <c r="I670" s="41"/>
      <c r="J670" s="36"/>
      <c r="K670" s="36"/>
      <c r="L670" s="37"/>
      <c r="M670" s="35"/>
    </row>
    <row r="671" spans="2:13" s="4" customFormat="1" outlineLevel="1" x14ac:dyDescent="0.4">
      <c r="B671" s="20"/>
      <c r="C671" s="150" t="s">
        <v>157</v>
      </c>
      <c r="D671" s="21"/>
      <c r="E671" s="21"/>
      <c r="F671" s="21"/>
      <c r="G671" s="21"/>
      <c r="H671" s="21"/>
      <c r="I671" s="41"/>
      <c r="J671" s="36"/>
      <c r="K671" s="36"/>
      <c r="L671" s="37"/>
      <c r="M671" s="35"/>
    </row>
    <row r="672" spans="2:13" s="4" customFormat="1" outlineLevel="1" x14ac:dyDescent="0.4">
      <c r="B672" s="20"/>
      <c r="C672" s="167" t="s">
        <v>158</v>
      </c>
      <c r="D672" s="168" t="s">
        <v>151</v>
      </c>
      <c r="E672" s="168" t="s">
        <v>140</v>
      </c>
      <c r="F672" s="21"/>
      <c r="G672" s="21"/>
      <c r="H672" s="21"/>
      <c r="I672" s="41"/>
      <c r="J672" s="164" t="s">
        <v>158</v>
      </c>
      <c r="K672" s="164" t="s">
        <v>141</v>
      </c>
      <c r="L672" s="37"/>
      <c r="M672" s="35"/>
    </row>
    <row r="673" spans="2:13" s="4" customFormat="1" outlineLevel="1" x14ac:dyDescent="0.4">
      <c r="B673" s="20"/>
      <c r="C673" s="617" t="str">
        <f>IF(D613="Silage grass", "Grass", IF(D613="Do not use defaults", "", D613))</f>
        <v/>
      </c>
      <c r="D673" s="27" t="str">
        <f>IF(C673=D613, "kg/Ha", "")</f>
        <v/>
      </c>
      <c r="E673" s="30" t="str">
        <f>IF(D613="Do not use defaults", "",VLOOKUP(D613,Default_crop_data[],8,FALSE))</f>
        <v/>
      </c>
      <c r="F673" s="1"/>
      <c r="G673" s="1"/>
      <c r="H673" s="1"/>
      <c r="I673" s="43"/>
      <c r="J673" s="27" t="str">
        <f>IF(C673&gt;0,C673,"")</f>
        <v/>
      </c>
      <c r="K673" s="52" t="str">
        <f>IF(C673&gt;0,IFERROR(E673*INDEX(Seed_EF,MATCH(C673,Seeds,0))/F617/1000,""),"")</f>
        <v/>
      </c>
      <c r="L673" s="38"/>
      <c r="M673" s="35"/>
    </row>
    <row r="674" spans="2:13" s="4" customFormat="1" outlineLevel="1" x14ac:dyDescent="0.4">
      <c r="B674" s="20"/>
      <c r="C674" s="153"/>
      <c r="D674" s="138"/>
      <c r="E674" s="140"/>
      <c r="F674" s="1"/>
      <c r="G674" s="1"/>
      <c r="H674" s="1"/>
      <c r="I674" s="43"/>
      <c r="J674" s="27" t="str">
        <f>IF(C674&gt;0,C674,"")</f>
        <v/>
      </c>
      <c r="K674" s="52" t="str">
        <f>IF(C674&gt;0,IFERROR(E674*INDEX(Seed_EF,MATCH(C674,Seeds,0))/F618/1000,""),"")</f>
        <v/>
      </c>
      <c r="L674" s="38"/>
      <c r="M674" s="35"/>
    </row>
    <row r="675" spans="2:13" s="4" customFormat="1" outlineLevel="1" x14ac:dyDescent="0.4">
      <c r="B675" s="20"/>
      <c r="C675" s="24"/>
      <c r="D675" s="21"/>
      <c r="E675" s="21"/>
      <c r="F675" s="21"/>
      <c r="G675" s="21"/>
      <c r="H675" s="21"/>
      <c r="I675" s="41"/>
      <c r="J675" s="36"/>
      <c r="K675" s="36"/>
      <c r="L675" s="37"/>
      <c r="M675" s="35"/>
    </row>
    <row r="676" spans="2:13" s="12" customFormat="1" ht="15" customHeight="1" outlineLevel="1" x14ac:dyDescent="0.35">
      <c r="B676" s="20"/>
      <c r="C676" s="25" t="s">
        <v>159</v>
      </c>
      <c r="D676" s="1"/>
      <c r="E676" s="1"/>
      <c r="F676" s="1"/>
      <c r="G676" s="1"/>
      <c r="H676" s="1"/>
      <c r="I676" s="43"/>
      <c r="J676" s="34"/>
      <c r="K676" s="34"/>
      <c r="L676" s="44"/>
      <c r="M676" s="54"/>
    </row>
    <row r="677" spans="2:13" s="12" customFormat="1" ht="15" customHeight="1" outlineLevel="1" x14ac:dyDescent="0.35">
      <c r="B677" s="20"/>
      <c r="C677" s="166" t="s">
        <v>160</v>
      </c>
      <c r="D677" s="164" t="s">
        <v>151</v>
      </c>
      <c r="E677" s="164" t="s">
        <v>140</v>
      </c>
      <c r="F677" s="1"/>
      <c r="G677" s="1"/>
      <c r="H677" s="1"/>
      <c r="I677" s="43"/>
      <c r="J677" s="164" t="s">
        <v>160</v>
      </c>
      <c r="K677" s="164" t="s">
        <v>141</v>
      </c>
      <c r="L677" s="37"/>
      <c r="M677" s="54"/>
    </row>
    <row r="678" spans="2:13" s="12" customFormat="1" ht="15" customHeight="1" outlineLevel="1" x14ac:dyDescent="0.35">
      <c r="B678" s="20"/>
      <c r="C678" s="621" t="str">
        <f>IF(D613="Do not use defaults", "", "Diesel")</f>
        <v/>
      </c>
      <c r="D678" s="74" t="str">
        <f>IF(D613="Do not use defaults", "", "litres/Ha")</f>
        <v/>
      </c>
      <c r="E678" s="622" t="str">
        <f>IF(D613="Do not use defaults", "",VLOOKUP(D613,Default_crop_data[],9,FALSE))</f>
        <v/>
      </c>
      <c r="F678" s="1"/>
      <c r="G678" s="26"/>
      <c r="H678" s="1"/>
      <c r="I678" s="43"/>
      <c r="J678" s="27" t="str">
        <f>IF(C678&gt;0,C678,"")</f>
        <v/>
      </c>
      <c r="K678" s="52" t="str">
        <f>IF(D613="Do not use defaults", "", IFERROR(IF(C678&gt;0,IF(ISBLANK(E678),"Insert data",IF(D678="litres/Ha",E678*INDEX(Fuel_Densities,MATCH(C678,Fuels_for_Densities,0))/1000*INDEX(Fuel_LHV,MATCH(C678,Fuels_for_LHV,0))/F617/1000*INDEX(Fuel_EFs,MATCH(C678,Fuels_for_EF,0)),IF(D678="kg/Ha",E678*INDEX(Fuel_LHV,MATCH(C678,Fuels_for_LHV,0))/F617/1000*INDEX(Fuel_EFs,MATCH(C678,Fuels_for_EF,0)),IF(D678="tonnes/Ha",E678*INDEX(Fuel_LHV,MATCH(C678,Fuels_for_LHV,0))/F617*INDEX(Fuel_EFs,MATCH(C678,Fuels_for_EF,0)),"Insert unit")))),""),""))</f>
        <v/>
      </c>
      <c r="L678" s="40"/>
      <c r="M678" s="54"/>
    </row>
    <row r="679" spans="2:13" s="12" customFormat="1" ht="15" customHeight="1" outlineLevel="1" x14ac:dyDescent="0.35">
      <c r="B679" s="20"/>
      <c r="C679" s="621" t="str">
        <f>IF(D613="Do not use defaults", "", "Diesel")</f>
        <v/>
      </c>
      <c r="D679" s="74" t="str">
        <f>IF(D613="Do not use defaults", "", "litres/Ha")</f>
        <v/>
      </c>
      <c r="E679" s="622" t="str">
        <f>IF(D613="Do not use defaults", "",VLOOKUP(D613,Default_crop_data[],10,FALSE))</f>
        <v/>
      </c>
      <c r="F679" s="1"/>
      <c r="G679" s="1"/>
      <c r="H679" s="1"/>
      <c r="I679" s="43"/>
      <c r="J679" s="27" t="str">
        <f>IF(C679&gt;0,C679,"")</f>
        <v/>
      </c>
      <c r="K679" s="52" t="str">
        <f>IF(D613="Do not use defaults", "", IFERROR(IF(C679&gt;0,IF(ISBLANK(E679),"Insert data",IF(D679="litres/Ha",E679*INDEX(Fuel_Densities,MATCH(C679,Fuels_for_Densities,0))/1000*INDEX(Fuel_LHV,MATCH(C679,Fuels_for_LHV,0))/F617/1000*INDEX(Fuel_EFs,MATCH(C679,Fuels_for_EF,0)),IF(D679="kg/Ha",E679*INDEX(Fuel_LHV,MATCH(C679,Fuels_for_LHV,0))/F617/1000*INDEX(Fuel_EFs,MATCH(C679,Fuels_for_EF,0)),IF(D679="tonnes/Ha",E679*INDEX(Fuel_LHV,MATCH(C679,Fuels_for_LHV,0))/F617*INDEX(Fuel_EFs,MATCH(C679,Fuels_for_EF,0)),"Insert unit")))),""),""))</f>
        <v/>
      </c>
      <c r="L679" s="40"/>
      <c r="M679" s="54"/>
    </row>
    <row r="680" spans="2:13" s="12" customFormat="1" ht="15" customHeight="1" outlineLevel="1" x14ac:dyDescent="0.35">
      <c r="B680" s="20"/>
      <c r="C680" s="154"/>
      <c r="D680" s="141"/>
      <c r="E680" s="142"/>
      <c r="F680" s="1"/>
      <c r="G680" s="1"/>
      <c r="H680" s="1"/>
      <c r="I680" s="43"/>
      <c r="J680" s="27" t="str">
        <f>IF(C680&gt;0,C680,"")</f>
        <v/>
      </c>
      <c r="K680" s="52" t="str">
        <f>IFERROR(IF(C680&gt;0,IF(ISBLANK(E680),"Insert data",IF(D680="litres/Ha",E680*INDEX(Fuel_Densities,MATCH(C680,Fuels_for_Densities,0))/1000*INDEX(Fuel_LHV,MATCH(C680,Fuels_for_LHV,0))/F617/1000*INDEX(Fuel_EFs,MATCH(C680,Fuels_for_EF,0)),IF(D680="kg/Ha",E680*INDEX(Fuel_LHV,MATCH(C680,Fuels_for_LHV,0))/F617/1000*INDEX(Fuel_EFs,MATCH(C680,Fuels_for_EF,0)),IF(D680="tonnes/Ha",E680*INDEX(Fuel_LHV,MATCH(C680,Fuels_for_LHV,0))/F617*INDEX(Fuel_EFs,MATCH(C680,Fuels_for_EF,0)),"Insert unit")))),""),"")</f>
        <v/>
      </c>
      <c r="L680" s="40"/>
      <c r="M680" s="54"/>
    </row>
    <row r="681" spans="2:13" s="12" customFormat="1" ht="15" customHeight="1" outlineLevel="1" x14ac:dyDescent="0.35">
      <c r="B681" s="20"/>
      <c r="C681" s="154"/>
      <c r="D681" s="141"/>
      <c r="E681" s="142"/>
      <c r="F681" s="1"/>
      <c r="G681" s="1"/>
      <c r="H681" s="1"/>
      <c r="I681" s="43"/>
      <c r="J681" s="27" t="str">
        <f>IF(C681&gt;0,C681,"")</f>
        <v/>
      </c>
      <c r="K681" s="52" t="str">
        <f>IFERROR(IF(C681&gt;0,IF(ISBLANK(E681),"Insert data",IF(D681="litres/Ha",E681*INDEX(Fuel_Densities,MATCH(C681,Fuels_for_Densities,0))/1000*INDEX(Fuel_LHV,MATCH(C681,Fuels_for_LHV,0))/F617/1000*INDEX(Fuel_EFs,MATCH(C681,Fuels_for_EF,0)),IF(D681="kg/Ha",E681*INDEX(Fuel_LHV,MATCH(C681,Fuels_for_LHV,0))/F617/1000*INDEX(Fuel_EFs,MATCH(C681,Fuels_for_EF,0)),IF(D681="tonnes/Ha",E681*INDEX(Fuel_LHV,MATCH(C681,Fuels_for_LHV,0))/F617*INDEX(Fuel_EFs,MATCH(C681,Fuels_for_EF,0)),"Insert unit")))),""),"")</f>
        <v/>
      </c>
      <c r="L681" s="40"/>
      <c r="M681" s="54"/>
    </row>
    <row r="682" spans="2:13" s="4" customFormat="1" ht="13.5" customHeight="1" outlineLevel="1" x14ac:dyDescent="0.4">
      <c r="B682" s="20"/>
      <c r="C682" s="24"/>
      <c r="D682" s="21"/>
      <c r="E682" s="21"/>
      <c r="F682" s="21"/>
      <c r="G682" s="21"/>
      <c r="H682" s="21"/>
      <c r="I682" s="46"/>
      <c r="J682" s="58"/>
      <c r="K682" s="58"/>
      <c r="L682" s="59"/>
      <c r="M682" s="35"/>
    </row>
    <row r="683" spans="2:13" s="4" customFormat="1" ht="13.5" customHeight="1" outlineLevel="1" x14ac:dyDescent="0.4">
      <c r="B683" s="20"/>
      <c r="C683" s="661" t="s">
        <v>120</v>
      </c>
      <c r="D683" s="21"/>
      <c r="E683" s="21"/>
      <c r="F683" s="21"/>
      <c r="G683" s="21"/>
      <c r="H683" s="21"/>
      <c r="I683" s="21"/>
      <c r="J683" s="21"/>
      <c r="K683" s="21"/>
      <c r="L683" s="21"/>
      <c r="M683" s="35"/>
    </row>
    <row r="684" spans="2:13" s="4" customFormat="1" ht="13.5" customHeight="1" outlineLevel="1" x14ac:dyDescent="0.4">
      <c r="B684" s="20"/>
      <c r="C684" s="166" t="s">
        <v>161</v>
      </c>
      <c r="D684" s="622">
        <f xml:space="preserve"> IFERROR(( Feedstocks!D17* (Feedstocks!E17/ IF(Feedstocks!I17="Default",  Feedstocks!J17, Feedstocks!K17)) /('Transport 1'!F319 * 'Feedstock conversion'!F317 * 'Transport 2'!F319)) /F617, 0)</f>
        <v>0</v>
      </c>
      <c r="E684" s="21"/>
      <c r="F684" s="21"/>
      <c r="G684" s="21"/>
      <c r="H684" s="21"/>
      <c r="I684" s="21"/>
      <c r="J684" s="21"/>
      <c r="K684" s="21"/>
      <c r="L684" s="21"/>
      <c r="M684" s="35"/>
    </row>
    <row r="685" spans="2:13" s="4" customFormat="1" ht="13.5" customHeight="1" outlineLevel="1" x14ac:dyDescent="0.4">
      <c r="B685" s="28"/>
      <c r="C685" s="155"/>
      <c r="D685" s="29"/>
      <c r="E685" s="29"/>
      <c r="F685" s="29"/>
      <c r="G685" s="29"/>
      <c r="H685" s="29"/>
      <c r="I685" s="29"/>
      <c r="J685" s="29"/>
      <c r="K685" s="29"/>
      <c r="L685" s="29"/>
      <c r="M685" s="60"/>
    </row>
    <row r="686" spans="2:13" s="4" customFormat="1" x14ac:dyDescent="0.4">
      <c r="C686" s="14"/>
    </row>
    <row r="687" spans="2:13" s="4" customFormat="1" hidden="1" x14ac:dyDescent="0.4">
      <c r="C687" s="14"/>
    </row>
    <row r="688" spans="2:13" s="4" customFormat="1" hidden="1" x14ac:dyDescent="0.4">
      <c r="C688" s="14"/>
    </row>
    <row r="689" spans="3:3" s="4" customFormat="1" hidden="1" x14ac:dyDescent="0.4">
      <c r="C689" s="14"/>
    </row>
    <row r="690" spans="3:3" s="4" customFormat="1" hidden="1" x14ac:dyDescent="0.4">
      <c r="C690" s="14"/>
    </row>
    <row r="691" spans="3:3" s="4" customFormat="1" hidden="1" x14ac:dyDescent="0.4">
      <c r="C691" s="14"/>
    </row>
    <row r="692" spans="3:3" s="4" customFormat="1" hidden="1" x14ac:dyDescent="0.4">
      <c r="C692" s="14"/>
    </row>
    <row r="693" spans="3:3" s="4" customFormat="1" hidden="1" x14ac:dyDescent="0.4">
      <c r="C693" s="14"/>
    </row>
    <row r="694" spans="3:3" s="4" customFormat="1" hidden="1" x14ac:dyDescent="0.4">
      <c r="C694" s="14"/>
    </row>
    <row r="695" spans="3:3" s="4" customFormat="1" hidden="1" x14ac:dyDescent="0.4">
      <c r="C695" s="14"/>
    </row>
    <row r="696" spans="3:3" s="4" customFormat="1" hidden="1" x14ac:dyDescent="0.4">
      <c r="C696" s="14"/>
    </row>
    <row r="697" spans="3:3" s="4" customFormat="1" hidden="1" x14ac:dyDescent="0.4">
      <c r="C697" s="14"/>
    </row>
    <row r="698" spans="3:3" s="4" customFormat="1" hidden="1" x14ac:dyDescent="0.4">
      <c r="C698" s="14"/>
    </row>
    <row r="699" spans="3:3" s="4" customFormat="1" hidden="1" x14ac:dyDescent="0.4">
      <c r="C699" s="14"/>
    </row>
    <row r="700" spans="3:3" s="4" customFormat="1" hidden="1" x14ac:dyDescent="0.4">
      <c r="C700" s="14"/>
    </row>
    <row r="701" spans="3:3" s="4" customFormat="1" hidden="1" x14ac:dyDescent="0.4">
      <c r="C701" s="14"/>
    </row>
    <row r="702" spans="3:3" s="4" customFormat="1" hidden="1" x14ac:dyDescent="0.4">
      <c r="C702" s="14"/>
    </row>
    <row r="703" spans="3:3" s="4" customFormat="1" hidden="1" x14ac:dyDescent="0.4">
      <c r="C703" s="14"/>
    </row>
    <row r="704" spans="3:3" s="4" customFormat="1" hidden="1" x14ac:dyDescent="0.4">
      <c r="C704" s="14"/>
    </row>
    <row r="705" spans="2:13" s="4" customFormat="1" hidden="1" x14ac:dyDescent="0.4">
      <c r="C705" s="14"/>
    </row>
    <row r="706" spans="2:13" s="4" customFormat="1" hidden="1" x14ac:dyDescent="0.4">
      <c r="C706" s="14"/>
    </row>
    <row r="707" spans="2:13" s="4" customFormat="1" hidden="1" x14ac:dyDescent="0.4">
      <c r="C707" s="14"/>
    </row>
    <row r="708" spans="2:13" s="4" customFormat="1" ht="19.2" x14ac:dyDescent="0.45">
      <c r="B708" s="750" t="str">
        <f>"Cultivation &amp; Harvesting"&amp;" - "&amp;Feedstocks!C18</f>
        <v xml:space="preserve">Cultivation &amp; Harvesting - </v>
      </c>
      <c r="C708" s="750"/>
      <c r="D708" s="750"/>
      <c r="E708" s="750"/>
      <c r="F708" s="750"/>
      <c r="G708" s="750"/>
      <c r="H708" s="750"/>
      <c r="I708" s="750"/>
      <c r="J708" s="750"/>
      <c r="K708" s="750"/>
      <c r="L708" s="750"/>
      <c r="M708" s="750"/>
    </row>
    <row r="709" spans="2:13" s="4" customFormat="1" outlineLevel="1" x14ac:dyDescent="0.4">
      <c r="B709" s="17"/>
      <c r="C709" s="184"/>
      <c r="D709" s="19"/>
      <c r="E709" s="19"/>
      <c r="F709" s="19"/>
      <c r="G709" s="19"/>
      <c r="H709" s="19"/>
      <c r="I709" s="19"/>
      <c r="J709" s="19"/>
      <c r="K709" s="19"/>
      <c r="L709" s="19"/>
      <c r="M709" s="50"/>
    </row>
    <row r="710" spans="2:13" s="4" customFormat="1" outlineLevel="1" x14ac:dyDescent="0.4">
      <c r="B710" s="20"/>
      <c r="C710" s="356" t="s">
        <v>46</v>
      </c>
      <c r="D710" s="751"/>
      <c r="E710" s="751"/>
      <c r="F710" s="751"/>
      <c r="G710" s="1"/>
      <c r="I710" s="303" t="s">
        <v>122</v>
      </c>
      <c r="J710" s="64"/>
      <c r="K710" s="47"/>
      <c r="L710" s="45"/>
      <c r="M710" s="35"/>
    </row>
    <row r="711" spans="2:13" s="4" customFormat="1" outlineLevel="1" x14ac:dyDescent="0.4">
      <c r="B711" s="20"/>
      <c r="C711" s="162" t="s">
        <v>123</v>
      </c>
      <c r="D711" s="752" t="str">
        <f>IF(Feedstocks!$H$18&gt;0,Feedstocks!$H$18,"")</f>
        <v/>
      </c>
      <c r="E711" s="753"/>
      <c r="F711" s="753"/>
      <c r="G711" s="76"/>
      <c r="H711" s="94"/>
      <c r="I711" s="41"/>
      <c r="J711" s="36"/>
      <c r="K711" s="164" t="s">
        <v>124</v>
      </c>
      <c r="L711" s="37"/>
      <c r="M711" s="35"/>
    </row>
    <row r="712" spans="2:13" s="4" customFormat="1" outlineLevel="1" x14ac:dyDescent="0.4">
      <c r="B712" s="20"/>
      <c r="C712" s="24"/>
      <c r="D712" s="21"/>
      <c r="E712" s="21"/>
      <c r="F712" s="21"/>
      <c r="G712" s="21"/>
      <c r="H712" s="21"/>
      <c r="I712" s="41"/>
      <c r="J712" s="164" t="s">
        <v>125</v>
      </c>
      <c r="K712" s="183" t="str">
        <f>IFERROR(IF('Feedstock conversion'!E363="Yes",(K715/(IF(Feedstocks!I18="default",Feedstocks!J18,IF(Feedstocks!I18="actual",Feedstocks!K18,"Insert data (plant inputs)"))/Feedstocks!E18*'Transport 1'!F369*'Feedstock conversion'!D367*'Transport 2'!F369*('Digestion &amp; outputs'!$G$23/1000)))*IF('Feedstock conversion'!E392="Yes",'Feedstock conversion'!J395,1)*'Digestion &amp; outputs'!$K$23,IF('Feedstock conversion'!E363="No",(K715/(IF(Feedstocks!I18="default",Feedstocks!J18,IF(Feedstocks!I18="actual",Feedstocks!K18,"Insert data (plant inputs)"))/Feedstocks!E18*'Transport 1'!F369*'Transport 2'!F369*('Digestion &amp; outputs'!$G$23/1000)))*'Digestion &amp; outputs'!$K$23,"")),"")</f>
        <v/>
      </c>
      <c r="L712" s="37"/>
      <c r="M712" s="35"/>
    </row>
    <row r="713" spans="2:13" s="4" customFormat="1" ht="18" customHeight="1" outlineLevel="1" x14ac:dyDescent="0.4">
      <c r="B713" s="20"/>
      <c r="C713" s="286" t="s">
        <v>126</v>
      </c>
      <c r="D713" s="673" t="s">
        <v>127</v>
      </c>
      <c r="G713" s="21"/>
      <c r="H713" s="21"/>
      <c r="I713" s="41"/>
      <c r="J713" s="67"/>
      <c r="K713" s="67"/>
      <c r="L713" s="37"/>
      <c r="M713" s="35"/>
    </row>
    <row r="714" spans="2:13" s="4" customFormat="1" outlineLevel="1" x14ac:dyDescent="0.4">
      <c r="B714" s="20"/>
      <c r="C714" s="14"/>
      <c r="G714" s="21"/>
      <c r="H714" s="21"/>
      <c r="I714" s="41"/>
      <c r="J714" s="36"/>
      <c r="K714" s="164" t="s">
        <v>128</v>
      </c>
      <c r="L714" s="37"/>
      <c r="M714" s="35"/>
    </row>
    <row r="715" spans="2:13" s="4" customFormat="1" outlineLevel="1" x14ac:dyDescent="0.4">
      <c r="B715" s="20"/>
      <c r="C715" s="150" t="s">
        <v>129</v>
      </c>
      <c r="G715" s="21"/>
      <c r="H715" s="21"/>
      <c r="I715" s="41"/>
      <c r="J715" s="169" t="s">
        <v>130</v>
      </c>
      <c r="K715" s="52">
        <f>IFERROR(SUM(K720:K726,K728:K733,K737:K743,K745:K751,K753:K757,K761,K765:K769,K773,K778:K781),"")</f>
        <v>0</v>
      </c>
      <c r="L715" s="37"/>
      <c r="M715" s="35"/>
    </row>
    <row r="716" spans="2:13" s="4" customFormat="1" outlineLevel="1" x14ac:dyDescent="0.4">
      <c r="B716" s="20"/>
      <c r="C716" s="166" t="s">
        <v>131</v>
      </c>
      <c r="D716" s="164" t="s">
        <v>132</v>
      </c>
      <c r="E716" s="164" t="s">
        <v>133</v>
      </c>
      <c r="F716" s="164" t="s">
        <v>134</v>
      </c>
      <c r="G716" s="748" t="str">
        <f>IF(C717="actual","Must insert actual data for fertiliser application","")</f>
        <v/>
      </c>
      <c r="H716" s="21"/>
      <c r="I716" s="46"/>
      <c r="J716" s="58"/>
      <c r="K716" s="58"/>
      <c r="L716" s="59"/>
      <c r="M716" s="35"/>
    </row>
    <row r="717" spans="2:13" s="4" customFormat="1" outlineLevel="1" x14ac:dyDescent="0.4">
      <c r="B717" s="20"/>
      <c r="C717" s="151" t="s">
        <v>96</v>
      </c>
      <c r="D717" s="93" t="str">
        <f>IFERROR(INDEX(Crop_yields,MATCH(D713,Crops_for_yields,0)),"")</f>
        <v/>
      </c>
      <c r="E717" s="135"/>
      <c r="F717" s="31" t="str">
        <f>IFERROR(IF(C717="Default",D717,IF(ISBLANK(E717),"Insert data",E717)),"")</f>
        <v/>
      </c>
      <c r="G717" s="749"/>
      <c r="H717" s="21"/>
      <c r="I717" s="21"/>
      <c r="J717" s="21"/>
      <c r="K717" s="21"/>
      <c r="L717" s="21"/>
      <c r="M717" s="35"/>
    </row>
    <row r="718" spans="2:13" s="4" customFormat="1" ht="24" customHeight="1" outlineLevel="1" x14ac:dyDescent="0.4">
      <c r="B718" s="20"/>
      <c r="C718" s="150" t="s">
        <v>135</v>
      </c>
      <c r="D718" s="21"/>
      <c r="E718" s="21"/>
      <c r="F718" s="21"/>
      <c r="H718" s="21"/>
      <c r="I718" s="303" t="s">
        <v>136</v>
      </c>
      <c r="J718" s="47"/>
      <c r="K718" s="47"/>
      <c r="L718" s="45"/>
      <c r="M718" s="35"/>
    </row>
    <row r="719" spans="2:13" s="14" customFormat="1" outlineLevel="1" x14ac:dyDescent="0.4">
      <c r="B719" s="23"/>
      <c r="C719" s="166" t="s">
        <v>137</v>
      </c>
      <c r="D719" s="164" t="s">
        <v>138</v>
      </c>
      <c r="E719" s="164" t="s">
        <v>139</v>
      </c>
      <c r="F719" s="164" t="s">
        <v>140</v>
      </c>
      <c r="G719" s="4"/>
      <c r="H719" s="24"/>
      <c r="I719" s="42"/>
      <c r="J719" s="164" t="s">
        <v>137</v>
      </c>
      <c r="K719" s="164" t="s">
        <v>141</v>
      </c>
      <c r="L719" s="37"/>
      <c r="M719" s="63"/>
    </row>
    <row r="720" spans="2:13" s="4" customFormat="1" outlineLevel="1" x14ac:dyDescent="0.4">
      <c r="B720" s="20"/>
      <c r="C720" s="617" t="str">
        <f>IF(D713="Do not use defaults", "", "Nitrogen fertiliser (unspecified)")</f>
        <v/>
      </c>
      <c r="D720" s="618" t="str">
        <f>IF(D713="Do not use defaults", "",INDEX(N_fertiliser_N_composition,MATCH(C720,N_Fertilisers,0)))</f>
        <v/>
      </c>
      <c r="E720" s="27" t="str">
        <f>IF(D713="Do not use defaults","", "kg(Nitrogen)/Ha")</f>
        <v/>
      </c>
      <c r="F720" s="619" t="str">
        <f>IF(D713="Do not use defaults", "",VLOOKUP(D713,Default_crop_data[],2,FALSE))</f>
        <v/>
      </c>
      <c r="H720" s="1"/>
      <c r="I720" s="43"/>
      <c r="J720" s="27" t="str">
        <f t="shared" ref="J720:J726" si="21">IF(C720&gt;0,C720,"")</f>
        <v/>
      </c>
      <c r="K720" s="91" t="str">
        <f>IFERROR(IF(C720&gt;0,IF(ISBLANK(E720),"Insert unit",IF(ISBLANK(F720),"Insert data",(IF(E720="kg(fertiliser)/HA",F720*D720,F720)*INDEX(N_Fertiliser_EF,MATCH(C720,N_Fertilisers,0))/F717)/1000)),""),"")</f>
        <v/>
      </c>
      <c r="L720" s="39"/>
      <c r="M720" s="35"/>
    </row>
    <row r="721" spans="2:13" s="4" customFormat="1" outlineLevel="1" x14ac:dyDescent="0.4">
      <c r="B721" s="20"/>
      <c r="C721" s="151"/>
      <c r="D721" s="92" t="str">
        <f>IF(C721&gt;0,INDEX(N_fertiliser_N_composition,MATCH(C721,N_Fertilisers,0)),"")</f>
        <v/>
      </c>
      <c r="E721" s="138"/>
      <c r="F721" s="137"/>
      <c r="H721" s="1"/>
      <c r="I721" s="43"/>
      <c r="J721" s="27" t="str">
        <f t="shared" si="21"/>
        <v/>
      </c>
      <c r="K721" s="91" t="str">
        <f>IFERROR(IF(C721&gt;0,IF(ISBLANK(E721),"Insert unit",IF(ISBLANK(F721),"Insert data",(IF(E721="kg(fertiliser)/HA",F721*D721,F721)*INDEX(N_Fertiliser_EF,MATCH(C721,N_Fertilisers,0))/F717)/1000)),""),"")</f>
        <v/>
      </c>
      <c r="L721" s="39"/>
      <c r="M721" s="35"/>
    </row>
    <row r="722" spans="2:13" s="4" customFormat="1" outlineLevel="1" x14ac:dyDescent="0.4">
      <c r="B722" s="20"/>
      <c r="C722" s="151"/>
      <c r="D722" s="92" t="str">
        <f>IF(C722&gt;0,INDEX(N_fertiliser_N_composition,MATCH(C722,N_Fertilisers,0)),"")</f>
        <v/>
      </c>
      <c r="E722" s="138"/>
      <c r="F722" s="137"/>
      <c r="H722" s="1"/>
      <c r="I722" s="43"/>
      <c r="J722" s="27" t="str">
        <f t="shared" si="21"/>
        <v/>
      </c>
      <c r="K722" s="91" t="str">
        <f>IFERROR(IF(C722&gt;0,IF(ISBLANK(E722),"Insert unit",IF(ISBLANK(F722),"Insert data",(IF(E722="kg(fertiliser)/HA",F722*D722,F722)*INDEX(N_Fertiliser_EF,MATCH(C722,N_Fertilisers,0))/F717)/1000)),""),"")</f>
        <v/>
      </c>
      <c r="L722" s="39"/>
      <c r="M722" s="35"/>
    </row>
    <row r="723" spans="2:13" s="4" customFormat="1" outlineLevel="1" x14ac:dyDescent="0.4">
      <c r="B723" s="20"/>
      <c r="C723" s="151"/>
      <c r="D723" s="92" t="str">
        <f>IF(C723&gt;0,INDEX(N_fertiliser_N_composition,MATCH(C723,N_Fertilisers,0)),"")</f>
        <v/>
      </c>
      <c r="E723" s="138"/>
      <c r="F723" s="137"/>
      <c r="H723" s="1"/>
      <c r="I723" s="43"/>
      <c r="J723" s="27" t="str">
        <f t="shared" si="21"/>
        <v/>
      </c>
      <c r="K723" s="91" t="str">
        <f>IFERROR(IF(C723&gt;0,IF(ISBLANK(E723),"Insert unit",IF(ISBLANK(F723),"Insert data",(IF(E723="kg(fertiliser)/HA",F723*D723,F723)*INDEX(N_Fertiliser_EF,MATCH(C723,N_Fertilisers,0))/F717)/1000)),""),"")</f>
        <v/>
      </c>
      <c r="L723" s="39"/>
      <c r="M723" s="35"/>
    </row>
    <row r="724" spans="2:13" s="4" customFormat="1" outlineLevel="1" x14ac:dyDescent="0.4">
      <c r="B724" s="20"/>
      <c r="C724" s="151"/>
      <c r="D724" s="136"/>
      <c r="E724" s="138"/>
      <c r="F724" s="137"/>
      <c r="H724" s="1"/>
      <c r="I724" s="43"/>
      <c r="J724" s="27" t="str">
        <f t="shared" si="21"/>
        <v/>
      </c>
      <c r="K724" s="91" t="str">
        <f>IFERROR(IF(C724&gt;0,IF(ISBLANK(E724),"Insert unit",IF(OR(ISBLANK(F724),ISBLANK(D724)),"Insert data",(IF(E724="kg(fertiliser)/HA",F724*D724,F724)*INDEX(N_Fertiliser_EF,MATCH("nitrogen fertiliser (unspecified)",N_Fertilisers,0))/F717)/1000)),""),"")</f>
        <v/>
      </c>
      <c r="L724" s="39"/>
      <c r="M724" s="35"/>
    </row>
    <row r="725" spans="2:13" s="4" customFormat="1" outlineLevel="1" x14ac:dyDescent="0.4">
      <c r="B725" s="20"/>
      <c r="C725" s="151"/>
      <c r="D725" s="136"/>
      <c r="E725" s="138"/>
      <c r="F725" s="137"/>
      <c r="H725" s="1"/>
      <c r="I725" s="43"/>
      <c r="J725" s="27" t="str">
        <f t="shared" si="21"/>
        <v/>
      </c>
      <c r="K725" s="91" t="str">
        <f>IFERROR(IF(C725&gt;0,IF(ISBLANK(E725),"Insert unit",IF(OR(ISBLANK(F725),ISBLANK(D725)),"Insert data",(IF(E725="kg(fertiliser)/HA",F725*D725,F725)*INDEX(N_Fertiliser_EF,MATCH("nitrogen fertiliser (unspecified)",N_Fertilisers,0))/F717)/1000)),""),"")</f>
        <v/>
      </c>
      <c r="L725" s="39"/>
      <c r="M725" s="35"/>
    </row>
    <row r="726" spans="2:13" s="4" customFormat="1" outlineLevel="1" x14ac:dyDescent="0.4">
      <c r="B726" s="20"/>
      <c r="C726" s="151"/>
      <c r="D726" s="136"/>
      <c r="E726" s="138"/>
      <c r="F726" s="137"/>
      <c r="G726" s="14"/>
      <c r="H726" s="1"/>
      <c r="I726" s="43"/>
      <c r="J726" s="27" t="str">
        <f t="shared" si="21"/>
        <v/>
      </c>
      <c r="K726" s="91" t="str">
        <f>IFERROR(IF(C726&gt;0,IF(ISBLANK(E726),"Insert unit",IF(OR(ISBLANK(F726),ISBLANK(D726)),"Insert data",(IF(E726="kg(fertiliser)/HA",F726*D726,F726)*INDEX(N_Fertiliser_EF,MATCH("nitrogen fertiliser (unspecified)",N_Fertilisers,0))/F717)/1000)),""),"")</f>
        <v/>
      </c>
      <c r="L726" s="39"/>
      <c r="M726" s="35"/>
    </row>
    <row r="727" spans="2:13" s="4" customFormat="1" outlineLevel="1" x14ac:dyDescent="0.4">
      <c r="B727" s="20"/>
      <c r="C727" s="653" t="s">
        <v>142</v>
      </c>
      <c r="D727" s="654" t="s">
        <v>138</v>
      </c>
      <c r="E727" s="654" t="s">
        <v>139</v>
      </c>
      <c r="F727" s="655" t="s">
        <v>140</v>
      </c>
      <c r="G727" s="14"/>
      <c r="H727" s="1"/>
      <c r="I727" s="43"/>
      <c r="J727" s="166" t="s">
        <v>142</v>
      </c>
      <c r="K727" s="164" t="s">
        <v>141</v>
      </c>
      <c r="L727" s="39"/>
      <c r="M727" s="35"/>
    </row>
    <row r="728" spans="2:13" s="4" customFormat="1" outlineLevel="1" x14ac:dyDescent="0.4">
      <c r="B728" s="20"/>
      <c r="C728" s="649" t="str">
        <f>IF(D713="Do not use defaults", "", "Digestate")</f>
        <v/>
      </c>
      <c r="D728" s="618" t="str">
        <f>IF(D713="Do not use defaults", "",INDEX(Organic_fertilisers_N_Composition,MATCH(C728,Organic_fertilisers,0)))</f>
        <v/>
      </c>
      <c r="E728" s="27" t="str">
        <f>IF(D713="Do not use defaults", "", "t(fertiliser)/Ha")</f>
        <v/>
      </c>
      <c r="F728" s="651" t="str">
        <f>IF(D713="Do not use defaults", "",VLOOKUP(D713,Default_crop_data[],5,FALSE))</f>
        <v/>
      </c>
      <c r="G728" s="14"/>
      <c r="H728" s="1"/>
      <c r="I728" s="43"/>
      <c r="J728" s="27" t="str">
        <f t="shared" ref="J728:J733" si="22">IF(C728&gt;0,C728,"")</f>
        <v/>
      </c>
      <c r="K728" s="91" t="str">
        <f>IFERROR(IF(C728&gt;0,IF(ISBLANK(E728),"Insert unit",IF(ISBLANK(F728),"Insert data",(IF(E728="kg(fertiliser)/HA",F728*D728,IF(E728="t(fertiliser)/Ha",F728*1000*D728,F728))*INDEX(Organic_fertiliser_EF,MATCH(C728,Organic_fertilisers,0))/F717)/1000)),""),"")</f>
        <v/>
      </c>
      <c r="L728" s="39"/>
      <c r="M728" s="35"/>
    </row>
    <row r="729" spans="2:13" s="4" customFormat="1" outlineLevel="1" x14ac:dyDescent="0.4">
      <c r="B729" s="20"/>
      <c r="C729" s="650"/>
      <c r="D729" s="92" t="str">
        <f>IF(C729&gt;0,INDEX(Organic_fertilisers_N_Composition,MATCH(C729,Organic_fertilisers,0)),"")</f>
        <v/>
      </c>
      <c r="E729" s="138"/>
      <c r="F729" s="652"/>
      <c r="G729" s="14"/>
      <c r="H729" s="1"/>
      <c r="I729" s="43"/>
      <c r="J729" s="27" t="str">
        <f t="shared" si="22"/>
        <v/>
      </c>
      <c r="K729" s="91" t="str">
        <f>IFERROR(IF(C729&gt;0,IF(ISBLANK(E729),"Insert unit",IF(ISBLANK(F729),"Insert data",(IF(E729="kg(fertiliser)/HA",F729*D729,IF(E729="t(fertiliser)/Ha",F729*1000*D729,F729))*INDEX(Organic_fertiliser_EF,MATCH(C729,Organic_fertilisers,0))/F717)/1000)),""),"")</f>
        <v/>
      </c>
      <c r="L729" s="39"/>
      <c r="M729" s="35"/>
    </row>
    <row r="730" spans="2:13" s="4" customFormat="1" outlineLevel="1" x14ac:dyDescent="0.4">
      <c r="B730" s="20"/>
      <c r="C730" s="650"/>
      <c r="D730" s="92" t="str">
        <f>IF(C730&gt;0,INDEX(Organic_fertilisers_N_Composition,MATCH(C730,Organic_fertilisers,0)),"")</f>
        <v/>
      </c>
      <c r="E730" s="138"/>
      <c r="F730" s="652"/>
      <c r="G730" s="14"/>
      <c r="H730" s="1"/>
      <c r="I730" s="43"/>
      <c r="J730" s="27" t="str">
        <f t="shared" si="22"/>
        <v/>
      </c>
      <c r="K730" s="91" t="str">
        <f>IFERROR(IF(C730&gt;0,IF(ISBLANK(E730),"Insert unit",IF(ISBLANK(F730),"Insert data",(IF(E730="kg(fertiliser)/HA",F730*D730,IF(E730="t(fertiliser)/Ha",F730*1000*D730,F730))*INDEX(Organic_fertiliser_EF,MATCH(C730,Organic_fertilisers,0))/F717)/1000)),""),"")</f>
        <v/>
      </c>
      <c r="L730" s="39"/>
      <c r="M730" s="35"/>
    </row>
    <row r="731" spans="2:13" s="4" customFormat="1" outlineLevel="1" x14ac:dyDescent="0.4">
      <c r="B731" s="20"/>
      <c r="C731" s="650"/>
      <c r="D731" s="92" t="str">
        <f>IF(C731&gt;0,INDEX(Organic_fertilisers_N_Composition,MATCH(C731,Organic_fertilisers,0)),"")</f>
        <v/>
      </c>
      <c r="E731" s="138"/>
      <c r="F731" s="652"/>
      <c r="G731" s="14"/>
      <c r="H731" s="1"/>
      <c r="I731" s="43"/>
      <c r="J731" s="27" t="str">
        <f t="shared" si="22"/>
        <v/>
      </c>
      <c r="K731" s="91" t="str">
        <f>IFERROR(IF(C731&gt;0,IF(ISBLANK(E731),"Insert unit",IF(ISBLANK(F731),"Insert data",(IF(E731="kg(fertiliser)/HA",F731*D731,IF(E731="t(fertiliser)/Ha",F731*1000*D731,F731))*INDEX(Organic_fertiliser_EF,MATCH(C731,Organic_fertilisers,0))/F717)/1000)),""),"")</f>
        <v/>
      </c>
      <c r="L731" s="39"/>
      <c r="M731" s="35"/>
    </row>
    <row r="732" spans="2:13" s="4" customFormat="1" outlineLevel="1" x14ac:dyDescent="0.4">
      <c r="B732" s="20"/>
      <c r="C732" s="650"/>
      <c r="D732" s="136"/>
      <c r="E732" s="138"/>
      <c r="F732" s="652"/>
      <c r="G732" s="14"/>
      <c r="H732" s="1"/>
      <c r="I732" s="43"/>
      <c r="J732" s="27" t="str">
        <f t="shared" si="22"/>
        <v/>
      </c>
      <c r="K732" s="91" t="str">
        <f>IFERROR(IF(C732&gt;0,IF(ISBLANK(E732),"Insert unit",IF(ISBLANK(F732),"Insert data",0)),""),"")</f>
        <v/>
      </c>
      <c r="L732" s="39"/>
      <c r="M732" s="35"/>
    </row>
    <row r="733" spans="2:13" s="4" customFormat="1" outlineLevel="1" x14ac:dyDescent="0.4">
      <c r="B733" s="20"/>
      <c r="C733" s="656"/>
      <c r="D733" s="657"/>
      <c r="E733" s="658"/>
      <c r="F733" s="659"/>
      <c r="G733" s="14"/>
      <c r="H733" s="1"/>
      <c r="I733" s="43"/>
      <c r="J733" s="27" t="str">
        <f t="shared" si="22"/>
        <v/>
      </c>
      <c r="K733" s="91" t="str">
        <f>IFERROR(IF(C733&gt;0,IF(ISBLANK(E733),"Insert unit",IF(ISBLANK(F733),"Insert data",0)),""),"")</f>
        <v/>
      </c>
      <c r="L733" s="39"/>
      <c r="M733" s="35"/>
    </row>
    <row r="734" spans="2:13" s="4" customFormat="1" outlineLevel="1" x14ac:dyDescent="0.4">
      <c r="B734" s="20"/>
      <c r="C734" s="166" t="s">
        <v>143</v>
      </c>
      <c r="D734" s="164" t="s">
        <v>138</v>
      </c>
      <c r="E734" s="164" t="s">
        <v>139</v>
      </c>
      <c r="F734" s="164" t="s">
        <v>140</v>
      </c>
      <c r="G734" s="14"/>
      <c r="H734" s="1"/>
      <c r="I734" s="43"/>
      <c r="J734" s="166" t="str">
        <f>IF(C734&gt;0,C734,"")</f>
        <v>Low in-field emissions fertiliser</v>
      </c>
      <c r="K734" s="164" t="s">
        <v>141</v>
      </c>
      <c r="L734" s="39"/>
      <c r="M734" s="35"/>
    </row>
    <row r="735" spans="2:13" s="4" customFormat="1" outlineLevel="1" x14ac:dyDescent="0.4">
      <c r="B735" s="20"/>
      <c r="C735" s="151"/>
      <c r="D735" s="92"/>
      <c r="E735" s="138"/>
      <c r="F735" s="137"/>
      <c r="G735" s="14"/>
      <c r="H735" s="1"/>
      <c r="I735" s="43"/>
      <c r="J735" s="27" t="str">
        <f>IF(C735&gt;0,C735,"")</f>
        <v/>
      </c>
      <c r="K735" s="91" t="str" cm="1">
        <f t="array" ref="K735">IFERROR(IF(C735&gt;0,IF(ISBLANK(E735),"Insert unit",IF(ISBLANK(F735),"Insert data",(IF(E735="kg(fertiliser)/Ha",F735*D735,IF(E735="t(fertiliser)/Ha",F735*1000*D735,F735))*(Low_infield_EF_table[Emission Factor (gCO2eq/kgnitrogen)])/F717)/1000)),""),"")</f>
        <v/>
      </c>
      <c r="L735" s="39"/>
      <c r="M735" s="35"/>
    </row>
    <row r="736" spans="2:13" s="14" customFormat="1" outlineLevel="1" x14ac:dyDescent="0.4">
      <c r="B736" s="23"/>
      <c r="C736" s="166" t="s">
        <v>144</v>
      </c>
      <c r="D736" s="166" t="s">
        <v>145</v>
      </c>
      <c r="E736" s="166" t="s">
        <v>138</v>
      </c>
      <c r="F736" s="166" t="s">
        <v>139</v>
      </c>
      <c r="G736" s="166" t="s">
        <v>140</v>
      </c>
      <c r="H736" s="24"/>
      <c r="I736" s="42"/>
      <c r="J736" s="166" t="s">
        <v>144</v>
      </c>
      <c r="K736" s="164" t="s">
        <v>141</v>
      </c>
      <c r="L736" s="37"/>
      <c r="M736" s="63"/>
    </row>
    <row r="737" spans="2:13" s="4" customFormat="1" outlineLevel="1" x14ac:dyDescent="0.4">
      <c r="B737" s="20"/>
      <c r="C737" s="617" t="str">
        <f>IF(D713="Do not use defaults", "", "P2O5 fertiliser (unspecified)")</f>
        <v/>
      </c>
      <c r="D737" s="618" t="str" cm="1">
        <f t="array" ref="D737">IF(D713="Do not use defaults", "",INDEX(P_fertiliser_P_composition,MATCH(C737,P_fertilisers,0)))</f>
        <v/>
      </c>
      <c r="E737" s="618" t="str">
        <f>IF(C737="P2O5 fertiliser (unspecified)",0, "")</f>
        <v/>
      </c>
      <c r="F737" s="27" t="str">
        <f>IF(D713="Do not use defaults","", "t(kg(P2O5)/Ha")</f>
        <v/>
      </c>
      <c r="G737" s="619" t="str">
        <f>IF(D713="Do not use defaults","",VLOOKUP(D713,Default_crop_data[],3,FALSE))</f>
        <v/>
      </c>
      <c r="H737" s="1"/>
      <c r="I737" s="43"/>
      <c r="J737" s="27" t="str">
        <f>IF(C737&gt;0,C737,"")</f>
        <v/>
      </c>
      <c r="K737" s="91" t="str">
        <f>IFERROR(IF(C737&gt;0,IF(ISBLANK(F737),"Insert unit",IF(ISBLANK(G737),"Insert data",(IF(F737="kg(fertiliser)/HA",G737*D737,G737)*INDEX(P_fertiliser_EF,MATCH(C737,P_fertilisers,0))/F717)/1000)),""),"")</f>
        <v/>
      </c>
      <c r="L737" s="39"/>
      <c r="M737" s="35"/>
    </row>
    <row r="738" spans="2:13" s="4" customFormat="1" outlineLevel="1" x14ac:dyDescent="0.4">
      <c r="B738" s="20"/>
      <c r="C738" s="151"/>
      <c r="D738" s="92" t="str">
        <f>IF(C738&gt;0,INDEX(P_fertiliser_P_composition,MATCH(C738,P_fertilisers,0)),"")</f>
        <v/>
      </c>
      <c r="E738" s="92"/>
      <c r="F738" s="138"/>
      <c r="G738" s="137"/>
      <c r="H738" s="1"/>
      <c r="I738" s="43"/>
      <c r="J738" s="27" t="str">
        <f>IF(C738&gt;0,C738,"")</f>
        <v/>
      </c>
      <c r="K738" s="91" t="str">
        <f>IFERROR(IF(C738&gt;0,IF(ISBLANK(F738),"Insert unit",IF(ISBLANK(G738),"Insert data",(IF(F738="kg(fertiliser)/HA",G738*D738,G738)*INDEX(P_fertiliser_EF,MATCH(C738,P_fertilisers,0))/F717)/1000)),""),"")</f>
        <v/>
      </c>
      <c r="L738" s="39"/>
      <c r="M738" s="35"/>
    </row>
    <row r="739" spans="2:13" s="4" customFormat="1" outlineLevel="1" x14ac:dyDescent="0.4">
      <c r="B739" s="20"/>
      <c r="C739" s="151"/>
      <c r="D739" s="92" t="str">
        <f>IF(C739&gt;0,INDEX(P_fertiliser_P_composition,MATCH(C739,P_fertilisers,0)),"")</f>
        <v/>
      </c>
      <c r="E739" s="92"/>
      <c r="F739" s="138"/>
      <c r="G739" s="137"/>
      <c r="H739" s="1"/>
      <c r="I739" s="43"/>
      <c r="J739" s="27"/>
      <c r="K739" s="91" t="str">
        <f>IFERROR(IF(C739&gt;0,IF(ISBLANK(F739),"Insert unit",IF(ISBLANK(G739),"Insert data",(IF(F739="kg(fertiliser)/HA",G739*D739,G739)*INDEX(P_fertiliser_EF,MATCH(C739,P_fertilisers,0))/F717)/1000)),""),"")</f>
        <v/>
      </c>
      <c r="L739" s="39"/>
      <c r="M739" s="35"/>
    </row>
    <row r="740" spans="2:13" s="4" customFormat="1" outlineLevel="1" x14ac:dyDescent="0.4">
      <c r="B740" s="20"/>
      <c r="C740" s="151"/>
      <c r="D740" s="92" t="str">
        <f>IF(C740&gt;0,INDEX(P_fertiliser_P_composition,MATCH(C740,P_fertilisers,0)),"")</f>
        <v/>
      </c>
      <c r="E740" s="92"/>
      <c r="F740" s="138"/>
      <c r="G740" s="137"/>
      <c r="H740" s="1"/>
      <c r="I740" s="43"/>
      <c r="J740" s="27"/>
      <c r="K740" s="91" t="str">
        <f>IFERROR(IF(C740&gt;0,IF(ISBLANK(F740),"Insert unit",IF(ISBLANK(G740),"Insert data",(IF(F740="kg(fertiliser)/HA",G740*D740,G740)*INDEX(P_fertiliser_EF,MATCH(C740,P_fertilisers,0))/F717)/1000)),""),"")</f>
        <v/>
      </c>
      <c r="L740" s="39"/>
      <c r="M740" s="35"/>
    </row>
    <row r="741" spans="2:13" s="4" customFormat="1" outlineLevel="1" x14ac:dyDescent="0.4">
      <c r="B741" s="20"/>
      <c r="C741" s="151"/>
      <c r="D741" s="136"/>
      <c r="E741" s="136"/>
      <c r="F741" s="138"/>
      <c r="G741" s="137"/>
      <c r="H741" s="1"/>
      <c r="I741" s="43"/>
      <c r="J741" s="27"/>
      <c r="K741" s="91" t="str">
        <f>IFERROR(IF(C741&gt;0,IF(ISBLANK(F741),"Insert unit",IF(OR(ISBLANK(F741),ISBLANK(D741),ISBLANK(E741)),"Insert data",(IF(F741="kg(fertiliser)/HA",G741*D741,G741)*INDEX(P_fertiliser_EF,MATCH("p2O5 fertiliser (unspecified)",P_fertilisers,0))/F717)/1000)),""),"")</f>
        <v/>
      </c>
      <c r="L741" s="39"/>
      <c r="M741" s="35"/>
    </row>
    <row r="742" spans="2:13" s="4" customFormat="1" outlineLevel="1" x14ac:dyDescent="0.4">
      <c r="B742" s="20"/>
      <c r="C742" s="151"/>
      <c r="D742" s="136"/>
      <c r="E742" s="136"/>
      <c r="F742" s="138"/>
      <c r="G742" s="137"/>
      <c r="H742" s="1"/>
      <c r="I742" s="43"/>
      <c r="J742" s="27" t="str">
        <f>IF(C742&gt;0,C742,"")</f>
        <v/>
      </c>
      <c r="K742" s="91" t="str">
        <f>IFERROR(IF(C742&gt;0,IF(ISBLANK(F742),"Insert unit",IF(OR(ISBLANK(F742),ISBLANK(D742),ISBLANK(E742)),"Insert data",(IF(F742="kg(fertiliser)/HA",G742*D742,G742)*INDEX(P_fertiliser_EF,MATCH("p2O5 fertiliser (unspecified)",P_fertilisers,0))/F717)/1000)),""),"")</f>
        <v/>
      </c>
      <c r="L742" s="39"/>
      <c r="M742" s="35"/>
    </row>
    <row r="743" spans="2:13" s="4" customFormat="1" outlineLevel="1" x14ac:dyDescent="0.4">
      <c r="B743" s="20"/>
      <c r="C743" s="151"/>
      <c r="D743" s="136"/>
      <c r="E743" s="136"/>
      <c r="F743" s="138"/>
      <c r="G743" s="137"/>
      <c r="H743" s="1"/>
      <c r="I743" s="43"/>
      <c r="J743" s="27" t="str">
        <f>IF(C743&gt;0,C743,"")</f>
        <v/>
      </c>
      <c r="K743" s="91" t="str">
        <f>IFERROR(IF(C743&gt;0,IF(ISBLANK(F743),"Insert unit",IF(OR(ISBLANK(F743),ISBLANK(D743),ISBLANK(E743)),"Insert data",(IF(F743="kg(fertiliser)/HA",G743*D743,G743)*INDEX(P_fertiliser_EF,MATCH("p2O5 fertiliser (unspecified)",P_fertilisers,0))/F717)/1000)),""),"")</f>
        <v/>
      </c>
      <c r="L743" s="39"/>
      <c r="M743" s="35"/>
    </row>
    <row r="744" spans="2:13" s="14" customFormat="1" outlineLevel="1" x14ac:dyDescent="0.4">
      <c r="B744" s="23"/>
      <c r="C744" s="166" t="s">
        <v>146</v>
      </c>
      <c r="D744" s="166" t="s">
        <v>147</v>
      </c>
      <c r="E744" s="166" t="s">
        <v>138</v>
      </c>
      <c r="F744" s="166" t="s">
        <v>139</v>
      </c>
      <c r="G744" s="166" t="s">
        <v>140</v>
      </c>
      <c r="H744" s="24"/>
      <c r="I744" s="42"/>
      <c r="J744" s="166" t="s">
        <v>146</v>
      </c>
      <c r="K744" s="164" t="s">
        <v>141</v>
      </c>
      <c r="L744" s="37"/>
      <c r="M744" s="35"/>
    </row>
    <row r="745" spans="2:13" s="4" customFormat="1" outlineLevel="1" x14ac:dyDescent="0.4">
      <c r="B745" s="20"/>
      <c r="C745" s="617" t="str">
        <f>IF(D713="Do not use defaults", "", "K2O fertiliser (unspecified)")</f>
        <v/>
      </c>
      <c r="D745" s="618" t="str" cm="1">
        <f t="array" ref="D745">IF(D713="Do not use defaults", "",INDEX(K_fertiliser_K_composition,MATCH(C745,K_fertilisers,0)))</f>
        <v/>
      </c>
      <c r="E745" s="618" t="str" cm="1">
        <f t="array" ref="E745">IF(D713="Do not use defaults", "",INDEX(K_fertiliser_N_composition,MATCH(C745,K_fertilisers,0)))</f>
        <v/>
      </c>
      <c r="F745" s="27" t="str">
        <f>IF(D713="Do not use defaults","", "t(kg(K2O)/Ha")</f>
        <v/>
      </c>
      <c r="G745" s="619" t="str">
        <f>IF(D713="Do not use defaults", "",VLOOKUP(D713,Default_crop_data[],4,FALSE))</f>
        <v/>
      </c>
      <c r="H745" s="1"/>
      <c r="I745" s="43"/>
      <c r="J745" s="27" t="str">
        <f t="shared" ref="J745:J751" si="23">IF(C745&gt;0,C745,"")</f>
        <v/>
      </c>
      <c r="K745" s="91" t="str">
        <f>IFERROR(IF(C745&gt;0,IF(ISBLANK(F745),"Insert unit",IF(ISBLANK(G745),"Insert data",(IF(F745="kg(fertiliser)/HA",G745*D745,G745)*INDEX(K_Fertiliser_EF,MATCH(C745,K_fertilisers,0))/F717)/1000)),""),"")</f>
        <v/>
      </c>
      <c r="L745" s="39"/>
      <c r="M745" s="35"/>
    </row>
    <row r="746" spans="2:13" s="4" customFormat="1" outlineLevel="1" x14ac:dyDescent="0.4">
      <c r="B746" s="20"/>
      <c r="C746" s="151"/>
      <c r="D746" s="92" t="str">
        <f>IF(C746&gt;0,INDEX(K_fertiliser_K_composition,MATCH(C746,K_fertilisers,0)),"")</f>
        <v/>
      </c>
      <c r="E746" s="92" t="str">
        <f>IF(C746&gt;0,INDEX(K_fertiliser_N_composition,MATCH(C746,K_fertilisers,0)),"")</f>
        <v/>
      </c>
      <c r="F746" s="138"/>
      <c r="G746" s="137"/>
      <c r="H746" s="1"/>
      <c r="I746" s="43"/>
      <c r="J746" s="27" t="str">
        <f t="shared" si="23"/>
        <v/>
      </c>
      <c r="K746" s="91" t="str">
        <f>IFERROR(IF(C746&gt;0,IF(ISBLANK(F746),"Insert unit",IF(ISBLANK(G746),"Insert data",(IF(F746="kg(fertiliser)/HA",G746*D746,G746)*INDEX(K_Fertiliser_EF,MATCH(C746,K_fertilisers,0))/F717)/1000)),""),"")</f>
        <v/>
      </c>
      <c r="L746" s="39"/>
      <c r="M746" s="35"/>
    </row>
    <row r="747" spans="2:13" s="4" customFormat="1" outlineLevel="1" x14ac:dyDescent="0.4">
      <c r="B747" s="20"/>
      <c r="C747" s="151"/>
      <c r="D747" s="92" t="str">
        <f>IF(C747&gt;0,INDEX(K_fertiliser_K_composition,MATCH(C747,K_fertilisers,0)),"")</f>
        <v/>
      </c>
      <c r="E747" s="92" t="str">
        <f>IF(C747&gt;0,INDEX(K_fertiliser_N_composition,MATCH(C747,K_fertilisers,0)),"")</f>
        <v/>
      </c>
      <c r="F747" s="138"/>
      <c r="G747" s="137"/>
      <c r="H747" s="1"/>
      <c r="I747" s="43"/>
      <c r="J747" s="27" t="str">
        <f t="shared" si="23"/>
        <v/>
      </c>
      <c r="K747" s="91" t="str">
        <f>IFERROR(IF(C747&gt;0,IF(ISBLANK(F747),"Insert unit",IF(ISBLANK(G747),"Insert data",(IF(F747="kg(fertiliser)/HA",G747*D747,G747)*INDEX(K_Fertiliser_EF,MATCH(C747,K_fertilisers,0))/F717)/1000)),""),"")</f>
        <v/>
      </c>
      <c r="L747" s="39"/>
      <c r="M747" s="35"/>
    </row>
    <row r="748" spans="2:13" s="4" customFormat="1" outlineLevel="1" x14ac:dyDescent="0.4">
      <c r="B748" s="20"/>
      <c r="C748" s="151"/>
      <c r="D748" s="92"/>
      <c r="E748" s="92"/>
      <c r="F748" s="138"/>
      <c r="G748" s="137"/>
      <c r="H748" s="1"/>
      <c r="I748" s="43"/>
      <c r="J748" s="27" t="str">
        <f t="shared" si="23"/>
        <v/>
      </c>
      <c r="K748" s="91" t="str">
        <f>IFERROR(IF(C748&gt;0,IF(ISBLANK(F748),"Insert unit",IF(ISBLANK(G748),"Insert data",(IF(F748="kg(fertiliser)/HA",G748*D748,G748)*INDEX(K_Fertiliser_EF,MATCH(C748,K_fertilisers,0))/F717)/1000)),""),"")</f>
        <v/>
      </c>
      <c r="L748" s="39"/>
      <c r="M748" s="35"/>
    </row>
    <row r="749" spans="2:13" s="4" customFormat="1" outlineLevel="1" x14ac:dyDescent="0.4">
      <c r="B749" s="20"/>
      <c r="C749" s="151"/>
      <c r="D749" s="136"/>
      <c r="E749" s="136"/>
      <c r="F749" s="138"/>
      <c r="G749" s="137"/>
      <c r="H749" s="1"/>
      <c r="I749" s="43"/>
      <c r="J749" s="27" t="str">
        <f t="shared" si="23"/>
        <v/>
      </c>
      <c r="K749" s="91" t="str">
        <f>IFERROR(IF(C749&gt;0,IF(ISBLANK(F749),"Insert unit",IF(OR(ISBLANK(F749),ISBLANK(D749),ISBLANK(E749)),"Insert data",(IF(F749="kg(fertiliser)/HA",G749*D749,G749)*INDEX(K_Fertiliser_EF,MATCH("K2O fertiliser (unspecified)",K_fertilisers,0))/F717)/1000)),""),"")</f>
        <v/>
      </c>
      <c r="L749" s="39"/>
      <c r="M749" s="35"/>
    </row>
    <row r="750" spans="2:13" s="4" customFormat="1" outlineLevel="1" x14ac:dyDescent="0.4">
      <c r="B750" s="20"/>
      <c r="C750" s="151"/>
      <c r="D750" s="136"/>
      <c r="E750" s="136"/>
      <c r="F750" s="138"/>
      <c r="G750" s="137"/>
      <c r="H750" s="1"/>
      <c r="I750" s="43"/>
      <c r="J750" s="27" t="str">
        <f t="shared" si="23"/>
        <v/>
      </c>
      <c r="K750" s="91" t="str">
        <f>IFERROR(IF(C750&gt;0,IF(ISBLANK(F750),"Insert unit",IF(OR(ISBLANK(F750),ISBLANK(D750),ISBLANK(E750)),"Insert data",(IF(F750="kg(fertiliser)/HA",G750*D750,G750)*INDEX(K_Fertiliser_EF,MATCH("K2O fertiliser (unspecified)",K_fertilisers,0))/F717)/1000)),""),"")</f>
        <v/>
      </c>
      <c r="L750" s="39"/>
      <c r="M750" s="35"/>
    </row>
    <row r="751" spans="2:13" s="4" customFormat="1" outlineLevel="1" x14ac:dyDescent="0.4">
      <c r="B751" s="20"/>
      <c r="C751" s="151"/>
      <c r="D751" s="136"/>
      <c r="E751" s="136"/>
      <c r="F751" s="138"/>
      <c r="G751" s="137"/>
      <c r="H751" s="1"/>
      <c r="I751" s="43"/>
      <c r="J751" s="27" t="str">
        <f t="shared" si="23"/>
        <v/>
      </c>
      <c r="K751" s="91" t="str">
        <f>IFERROR(IF(C751&gt;0,IF(ISBLANK(F751),"Insert unit",IF(OR(ISBLANK(F751),ISBLANK(D751),ISBLANK(E751)),"Insert data",(IF(F751="kg(fertiliser)/HA",G751*D751,G751)*INDEX(K_Fertiliser_EF,MATCH("K2O fertiliser (unspecified)",K_fertilisers,0))/F717)/1000)),""),"")</f>
        <v/>
      </c>
      <c r="L751" s="39"/>
      <c r="M751" s="35"/>
    </row>
    <row r="752" spans="2:13" s="14" customFormat="1" outlineLevel="1" x14ac:dyDescent="0.4">
      <c r="B752" s="23"/>
      <c r="C752" s="166" t="s">
        <v>148</v>
      </c>
      <c r="D752" s="166" t="s">
        <v>149</v>
      </c>
      <c r="E752" s="166" t="s">
        <v>138</v>
      </c>
      <c r="F752" s="166" t="s">
        <v>139</v>
      </c>
      <c r="G752" s="166" t="s">
        <v>140</v>
      </c>
      <c r="H752" s="24"/>
      <c r="I752" s="42"/>
      <c r="J752" s="166" t="s">
        <v>148</v>
      </c>
      <c r="K752" s="164" t="s">
        <v>141</v>
      </c>
      <c r="L752" s="37"/>
      <c r="M752" s="63"/>
    </row>
    <row r="753" spans="2:13" s="4" customFormat="1" outlineLevel="1" x14ac:dyDescent="0.4">
      <c r="B753" s="20"/>
      <c r="C753" s="617" t="str">
        <f>IF(D713="Do not use defaults", "", "Lime fertiliser (CaO)")</f>
        <v/>
      </c>
      <c r="D753" s="618" t="str" cm="1">
        <f t="array" ref="D753">IF(D713="Do not use defaults", "",INDEX(Other_fertiliser_nutrient_composition,MATCH(C753,Other_fertilisers,0)))</f>
        <v/>
      </c>
      <c r="E753" s="618" t="str">
        <f>IF(D713="Do not use defaults", "",INDEX(Other_fertiliser_N_compostion,MATCH(C753,Other_fertilisers,0)))</f>
        <v/>
      </c>
      <c r="F753" s="27" t="str">
        <f>IF(D713="Do not use defaults","", "kg(nutrient)/Ha")</f>
        <v/>
      </c>
      <c r="G753" s="619" t="str">
        <f>IF(D713="Do not use defaults", "",VLOOKUP(D713,Default_crop_data[],6,FALSE))</f>
        <v/>
      </c>
      <c r="H753" s="1"/>
      <c r="I753" s="43"/>
      <c r="J753" s="27" t="str">
        <f>IF(C753&gt;0,C753,"")</f>
        <v/>
      </c>
      <c r="K753" s="91" t="str">
        <f>IFERROR(IF(C753&gt;0,IF(ISBLANK(F753),"Insert unit",IF(ISBLANK(G753),"Insert data",(IF(F753="kg(fertiliser)/HA",G753*D753,G753)*INDEX(Other_fertiliser_EF,MATCH(C753,Other_fertilisers,0))/F717)/1000)),""),"")</f>
        <v/>
      </c>
      <c r="L753" s="39"/>
      <c r="M753" s="35"/>
    </row>
    <row r="754" spans="2:13" s="4" customFormat="1" outlineLevel="1" x14ac:dyDescent="0.4">
      <c r="B754" s="20"/>
      <c r="C754" s="151"/>
      <c r="D754" s="92" t="str">
        <f>IF(C754&gt;0,INDEX(Other_fertiliser_nutrient_composition,MATCH(C754,Other_fertilisers,0)),"")</f>
        <v/>
      </c>
      <c r="E754" s="92" t="str">
        <f>IF(C754&gt;0,INDEX(Other_fertiliser_N_compostion,MATCH(C754,Other_fertilisers,0)),"")</f>
        <v/>
      </c>
      <c r="F754" s="138"/>
      <c r="G754" s="137"/>
      <c r="H754" s="1"/>
      <c r="I754" s="43"/>
      <c r="J754" s="27" t="str">
        <f>IF(C754&gt;0,C754,"")</f>
        <v/>
      </c>
      <c r="K754" s="91" t="str">
        <f>IFERROR(IF(C754&gt;0,IF(ISBLANK(F754),"Insert unit",IF(ISBLANK(G754),"Insert data",(IF(F754="kg(fertiliser)/HA",G754*D754,G754)*INDEX(Other_fertiliser_EF,MATCH(C754,Other_fertilisers,0))/F717)/1000)),""),"")</f>
        <v/>
      </c>
      <c r="L754" s="39"/>
      <c r="M754" s="35"/>
    </row>
    <row r="755" spans="2:13" s="4" customFormat="1" outlineLevel="1" x14ac:dyDescent="0.4">
      <c r="B755" s="20"/>
      <c r="C755" s="151"/>
      <c r="D755" s="92" t="str">
        <f>IF(C755&gt;0,INDEX(Other_fertiliser_nutrient_composition,MATCH(C755,Other_fertilisers,0)),"")</f>
        <v/>
      </c>
      <c r="E755" s="92" t="str">
        <f>IF(C755&gt;0,INDEX(Other_fertiliser_N_compostion,MATCH(C755,Other_fertilisers,0)),"")</f>
        <v/>
      </c>
      <c r="F755" s="138"/>
      <c r="G755" s="137"/>
      <c r="H755" s="1"/>
      <c r="I755" s="43"/>
      <c r="J755" s="27" t="str">
        <f>IF(C755&gt;0,C755,"")</f>
        <v/>
      </c>
      <c r="K755" s="91" t="str">
        <f>IFERROR(IF(C755&gt;0,IF(ISBLANK(F755),"Insert unit",IF(ISBLANK(G755),"Insert data",(IF(F755="kg(fertiliser)/HA",G755*D755,G755)*INDEX(Other_fertiliser_EF,MATCH(C755,Other_fertilisers,0))/F717)/1000)),""),"")</f>
        <v/>
      </c>
      <c r="L755" s="39"/>
      <c r="M755" s="35"/>
    </row>
    <row r="756" spans="2:13" s="4" customFormat="1" outlineLevel="1" x14ac:dyDescent="0.4">
      <c r="B756" s="20"/>
      <c r="C756" s="151"/>
      <c r="D756" s="92" t="str">
        <f>IF(C756&gt;0,INDEX(Other_fertiliser_nutrient_composition,MATCH(C756,Other_fertilisers,0)),"")</f>
        <v/>
      </c>
      <c r="E756" s="92" t="str">
        <f>IF(C756&gt;0,INDEX(Other_fertiliser_N_compostion,MATCH(C756,Other_fertilisers,0)),"")</f>
        <v/>
      </c>
      <c r="F756" s="138"/>
      <c r="G756" s="137"/>
      <c r="H756" s="1"/>
      <c r="I756" s="43"/>
      <c r="J756" s="27" t="str">
        <f>IF(C756&gt;0,C756,"")</f>
        <v/>
      </c>
      <c r="K756" s="91" t="str">
        <f>IFERROR(IF(C756&gt;0,IF(ISBLANK(F756),"Insert unit",IF(ISBLANK(G756),"Insert data",(IF(F756="kg(fertiliser)/HA",G756*D756,G756)*INDEX(Other_fertiliser_EF,MATCH(C756,Other_fertilisers,0))/F717)/1000)),""),"")</f>
        <v/>
      </c>
      <c r="L756" s="39"/>
      <c r="M756" s="35"/>
    </row>
    <row r="757" spans="2:13" s="4" customFormat="1" outlineLevel="1" x14ac:dyDescent="0.4">
      <c r="B757" s="20"/>
      <c r="C757" s="151"/>
      <c r="D757" s="92" t="str">
        <f>IF(C757&gt;0,INDEX(Other_fertiliser_nutrient_composition,MATCH(C757,Other_fertilisers,0)),"")</f>
        <v/>
      </c>
      <c r="E757" s="92" t="str">
        <f>IF(C757&gt;0,INDEX(Other_fertiliser_N_compostion,MATCH(C757,Other_fertilisers,0)),"")</f>
        <v/>
      </c>
      <c r="F757" s="138"/>
      <c r="G757" s="137"/>
      <c r="H757" s="1"/>
      <c r="I757" s="43"/>
      <c r="J757" s="27" t="str">
        <f>IF(C757&gt;0,C757,"")</f>
        <v/>
      </c>
      <c r="K757" s="91" t="str">
        <f>IFERROR(IF(C757&gt;0,IF(ISBLANK(F757),"Insert unit",IF(ISBLANK(G757),"Insert data",(IF(F757="kg(fertiliser)/HA",G757*D757,G757)*INDEX(Other_fertiliser_EF,MATCH(C757,Other_fertilisers,0))/F717)/1000)),""),"")</f>
        <v/>
      </c>
      <c r="L757" s="39"/>
      <c r="M757" s="35"/>
    </row>
    <row r="758" spans="2:13" s="4" customFormat="1" outlineLevel="1" x14ac:dyDescent="0.4">
      <c r="B758" s="20"/>
      <c r="C758" s="24"/>
      <c r="D758" s="21"/>
      <c r="E758" s="21"/>
      <c r="F758" s="21"/>
      <c r="G758" s="21"/>
      <c r="H758" s="21"/>
      <c r="I758" s="41"/>
      <c r="J758" s="36"/>
      <c r="K758" s="36"/>
      <c r="L758" s="37"/>
      <c r="M758" s="35"/>
    </row>
    <row r="759" spans="2:13" s="4" customFormat="1" outlineLevel="1" x14ac:dyDescent="0.4">
      <c r="B759" s="20"/>
      <c r="C759" s="185" t="s">
        <v>150</v>
      </c>
      <c r="D759" s="21"/>
      <c r="G759" s="21"/>
      <c r="H759" s="21"/>
      <c r="I759" s="41"/>
      <c r="J759" s="36"/>
      <c r="K759" s="36"/>
      <c r="L759" s="37"/>
      <c r="M759" s="35"/>
    </row>
    <row r="760" spans="2:13" s="4" customFormat="1" outlineLevel="1" x14ac:dyDescent="0.4">
      <c r="B760" s="20"/>
      <c r="C760" s="166" t="s">
        <v>151</v>
      </c>
      <c r="D760" s="164" t="s">
        <v>140</v>
      </c>
      <c r="I760" s="41"/>
      <c r="J760" s="36"/>
      <c r="K760" s="164" t="s">
        <v>141</v>
      </c>
      <c r="L760" s="37"/>
      <c r="M760" s="35"/>
    </row>
    <row r="761" spans="2:13" s="4" customFormat="1" outlineLevel="1" x14ac:dyDescent="0.4">
      <c r="B761" s="20"/>
      <c r="C761" s="152" t="s">
        <v>152</v>
      </c>
      <c r="D761" s="30" t="str">
        <f>IFERROR(SUM(IFERROR(IF(E720="kg(fertiliser)/Ha",F720*D720,F720),0),IFERROR(IF(E721="kg(fertiliser)/Ha",F721*D721,F721),0),IFERROR(IF(E722="kg(fertiliser)/Ha",F722*D722,F722),0),IFERROR(IF(E723="kg(fertiliser)/Ha",F723*D723,F723),0),IFERROR(IF(E724="kg(fertiliser)/Ha",F724*D724,F724),0),IFERROR(IF(E725="kg(fertiliser)/Ha",F725*D725,F725),0),IFERROR(IF(E726="kg(fertiliser)/Ha",F726*D726,F726),0),IFERROR(IF(E728="kg(fertiliser)/Ha",F728*D728,IF(E728="kg(nitrogen)/Ha",F728,F728*1000*D728)),0),IFERROR(IF(E729="kg(fertiliser)/Ha",F729*D729,IF(E729="kg(nitrogen)/Ha",F729,F729*1000*D729)),0),IFERROR(IF(E730="kg(fertiliser)/Ha",F730*D730,IF(E730="kg(nitrogen)/Ha",F730,F730*1000*D730)),0),IFERROR(IF(E731="kg(fertiliser)/Ha",F731*D731,IF(E731="kg(nitrogen)/Ha",F731,F731*1000*D731)),0),IFERROR(IF(E732="kg(fertiliser)/Ha",F732*D732,IF(E732="kg(nitrogen)/Ha",F732,F732*1000*D732)),0),IFERROR(IF(E733="kg(fertiliser)/Ha",F733*D733,IF(E733="kg(nitrogen)/Ha",F733,F733*1000*D733)),0),IFERROR(IF(E735="kg(fertiliser)/Ha",F735*D735,IF(E735="kg(nitrogen)/Ha",F735,F735*1000*D735)),0),IFERROR(IF(F737="kg(fertiliser)/Ha",G737*E737,G737*E737/D737),0),IFERROR(IF(F738="kg(fertiliser)/Ha",G738*E738,G738*E738/D738),0),IFERROR(IF(F739="kg(fertiliser)/Ha",G739*E739,G739*E739/D739),0),IFERROR(IF(F740="kg(fertiliser)/Ha",G740*E740,G740*E740/D740),0),IFERROR(IF(F741="kg(fertiliser)/Ha",G741*E741,G741*E741/D741),0),IFERROR(IF(F742="kg(fertiliser)/Ha",G742*E742,G742*E742/D742),0),IFERROR(IF(F743="kg(fertiliser)/Ha",G743*E743,G743*E743/D743),0),IFERROR(IF(F745="kg(fertiliser)/Ha",G745*E745,G745*E745/D745),0),IFERROR(IF(F746="kg(fertiliser)/Ha",G746*E746,G746*E746/D746),0),IFERROR(IF(F747="kg(fertiliser)/Ha",G747*E747,G747*E747/D747),0),IFERROR(IF(F748="kg(fertiliser)/Ha",G748*E748,G748*E748/D748),0),IFERROR(IF(F749="kg(fertiliser)/Ha",G749*E749,G749*E749/D749),0),IFERROR(IF(F750="kg(fertiliser)/Ha",G750*E750,G750*E750/D750),0),IFERROR(IF(F751="kg(fertiliser)/Ha",G751*E751,G751*E751/D751),0),IFERROR(IF(F753="kg(fertiliser)/Ha",G753*E753,G753*E753/D753),0),IFERROR(IF(F754="kg(fertiliser)/Ha",G754*E754,G754*E754/D754),0),IFERROR(IF(F755="kg(fertiliser)/Ha",G755*E755,G755*E755/D755),0),IFERROR(IF(F756="kg(fertiliser)/Ha",G756*E756,G756*E756/D756),0),IFERROR(IF(F757="kg(fertiliser)/Ha",G757*E757,G757*E757/D757),0)), "")</f>
        <v/>
      </c>
      <c r="E761" s="1"/>
      <c r="I761" s="43"/>
      <c r="J761" s="164" t="s">
        <v>153</v>
      </c>
      <c r="K761" s="52" t="str">
        <f>IFERROR(SUM(IFERROR(IF(E720="kg(fertiliser)/Ha",F720*D720,F720)*INDEX(Soil_EFs,MATCH("Inorganic",Soil_EFs_N_type,0)),0),IFERROR(IF(E721="kg(fertiliser)/Ha",F721*D721,F721)*INDEX(Soil_EFs,MATCH("Inorganic",Soil_EFs_N_type,0)),0),IFERROR(IF(E722="kg(fertiliser)/Ha",F722*D722,F722)*INDEX(Soil_EFs,MATCH("Inorganic",Soil_EFs_N_type,0)),0),IFERROR(IF(E723="kg(fertiliser)/Ha",F723*D723,F723)*INDEX(Soil_EFs,MATCH("Inorganic",Soil_EFs_N_type,0)),0),IFERROR(IF(E724="kg(fertiliser)/Ha",F724*D724,F724)*INDEX(Soil_EFs,MATCH("Inorganic",Soil_EFs_N_type,0)),0),IFERROR(IF(E725="kg(fertiliser)/Ha",F725*D725,F725)*INDEX(Soil_EFs,MATCH("Inorganic",Soil_EFs_N_type,0)),0),IFERROR(IF(E726="kg(fertiliser)/Ha",F726*D726,F726)*INDEX(Soil_EFs,MATCH("Inorganic",Soil_EFs_N_type,0)),0),IFERROR(IF(E728="kg(fertiliser)/HA",F728*D728,IF(E728="t(fertiliser)/Ha",F728*1000*D728,F728))*INDEX(Soil_EFs,MATCH("organic",Soil_EFs_N_type,0)),0),IFERROR(IF(E729="kg(fertiliser)/HA",F729*D729,IF(E729="t(fertiliser)/Ha",F729*1000*D729,F729))*INDEX(Soil_EFs,MATCH("organic",Soil_EFs_N_type,0)),0),IFERROR(IF(E730="kg(fertiliser)/HA",F730*D730,IF(E730="t(fertiliser)/Ha",F730*1000*D730,F730))*INDEX(Soil_EFs,MATCH("organic",Soil_EFs_N_type,0)),0),IFERROR(IF(E731="kg(fertiliser)/HA",F731*D731,IF(E731="t(fertiliser)/Ha",F731*1000*D731,F731))*INDEX(Soil_EFs,MATCH("organic",Soil_EFs_N_type,0)),0),IFERROR(IF(E732="kg(fertiliser)/HA",F732*D732,IF(E732="t(fertiliser)/Ha",F732*1000*D732,F732))*INDEX(Soil_EFs,MATCH("organic",Soil_EFs_N_type,0)),0),IFERROR(IF(E733="kg(fertiliser)/HA",F733*D733,IF(E733="t(fertiliser)/Ha",F733*1000*D733,F733))*INDEX(Soil_EFs,MATCH("organic",Soil_EFs_N_type,0)),0),IFERROR(IF(E735="kg(fertiliser)/HA",F735*D735,IF(E735="t(fertiliser)/Ha",F735*1000*D735,F735))*'Reference values'!$D$348,0),IFERROR(IF(F737="kg(fertiliser)/Ha",G737*E737,G737*E737/D737)*INDEX(Soil_EFs,MATCH("Inorganic",Soil_EFs_N_type,0)),0),IFERROR(IF(F738="kg(fertiliser)/Ha",G738*E738,G738*E738/D738)*INDEX(Soil_EFs,MATCH("Inorganic",Soil_EFs_N_type,0)),0),IFERROR(IF(F739="kg(fertiliser)/Ha",G739*E739,G739*E739/D739)*INDEX(Soil_EFs,MATCH("Inorganic",Soil_EFs_N_type,0)),0),IFERROR(IF(F740="kg(fertiliser)/Ha",G740*E740,G740*E740/D740)*INDEX(Soil_EFs,MATCH("Inorganic",Soil_EFs_N_type,0)),0),IFERROR(IF(F741="kg(fertiliser)/Ha",G741*E741,G741*E741/D741)*INDEX(Soil_EFs,MATCH("Inorganic",Soil_EFs_N_type,0)),0),IFERROR(IF(F742="kg(fertiliser)/Ha",G742*E742,G742*E742/D742)*INDEX(Soil_EFs,MATCH("Inorganic",Soil_EFs_N_type,0)),0),IFERROR(IF(F743="kg(fertiliser)/Ha",G743*E743,G743*E743/D743)*INDEX(Soil_EFs,MATCH("Inorganic",Soil_EFs_N_type,0)),0),IFERROR(IF(F745="kg(fertiliser)/Ha",G745*E745,G745*E745/D745)*INDEX(Soil_EFs,MATCH("Inorganic",Soil_EFs_N_type,0)),0),IFERROR(IF(F746="kg(fertiliser)/Ha",G746*E746,G746*E746/D746)*INDEX(Soil_EFs,MATCH("Inorganic",Soil_EFs_N_type,0)),0),IFERROR(IF(F747="kg(fertiliser)/Ha",G747*E747,G747*E747/D747)*INDEX(Soil_EFs,MATCH("Inorganic",Soil_EFs_N_type,0)),0),IFERROR(IF(F748="kg(fertiliser)/Ha",G748*E748,G748*E748/D748)*INDEX(Soil_EFs,MATCH("Inorganic",Soil_EFs_N_type,0)),0),IFERROR(IF(F749="kg(fertiliser)/Ha",G749*E749,G749*E749/D749)*INDEX(Soil_EFs,MATCH("Inorganic",Soil_EFs_N_type,0)),0),IFERROR(IF(F750="kg(fertiliser)/Ha",G750*E750,G750*E750/D750)*INDEX(Soil_EFs,MATCH("Inorganic",Soil_EFs_N_type,0)),0),IFERROR(IF(F751="kg(fertiliser)/Ha",G751*E751,G751*E751/D751)*INDEX(Soil_EFs,MATCH("Inorganic",Soil_EFs_N_type,0)),0),IFERROR(IF(F753="kg(fertiliser)/Ha",G753*E753,G753*E753/D753)*INDEX(Soil_EFs,MATCH("Inorganic",Soil_EFs_N_type,0)),0),IFERROR(IF(F754="kg(fertiliser)/Ha",G754*E754,G754*E754/D754)*INDEX(Soil_EFs,MATCH("Inorganic",Soil_EFs_N_type,0)),0),IFERROR(IF(F755="kg(fertiliser)/Ha",G755*E755,G755*E755/D755)*INDEX(Soil_EFs,MATCH("Inorganic",Soil_EFs_N_type,0)),0),IFERROR(IF(F756="kg(fertiliser)/Ha",G756*E756,G756*E756/D756)*INDEX(Soil_EFs,MATCH("Inorganic",Soil_EFs_N_type,0)),0),IFERROR(IF(F757="kg(fertiliser)/Ha",G757*E757,G757*E757/D757)*INDEX(Soil_EFs,MATCH),0))/F717,"")</f>
        <v/>
      </c>
      <c r="L761" s="38"/>
      <c r="M761" s="35"/>
    </row>
    <row r="762" spans="2:13" s="4" customFormat="1" ht="14.25" customHeight="1" outlineLevel="1" x14ac:dyDescent="0.4">
      <c r="B762" s="20"/>
      <c r="C762" s="24"/>
      <c r="D762" s="21"/>
      <c r="E762" s="21"/>
      <c r="F762" s="21"/>
      <c r="G762" s="21"/>
      <c r="H762" s="21"/>
      <c r="I762" s="41"/>
      <c r="J762" s="36"/>
      <c r="K762" s="36"/>
      <c r="L762" s="37"/>
      <c r="M762" s="35"/>
    </row>
    <row r="763" spans="2:13" s="4" customFormat="1" outlineLevel="1" x14ac:dyDescent="0.4">
      <c r="B763" s="20"/>
      <c r="C763" s="150" t="s">
        <v>154</v>
      </c>
      <c r="D763" s="21"/>
      <c r="E763" s="21"/>
      <c r="F763" s="21"/>
      <c r="G763" s="21"/>
      <c r="H763" s="21"/>
      <c r="I763" s="41"/>
      <c r="J763" s="36"/>
      <c r="K763" s="36"/>
      <c r="L763" s="37"/>
      <c r="M763" s="35"/>
    </row>
    <row r="764" spans="2:13" s="14" customFormat="1" ht="30.6" outlineLevel="1" x14ac:dyDescent="0.4">
      <c r="B764" s="23"/>
      <c r="C764" s="166" t="s">
        <v>155</v>
      </c>
      <c r="D764" s="166" t="s">
        <v>156</v>
      </c>
      <c r="E764" s="166" t="s">
        <v>139</v>
      </c>
      <c r="F764" s="166" t="s">
        <v>140</v>
      </c>
      <c r="G764" s="24"/>
      <c r="H764" s="24"/>
      <c r="I764" s="42"/>
      <c r="J764" s="166" t="s">
        <v>155</v>
      </c>
      <c r="K764" s="164" t="s">
        <v>141</v>
      </c>
      <c r="L764" s="37"/>
      <c r="M764" s="63"/>
    </row>
    <row r="765" spans="2:13" s="4" customFormat="1" outlineLevel="1" x14ac:dyDescent="0.4">
      <c r="B765" s="20"/>
      <c r="C765" s="617" t="str">
        <f>IF(D713="Do not use defaults", "", "Pesticides")</f>
        <v/>
      </c>
      <c r="D765" s="620" t="str">
        <f>IF(C765="Pesticides", 100%, "")</f>
        <v/>
      </c>
      <c r="E765" s="27" t="str">
        <f>IF(C765="Pesticides", "kg(active ingredient)/Ha", "")</f>
        <v/>
      </c>
      <c r="F765" s="27" t="str">
        <f>IF(D713="Do not use defaults","",VLOOKUP(D713,Default_crop_data[],7,FALSE))</f>
        <v/>
      </c>
      <c r="G765" s="1"/>
      <c r="H765" s="1"/>
      <c r="I765" s="43"/>
      <c r="J765" s="27" t="str">
        <f>IF(C765&gt;0,C765,"")</f>
        <v/>
      </c>
      <c r="K765" s="91" t="str">
        <f>IFERROR(IF(C765&gt;0,IF(ISBLANK(E765),"Insert unit",IF(OR(ISBLANK(F765),AND(ISBLANK(D765),E765="kg(pesticide)/Ha")),"Insert data",(IF(E765="kg(pesticide)/HA",F765*D765,F765)*INDEX(Pesticide_EF,MATCH("Pesticide (any)",Pesticides,0))/F717)/1000)),""),"")</f>
        <v/>
      </c>
      <c r="L765" s="39"/>
      <c r="M765" s="35"/>
    </row>
    <row r="766" spans="2:13" s="4" customFormat="1" outlineLevel="1" x14ac:dyDescent="0.4">
      <c r="B766" s="20"/>
      <c r="C766" s="151"/>
      <c r="D766" s="139"/>
      <c r="E766" s="138"/>
      <c r="F766" s="134"/>
      <c r="G766" s="1"/>
      <c r="H766" s="1"/>
      <c r="I766" s="43"/>
      <c r="J766" s="27" t="str">
        <f>IF(C766&gt;0,C766,"")</f>
        <v/>
      </c>
      <c r="K766" s="91" t="str">
        <f>IFERROR(IF(C766&gt;0,IF(ISBLANK(G766),"Insert data",(IF(F766="kg(fertiliser)/HA",G766*D766,G766)*INDEX(Other_fertiliser_EF,MATCH(C766,Other_fertilisers,0))/F717)/1000),""),"")</f>
        <v/>
      </c>
      <c r="L766" s="39"/>
      <c r="M766" s="35"/>
    </row>
    <row r="767" spans="2:13" s="4" customFormat="1" outlineLevel="1" x14ac:dyDescent="0.4">
      <c r="B767" s="20"/>
      <c r="C767" s="151"/>
      <c r="D767" s="139"/>
      <c r="E767" s="138"/>
      <c r="F767" s="134"/>
      <c r="G767" s="1"/>
      <c r="H767" s="1"/>
      <c r="I767" s="43"/>
      <c r="J767" s="27" t="str">
        <f>IF(C767&gt;0,C767,"")</f>
        <v/>
      </c>
      <c r="K767" s="91" t="str">
        <f>IFERROR(IF(C767&gt;0,IF(ISBLANK(G767),"Insert data",(IF(F767="kg(fertiliser)/HA",G767*D767,G767)*INDEX(Other_fertiliser_EF,MATCH(C767,Other_fertilisers,0))/F717)/1000),""),"")</f>
        <v/>
      </c>
      <c r="L767" s="39"/>
      <c r="M767" s="35"/>
    </row>
    <row r="768" spans="2:13" s="4" customFormat="1" outlineLevel="1" x14ac:dyDescent="0.4">
      <c r="B768" s="20"/>
      <c r="C768" s="151"/>
      <c r="D768" s="139"/>
      <c r="E768" s="138"/>
      <c r="F768" s="134"/>
      <c r="G768" s="1"/>
      <c r="H768" s="1"/>
      <c r="I768" s="43"/>
      <c r="J768" s="27" t="str">
        <f>IF(C768&gt;0,C768,"")</f>
        <v/>
      </c>
      <c r="K768" s="91" t="str">
        <f>IFERROR(IF(C768&gt;0,IF(ISBLANK(G768),"Insert data",(IF(F768="kg(fertiliser)/HA",G768*D768,G768)*INDEX(Other_fertiliser_EF,MATCH(C768,Other_fertilisers,0))/F717)/1000),""),"")</f>
        <v/>
      </c>
      <c r="L768" s="39"/>
      <c r="M768" s="35"/>
    </row>
    <row r="769" spans="2:13" s="4" customFormat="1" outlineLevel="1" x14ac:dyDescent="0.4">
      <c r="B769" s="20"/>
      <c r="C769" s="151"/>
      <c r="D769" s="139"/>
      <c r="E769" s="138"/>
      <c r="F769" s="134"/>
      <c r="G769" s="1"/>
      <c r="H769" s="1"/>
      <c r="I769" s="43"/>
      <c r="J769" s="27" t="str">
        <f>IF(C769&gt;0,C769,"")</f>
        <v/>
      </c>
      <c r="K769" s="91" t="str">
        <f>IFERROR(IF(C769&gt;0,IF(ISBLANK(G769),"Insert data",(IF(F769="kg(fertiliser)/HA",G769*D769,G769)*INDEX(Other_fertiliser_EF,MATCH(C769,Other_fertilisers,0))/F717)/1000),""),"")</f>
        <v/>
      </c>
      <c r="L769" s="39"/>
      <c r="M769" s="35"/>
    </row>
    <row r="770" spans="2:13" s="4" customFormat="1" outlineLevel="1" x14ac:dyDescent="0.4">
      <c r="B770" s="20"/>
      <c r="C770" s="24"/>
      <c r="D770" s="21"/>
      <c r="E770" s="21"/>
      <c r="F770" s="21"/>
      <c r="G770" s="21"/>
      <c r="H770" s="21"/>
      <c r="I770" s="41"/>
      <c r="J770" s="36"/>
      <c r="K770" s="36"/>
      <c r="L770" s="37"/>
      <c r="M770" s="35"/>
    </row>
    <row r="771" spans="2:13" s="4" customFormat="1" outlineLevel="1" x14ac:dyDescent="0.4">
      <c r="B771" s="20"/>
      <c r="C771" s="150" t="s">
        <v>157</v>
      </c>
      <c r="D771" s="21"/>
      <c r="E771" s="21"/>
      <c r="F771" s="21"/>
      <c r="G771" s="21"/>
      <c r="H771" s="21"/>
      <c r="I771" s="41"/>
      <c r="J771" s="36"/>
      <c r="K771" s="36"/>
      <c r="L771" s="37"/>
      <c r="M771" s="35"/>
    </row>
    <row r="772" spans="2:13" s="4" customFormat="1" outlineLevel="1" x14ac:dyDescent="0.4">
      <c r="B772" s="20"/>
      <c r="C772" s="167" t="s">
        <v>158</v>
      </c>
      <c r="D772" s="168" t="s">
        <v>151</v>
      </c>
      <c r="E772" s="168" t="s">
        <v>140</v>
      </c>
      <c r="F772" s="21"/>
      <c r="G772" s="21"/>
      <c r="H772" s="21"/>
      <c r="I772" s="41"/>
      <c r="J772" s="164" t="s">
        <v>158</v>
      </c>
      <c r="K772" s="164" t="s">
        <v>141</v>
      </c>
      <c r="L772" s="37"/>
      <c r="M772" s="35"/>
    </row>
    <row r="773" spans="2:13" s="4" customFormat="1" outlineLevel="1" x14ac:dyDescent="0.4">
      <c r="B773" s="20"/>
      <c r="C773" s="617" t="str">
        <f>IF(D713="Silage grass", "Grass", IF(D713="Do not use defaults", "", D713))</f>
        <v/>
      </c>
      <c r="D773" s="27" t="str">
        <f>IF(C773=D713, "kg/Ha", "")</f>
        <v/>
      </c>
      <c r="E773" s="30" t="str">
        <f>IF(D713="Do not use defaults", "",VLOOKUP(D713,Default_crop_data[],8,FALSE))</f>
        <v/>
      </c>
      <c r="F773" s="1"/>
      <c r="G773" s="1"/>
      <c r="H773" s="1"/>
      <c r="I773" s="43"/>
      <c r="J773" s="27" t="str">
        <f>IF(C773&gt;0,C773,"")</f>
        <v/>
      </c>
      <c r="K773" s="52" t="str">
        <f>IF(C773&gt;0,IFERROR(E773*INDEX(Seed_EF,MATCH(C773,Seeds,0))/F717/1000,""),"")</f>
        <v/>
      </c>
      <c r="L773" s="38"/>
      <c r="M773" s="35"/>
    </row>
    <row r="774" spans="2:13" s="4" customFormat="1" outlineLevel="1" x14ac:dyDescent="0.4">
      <c r="B774" s="20"/>
      <c r="C774" s="153"/>
      <c r="D774" s="138"/>
      <c r="E774" s="140"/>
      <c r="F774" s="1"/>
      <c r="G774" s="1"/>
      <c r="H774" s="1"/>
      <c r="I774" s="43"/>
      <c r="J774" s="27" t="str">
        <f>IF(C774&gt;0,C774,"")</f>
        <v/>
      </c>
      <c r="K774" s="52" t="str">
        <f>IF(C774&gt;0,IFERROR(E774*INDEX(Seed_EF,MATCH(C774,Seeds,0))/F718/1000,""),"")</f>
        <v/>
      </c>
      <c r="L774" s="38"/>
      <c r="M774" s="35"/>
    </row>
    <row r="775" spans="2:13" s="4" customFormat="1" outlineLevel="1" x14ac:dyDescent="0.4">
      <c r="B775" s="20"/>
      <c r="C775" s="24"/>
      <c r="D775" s="21"/>
      <c r="E775" s="21"/>
      <c r="F775" s="21"/>
      <c r="G775" s="21"/>
      <c r="H775" s="21"/>
      <c r="I775" s="41"/>
      <c r="J775" s="36"/>
      <c r="K775" s="36"/>
      <c r="L775" s="37"/>
      <c r="M775" s="35"/>
    </row>
    <row r="776" spans="2:13" s="12" customFormat="1" ht="15" customHeight="1" outlineLevel="1" x14ac:dyDescent="0.35">
      <c r="B776" s="20"/>
      <c r="C776" s="25" t="s">
        <v>159</v>
      </c>
      <c r="D776" s="1"/>
      <c r="E776" s="1"/>
      <c r="F776" s="1"/>
      <c r="G776" s="1"/>
      <c r="H776" s="1"/>
      <c r="I776" s="43"/>
      <c r="J776" s="34"/>
      <c r="K776" s="34"/>
      <c r="L776" s="44"/>
      <c r="M776" s="54"/>
    </row>
    <row r="777" spans="2:13" s="12" customFormat="1" ht="15" customHeight="1" outlineLevel="1" x14ac:dyDescent="0.35">
      <c r="B777" s="20"/>
      <c r="C777" s="166" t="s">
        <v>160</v>
      </c>
      <c r="D777" s="164" t="s">
        <v>151</v>
      </c>
      <c r="E777" s="164" t="s">
        <v>140</v>
      </c>
      <c r="F777" s="1"/>
      <c r="G777" s="1"/>
      <c r="H777" s="1"/>
      <c r="I777" s="43"/>
      <c r="J777" s="164" t="s">
        <v>160</v>
      </c>
      <c r="K777" s="164" t="s">
        <v>141</v>
      </c>
      <c r="L777" s="37"/>
      <c r="M777" s="54"/>
    </row>
    <row r="778" spans="2:13" s="12" customFormat="1" ht="15" customHeight="1" outlineLevel="1" x14ac:dyDescent="0.35">
      <c r="B778" s="20"/>
      <c r="C778" s="621" t="str">
        <f>IF(D713="Do not use defaults", "", "Diesel")</f>
        <v/>
      </c>
      <c r="D778" s="74" t="str">
        <f>IF(D713="Do not use defaults", "", "litres/Ha")</f>
        <v/>
      </c>
      <c r="E778" s="622" t="str">
        <f>IF(D713="Do not use defaults", "",VLOOKUP(D713,Default_crop_data[],9,FALSE))</f>
        <v/>
      </c>
      <c r="F778" s="1"/>
      <c r="G778" s="26"/>
      <c r="H778" s="1"/>
      <c r="I778" s="43"/>
      <c r="J778" s="27" t="str">
        <f>IF(C778&gt;0,C778,"")</f>
        <v/>
      </c>
      <c r="K778" s="52" t="str">
        <f>IF(D713="Do not use defaults", "", IFERROR(IF(C778&gt;0,IF(ISBLANK(E778),"Insert data",IF(D778="litres/Ha",E778*INDEX(Fuel_Densities,MATCH(C778,Fuels_for_Densities,0))/1000*INDEX(Fuel_LHV,MATCH(C778,Fuels_for_LHV,0))/F717/1000*INDEX(Fuel_EFs,MATCH(C778,Fuels_for_EF,0)),IF(D778="kg/Ha",E778*INDEX(Fuel_LHV,MATCH(C778,Fuels_for_LHV,0))/F717/1000*INDEX(Fuel_EFs,MATCH(C778,Fuels_for_EF,0)),IF(D778="tonnes/Ha",E778*INDEX(Fuel_LHV,MATCH(C778,Fuels_for_LHV,0))/F717*INDEX(Fuel_EFs,MATCH(C778,Fuels_for_EF,0)),"Insert unit")))),""),""))</f>
        <v/>
      </c>
      <c r="L778" s="40"/>
      <c r="M778" s="54"/>
    </row>
    <row r="779" spans="2:13" s="12" customFormat="1" ht="15" customHeight="1" outlineLevel="1" x14ac:dyDescent="0.35">
      <c r="B779" s="20"/>
      <c r="C779" s="621" t="str">
        <f>IF(D713="Do not use defaults", "", "Diesel")</f>
        <v/>
      </c>
      <c r="D779" s="74" t="str">
        <f>IF(D713="Do not use defaults", "", "litres/Ha")</f>
        <v/>
      </c>
      <c r="E779" s="622" t="str">
        <f>IF(D713="Do not use defaults", "",VLOOKUP(D713,Default_crop_data[],10,FALSE))</f>
        <v/>
      </c>
      <c r="F779" s="1"/>
      <c r="G779" s="1"/>
      <c r="H779" s="1"/>
      <c r="I779" s="43"/>
      <c r="J779" s="27" t="str">
        <f>IF(C779&gt;0,C779,"")</f>
        <v/>
      </c>
      <c r="K779" s="52" t="str">
        <f>IF(D713="Do not use defaults", "", IFERROR(IF(C779&gt;0,IF(ISBLANK(E779),"Insert data",IF(D779="litres/Ha",E779*INDEX(Fuel_Densities,MATCH(C779,Fuels_for_Densities,0))/1000*INDEX(Fuel_LHV,MATCH(C779,Fuels_for_LHV,0))/F717/1000*INDEX(Fuel_EFs,MATCH(C779,Fuels_for_EF,0)),IF(D779="kg/Ha",E779*INDEX(Fuel_LHV,MATCH(C779,Fuels_for_LHV,0))/F717/1000*INDEX(Fuel_EFs,MATCH(C779,Fuels_for_EF,0)),IF(D779="tonnes/Ha",E779*INDEX(Fuel_LHV,MATCH(C779,Fuels_for_LHV,0))/F717*INDEX(Fuel_EFs,MATCH(C779,Fuels_for_EF,0)),"Insert unit")))),""),""))</f>
        <v/>
      </c>
      <c r="L779" s="40"/>
      <c r="M779" s="54"/>
    </row>
    <row r="780" spans="2:13" s="12" customFormat="1" ht="15" customHeight="1" outlineLevel="1" x14ac:dyDescent="0.35">
      <c r="B780" s="20"/>
      <c r="C780" s="154"/>
      <c r="D780" s="141"/>
      <c r="E780" s="142"/>
      <c r="F780" s="1"/>
      <c r="G780" s="1"/>
      <c r="H780" s="1"/>
      <c r="I780" s="43"/>
      <c r="J780" s="27" t="str">
        <f>IF(C780&gt;0,C780,"")</f>
        <v/>
      </c>
      <c r="K780" s="52" t="str">
        <f>IFERROR(IF(C780&gt;0,IF(ISBLANK(E780),"Insert data",IF(D780="litres/Ha",E780*INDEX(Fuel_Densities,MATCH(C780,Fuels_for_Densities,0))/1000*INDEX(Fuel_LHV,MATCH(C780,Fuels_for_LHV,0))/F717/1000*INDEX(Fuel_EFs,MATCH(C780,Fuels_for_EF,0)),IF(D780="kg/Ha",E780*INDEX(Fuel_LHV,MATCH(C780,Fuels_for_LHV,0))/F717/1000*INDEX(Fuel_EFs,MATCH(C780,Fuels_for_EF,0)),IF(D780="tonnes/Ha",E780*INDEX(Fuel_LHV,MATCH(C780,Fuels_for_LHV,0))/F717*INDEX(Fuel_EFs,MATCH(C780,Fuels_for_EF,0)),"Insert unit")))),""),"")</f>
        <v/>
      </c>
      <c r="L780" s="40"/>
      <c r="M780" s="54"/>
    </row>
    <row r="781" spans="2:13" s="12" customFormat="1" ht="15" customHeight="1" outlineLevel="1" x14ac:dyDescent="0.35">
      <c r="B781" s="20"/>
      <c r="C781" s="154"/>
      <c r="D781" s="141"/>
      <c r="E781" s="142"/>
      <c r="F781" s="1"/>
      <c r="G781" s="1"/>
      <c r="H781" s="1"/>
      <c r="I781" s="43"/>
      <c r="J781" s="27" t="str">
        <f>IF(C781&gt;0,C781,"")</f>
        <v/>
      </c>
      <c r="K781" s="52" t="str">
        <f>IFERROR(IF(C781&gt;0,IF(ISBLANK(E781),"Insert data",IF(D781="litres/Ha",E781*INDEX(Fuel_Densities,MATCH(C781,Fuels_for_Densities,0))/1000*INDEX(Fuel_LHV,MATCH(C781,Fuels_for_LHV,0))/F717/1000*INDEX(Fuel_EFs,MATCH(C781,Fuels_for_EF,0)),IF(D781="kg/Ha",E781*INDEX(Fuel_LHV,MATCH(C781,Fuels_for_LHV,0))/F717/1000*INDEX(Fuel_EFs,MATCH(C781,Fuels_for_EF,0)),IF(D781="tonnes/Ha",E781*INDEX(Fuel_LHV,MATCH(C781,Fuels_for_LHV,0))/F717*INDEX(Fuel_EFs,MATCH(C781,Fuels_for_EF,0)),"Insert unit")))),""),"")</f>
        <v/>
      </c>
      <c r="L781" s="40"/>
      <c r="M781" s="54"/>
    </row>
    <row r="782" spans="2:13" s="4" customFormat="1" ht="13.5" customHeight="1" outlineLevel="1" x14ac:dyDescent="0.4">
      <c r="B782" s="20"/>
      <c r="C782" s="24"/>
      <c r="D782" s="21"/>
      <c r="E782" s="21"/>
      <c r="F782" s="21"/>
      <c r="G782" s="21"/>
      <c r="H782" s="21"/>
      <c r="I782" s="46"/>
      <c r="J782" s="58"/>
      <c r="K782" s="58"/>
      <c r="L782" s="59"/>
      <c r="M782" s="35"/>
    </row>
    <row r="783" spans="2:13" s="4" customFormat="1" ht="13.5" customHeight="1" outlineLevel="1" x14ac:dyDescent="0.4">
      <c r="B783" s="20"/>
      <c r="C783" s="661" t="s">
        <v>120</v>
      </c>
      <c r="D783" s="21"/>
      <c r="E783" s="21"/>
      <c r="F783" s="21"/>
      <c r="G783" s="21"/>
      <c r="H783" s="21"/>
      <c r="I783" s="21"/>
      <c r="J783" s="21"/>
      <c r="K783" s="21"/>
      <c r="L783" s="21"/>
      <c r="M783" s="35"/>
    </row>
    <row r="784" spans="2:13" s="4" customFormat="1" ht="13.5" customHeight="1" outlineLevel="1" x14ac:dyDescent="0.4">
      <c r="B784" s="20"/>
      <c r="C784" s="166" t="s">
        <v>161</v>
      </c>
      <c r="D784" s="622">
        <f xml:space="preserve"> IFERROR(( Feedstocks!D18 * (Feedstocks!E18 / IF(Feedstocks!I18="Default",  Feedstocks!J18, Feedstocks!K18)) /('Transport 1'!F369 * 'Feedstock conversion'!F367 * 'Transport 2'!F369)) /F717, 0)</f>
        <v>0</v>
      </c>
      <c r="E784" s="21"/>
      <c r="F784" s="21"/>
      <c r="G784" s="21"/>
      <c r="H784" s="21"/>
      <c r="I784" s="21"/>
      <c r="J784" s="21"/>
      <c r="K784" s="21"/>
      <c r="L784" s="21"/>
      <c r="M784" s="35"/>
    </row>
    <row r="785" spans="2:13" s="4" customFormat="1" ht="13.5" customHeight="1" outlineLevel="1" x14ac:dyDescent="0.4">
      <c r="B785" s="28"/>
      <c r="C785" s="155"/>
      <c r="D785" s="29"/>
      <c r="E785" s="29"/>
      <c r="F785" s="29"/>
      <c r="G785" s="29"/>
      <c r="H785" s="29"/>
      <c r="I785" s="29"/>
      <c r="J785" s="29"/>
      <c r="K785" s="29"/>
      <c r="L785" s="29"/>
      <c r="M785" s="60"/>
    </row>
    <row r="786" spans="2:13" s="4" customFormat="1" x14ac:dyDescent="0.4">
      <c r="C786" s="14"/>
    </row>
    <row r="787" spans="2:13" s="4" customFormat="1" hidden="1" x14ac:dyDescent="0.4">
      <c r="C787" s="14"/>
    </row>
    <row r="788" spans="2:13" s="4" customFormat="1" hidden="1" x14ac:dyDescent="0.4">
      <c r="C788" s="14"/>
    </row>
    <row r="789" spans="2:13" s="4" customFormat="1" hidden="1" x14ac:dyDescent="0.4">
      <c r="C789" s="14"/>
    </row>
    <row r="790" spans="2:13" s="4" customFormat="1" hidden="1" x14ac:dyDescent="0.4">
      <c r="C790" s="14"/>
    </row>
    <row r="791" spans="2:13" s="4" customFormat="1" hidden="1" x14ac:dyDescent="0.4">
      <c r="C791" s="14"/>
    </row>
    <row r="792" spans="2:13" s="4" customFormat="1" hidden="1" x14ac:dyDescent="0.4">
      <c r="C792" s="14"/>
    </row>
    <row r="793" spans="2:13" s="4" customFormat="1" hidden="1" x14ac:dyDescent="0.4">
      <c r="C793" s="14"/>
    </row>
    <row r="794" spans="2:13" s="4" customFormat="1" hidden="1" x14ac:dyDescent="0.4">
      <c r="C794" s="14"/>
    </row>
    <row r="795" spans="2:13" s="4" customFormat="1" hidden="1" x14ac:dyDescent="0.4">
      <c r="C795" s="14"/>
    </row>
    <row r="796" spans="2:13" s="4" customFormat="1" hidden="1" x14ac:dyDescent="0.4">
      <c r="C796" s="14"/>
    </row>
    <row r="797" spans="2:13" s="4" customFormat="1" hidden="1" x14ac:dyDescent="0.4">
      <c r="C797" s="14"/>
    </row>
    <row r="798" spans="2:13" s="4" customFormat="1" hidden="1" x14ac:dyDescent="0.4">
      <c r="C798" s="14"/>
    </row>
    <row r="799" spans="2:13" s="4" customFormat="1" hidden="1" x14ac:dyDescent="0.4">
      <c r="C799" s="14"/>
    </row>
    <row r="800" spans="2:13" s="4" customFormat="1" hidden="1" x14ac:dyDescent="0.4">
      <c r="C800" s="14"/>
    </row>
    <row r="801" spans="2:13" s="4" customFormat="1" hidden="1" x14ac:dyDescent="0.4">
      <c r="C801" s="14"/>
    </row>
    <row r="802" spans="2:13" s="4" customFormat="1" hidden="1" x14ac:dyDescent="0.4">
      <c r="C802" s="14"/>
    </row>
    <row r="803" spans="2:13" s="4" customFormat="1" hidden="1" x14ac:dyDescent="0.4">
      <c r="C803" s="14"/>
    </row>
    <row r="804" spans="2:13" s="4" customFormat="1" hidden="1" x14ac:dyDescent="0.4">
      <c r="C804" s="14"/>
    </row>
    <row r="805" spans="2:13" s="4" customFormat="1" hidden="1" x14ac:dyDescent="0.4">
      <c r="C805" s="14"/>
    </row>
    <row r="806" spans="2:13" s="4" customFormat="1" hidden="1" x14ac:dyDescent="0.4">
      <c r="C806" s="14"/>
    </row>
    <row r="807" spans="2:13" s="4" customFormat="1" hidden="1" x14ac:dyDescent="0.4">
      <c r="C807" s="14"/>
    </row>
    <row r="808" spans="2:13" s="4" customFormat="1" ht="19.2" x14ac:dyDescent="0.45">
      <c r="B808" s="754" t="str">
        <f>"Cultivation &amp; Harvesting"&amp;" - "&amp;Feedstocks!C19</f>
        <v xml:space="preserve">Cultivation &amp; Harvesting - </v>
      </c>
      <c r="C808" s="755"/>
      <c r="D808" s="755"/>
      <c r="E808" s="755"/>
      <c r="F808" s="755"/>
      <c r="G808" s="755"/>
      <c r="H808" s="755"/>
      <c r="I808" s="755"/>
      <c r="J808" s="755"/>
      <c r="K808" s="755"/>
      <c r="L808" s="755"/>
      <c r="M808" s="756"/>
    </row>
    <row r="809" spans="2:13" s="4" customFormat="1" outlineLevel="1" x14ac:dyDescent="0.4">
      <c r="B809" s="17"/>
      <c r="C809" s="184"/>
      <c r="D809" s="19"/>
      <c r="E809" s="19"/>
      <c r="F809" s="19"/>
      <c r="G809" s="19"/>
      <c r="H809" s="19"/>
      <c r="I809" s="19"/>
      <c r="J809" s="19"/>
      <c r="K809" s="19"/>
      <c r="L809" s="19"/>
      <c r="M809" s="50"/>
    </row>
    <row r="810" spans="2:13" s="4" customFormat="1" outlineLevel="1" x14ac:dyDescent="0.4">
      <c r="B810" s="20"/>
      <c r="C810" s="521" t="s">
        <v>46</v>
      </c>
      <c r="D810" s="751"/>
      <c r="E810" s="751"/>
      <c r="F810" s="751"/>
      <c r="G810" s="1"/>
      <c r="I810" s="303" t="s">
        <v>122</v>
      </c>
      <c r="J810" s="64"/>
      <c r="K810" s="47"/>
      <c r="L810" s="45"/>
      <c r="M810" s="35"/>
    </row>
    <row r="811" spans="2:13" s="4" customFormat="1" outlineLevel="1" x14ac:dyDescent="0.4">
      <c r="B811" s="20"/>
      <c r="C811" s="163" t="s">
        <v>123</v>
      </c>
      <c r="D811" s="753" t="str">
        <f>IF(Feedstocks!$H$19&gt;0,Feedstocks!$H$19,"")</f>
        <v/>
      </c>
      <c r="E811" s="753"/>
      <c r="F811" s="753"/>
      <c r="G811" s="76"/>
      <c r="H811" s="94"/>
      <c r="I811" s="41"/>
      <c r="J811" s="36"/>
      <c r="K811" s="164" t="s">
        <v>124</v>
      </c>
      <c r="L811" s="37"/>
      <c r="M811" s="35"/>
    </row>
    <row r="812" spans="2:13" s="4" customFormat="1" outlineLevel="1" x14ac:dyDescent="0.4">
      <c r="B812" s="20"/>
      <c r="C812" s="24"/>
      <c r="D812" s="21"/>
      <c r="E812" s="21"/>
      <c r="F812" s="21"/>
      <c r="G812" s="21"/>
      <c r="H812" s="21"/>
      <c r="I812" s="41"/>
      <c r="J812" s="169" t="s">
        <v>125</v>
      </c>
      <c r="K812" s="68" t="str">
        <f>IFERROR(IF('Feedstock conversion'!E413="Yes",(K815/(IF(Feedstocks!I19="default",Feedstocks!J19,IF(Feedstocks!I19="actual",Feedstocks!K19,"Insert data (plant inputs)"))/Feedstocks!E19*'Transport 1'!F419*'Feedstock conversion'!D417*'Transport 2'!F419*('Digestion &amp; outputs'!$G$24/1000)))*IF('Feedstock conversion'!E442="Yes",'Feedstock conversion'!J445,1)*'Digestion &amp; outputs'!$K$23,IF('Feedstock conversion'!E413="No",(K815/(IF(Feedstocks!I19="default",Feedstocks!J19,IF(Feedstocks!I19="actual",Feedstocks!K19,"Insert data (plant inputs)"))/Feedstocks!E19*'Transport 1'!F419*'Transport 2'!F419*('Digestion &amp; outputs'!$G$24/1000)))*'Digestion &amp; outputs'!$K$23,"")),"")</f>
        <v/>
      </c>
      <c r="L812" s="37"/>
      <c r="M812" s="35"/>
    </row>
    <row r="813" spans="2:13" s="4" customFormat="1" ht="18" customHeight="1" outlineLevel="1" x14ac:dyDescent="0.4">
      <c r="B813" s="20"/>
      <c r="C813" s="286" t="s">
        <v>126</v>
      </c>
      <c r="D813" s="673" t="s">
        <v>127</v>
      </c>
      <c r="G813" s="21"/>
      <c r="H813" s="21"/>
      <c r="I813" s="41"/>
      <c r="J813" s="67"/>
      <c r="K813" s="67"/>
      <c r="L813" s="37"/>
      <c r="M813" s="35"/>
    </row>
    <row r="814" spans="2:13" s="4" customFormat="1" outlineLevel="1" x14ac:dyDescent="0.4">
      <c r="B814" s="20"/>
      <c r="C814" s="14"/>
      <c r="G814" s="21"/>
      <c r="H814" s="21"/>
      <c r="I814" s="41"/>
      <c r="J814" s="36"/>
      <c r="K814" s="164" t="s">
        <v>128</v>
      </c>
      <c r="L814" s="37"/>
      <c r="M814" s="35"/>
    </row>
    <row r="815" spans="2:13" s="4" customFormat="1" outlineLevel="1" x14ac:dyDescent="0.4">
      <c r="B815" s="20"/>
      <c r="C815" s="150" t="s">
        <v>129</v>
      </c>
      <c r="G815" s="21"/>
      <c r="H815" s="21"/>
      <c r="I815" s="41"/>
      <c r="J815" s="169" t="s">
        <v>130</v>
      </c>
      <c r="K815" s="52">
        <f>IFERROR(SUM(K820:K826,K828:K833,K837:K843,K845:K851,K853:K857,K861,K865:K869,K873,K878:K881),"")</f>
        <v>0</v>
      </c>
      <c r="L815" s="37"/>
      <c r="M815" s="35"/>
    </row>
    <row r="816" spans="2:13" s="4" customFormat="1" outlineLevel="1" x14ac:dyDescent="0.4">
      <c r="B816" s="20"/>
      <c r="C816" s="166" t="s">
        <v>131</v>
      </c>
      <c r="D816" s="164" t="s">
        <v>132</v>
      </c>
      <c r="E816" s="164" t="s">
        <v>133</v>
      </c>
      <c r="F816" s="164" t="s">
        <v>134</v>
      </c>
      <c r="G816" s="748" t="str">
        <f>IF(C817="actual","Must insert actual data for fertiliser application","")</f>
        <v/>
      </c>
      <c r="H816" s="21"/>
      <c r="I816" s="46"/>
      <c r="J816" s="58"/>
      <c r="K816" s="58"/>
      <c r="L816" s="59"/>
      <c r="M816" s="35"/>
    </row>
    <row r="817" spans="2:13" s="4" customFormat="1" outlineLevel="1" x14ac:dyDescent="0.4">
      <c r="B817" s="20"/>
      <c r="C817" s="151" t="s">
        <v>96</v>
      </c>
      <c r="D817" s="93" t="str">
        <f>IFERROR(INDEX(Crop_yields,MATCH(D813,Crops_for_yields,0)),"")</f>
        <v/>
      </c>
      <c r="E817" s="135"/>
      <c r="F817" s="31" t="str">
        <f>IFERROR(IF(C817="Default",D817,IF(ISBLANK(E817),"Insert data",E817)),"")</f>
        <v/>
      </c>
      <c r="G817" s="749"/>
      <c r="H817" s="21"/>
      <c r="I817" s="21"/>
      <c r="J817" s="21"/>
      <c r="K817" s="21"/>
      <c r="L817" s="21"/>
      <c r="M817" s="35"/>
    </row>
    <row r="818" spans="2:13" s="4" customFormat="1" ht="24" customHeight="1" outlineLevel="1" x14ac:dyDescent="0.4">
      <c r="B818" s="20"/>
      <c r="C818" s="150" t="s">
        <v>135</v>
      </c>
      <c r="D818" s="21"/>
      <c r="E818" s="21"/>
      <c r="F818" s="21"/>
      <c r="H818" s="21"/>
      <c r="I818" s="303" t="s">
        <v>136</v>
      </c>
      <c r="J818" s="47"/>
      <c r="K818" s="47"/>
      <c r="L818" s="45"/>
      <c r="M818" s="35"/>
    </row>
    <row r="819" spans="2:13" s="14" customFormat="1" outlineLevel="1" x14ac:dyDescent="0.4">
      <c r="B819" s="23"/>
      <c r="C819" s="166" t="s">
        <v>137</v>
      </c>
      <c r="D819" s="164" t="s">
        <v>138</v>
      </c>
      <c r="E819" s="164" t="s">
        <v>139</v>
      </c>
      <c r="F819" s="164" t="s">
        <v>140</v>
      </c>
      <c r="G819" s="4"/>
      <c r="H819" s="24"/>
      <c r="I819" s="42"/>
      <c r="J819" s="164" t="s">
        <v>137</v>
      </c>
      <c r="K819" s="164" t="s">
        <v>141</v>
      </c>
      <c r="L819" s="37"/>
      <c r="M819" s="63"/>
    </row>
    <row r="820" spans="2:13" s="4" customFormat="1" outlineLevel="1" x14ac:dyDescent="0.4">
      <c r="B820" s="20"/>
      <c r="C820" s="617" t="str">
        <f>IF(D813="Do not use defaults", "", "Nitrogen fertiliser (unspecified)")</f>
        <v/>
      </c>
      <c r="D820" s="618" t="str">
        <f>IF(D813="Do not use defaults", "",INDEX(N_fertiliser_N_composition,MATCH(C820,N_Fertilisers,0)))</f>
        <v/>
      </c>
      <c r="E820" s="27" t="str">
        <f>IF(D813="Do not use defaults","", "kg(Nitrogen)/Ha")</f>
        <v/>
      </c>
      <c r="F820" s="619" t="str">
        <f>IF(D813="Do not use defaults", "",VLOOKUP(D813,Default_crop_data[],2,FALSE))</f>
        <v/>
      </c>
      <c r="H820" s="1"/>
      <c r="I820" s="43"/>
      <c r="J820" s="27" t="str">
        <f t="shared" ref="J820:J826" si="24">IF(C820&gt;0,C820,"")</f>
        <v/>
      </c>
      <c r="K820" s="91" t="str">
        <f>IFERROR(IF(C820&gt;0,IF(ISBLANK(E820),"Insert unit",IF(ISBLANK(F820),"Insert data",(IF(E820="kg(fertiliser)/HA",F820*D820,F820)*INDEX(N_Fertiliser_EF,MATCH(C820,N_Fertilisers,0))/F817)/1000)),""),"")</f>
        <v/>
      </c>
      <c r="L820" s="39"/>
      <c r="M820" s="35"/>
    </row>
    <row r="821" spans="2:13" s="4" customFormat="1" outlineLevel="1" x14ac:dyDescent="0.4">
      <c r="B821" s="20"/>
      <c r="C821" s="151"/>
      <c r="D821" s="92" t="str">
        <f>IF(C821&gt;0,INDEX(N_fertiliser_N_composition,MATCH(C821,N_Fertilisers,0)),"")</f>
        <v/>
      </c>
      <c r="E821" s="138"/>
      <c r="F821" s="137"/>
      <c r="H821" s="1"/>
      <c r="I821" s="43"/>
      <c r="J821" s="27" t="str">
        <f t="shared" si="24"/>
        <v/>
      </c>
      <c r="K821" s="91" t="str">
        <f>IFERROR(IF(C821&gt;0,IF(ISBLANK(E821),"Insert unit",IF(ISBLANK(F821),"Insert data",(IF(E821="kg(fertiliser)/HA",F821*D821,F821)*INDEX(N_Fertiliser_EF,MATCH(C821,N_Fertilisers,0))/F817)/1000)),""),"")</f>
        <v/>
      </c>
      <c r="L821" s="39"/>
      <c r="M821" s="35"/>
    </row>
    <row r="822" spans="2:13" s="4" customFormat="1" outlineLevel="1" x14ac:dyDescent="0.4">
      <c r="B822" s="20"/>
      <c r="C822" s="151"/>
      <c r="D822" s="92" t="str">
        <f>IF(C822&gt;0,INDEX(N_fertiliser_N_composition,MATCH(C822,N_Fertilisers,0)),"")</f>
        <v/>
      </c>
      <c r="E822" s="138"/>
      <c r="F822" s="137"/>
      <c r="H822" s="1"/>
      <c r="I822" s="43"/>
      <c r="J822" s="27" t="str">
        <f t="shared" si="24"/>
        <v/>
      </c>
      <c r="K822" s="91" t="str">
        <f>IFERROR(IF(C822&gt;0,IF(ISBLANK(E822),"Insert unit",IF(ISBLANK(F822),"Insert data",(IF(E822="kg(fertiliser)/HA",F822*D822,F822)*INDEX(N_Fertiliser_EF,MATCH(C822,N_Fertilisers,0))/F817)/1000)),""),"")</f>
        <v/>
      </c>
      <c r="L822" s="39"/>
      <c r="M822" s="35"/>
    </row>
    <row r="823" spans="2:13" s="4" customFormat="1" outlineLevel="1" x14ac:dyDescent="0.4">
      <c r="B823" s="20"/>
      <c r="C823" s="151"/>
      <c r="D823" s="92" t="str">
        <f>IF(C823&gt;0,INDEX(N_fertiliser_N_composition,MATCH(C823,N_Fertilisers,0)),"")</f>
        <v/>
      </c>
      <c r="E823" s="138"/>
      <c r="F823" s="137"/>
      <c r="H823" s="1"/>
      <c r="I823" s="43"/>
      <c r="J823" s="27" t="str">
        <f t="shared" si="24"/>
        <v/>
      </c>
      <c r="K823" s="91" t="str">
        <f>IFERROR(IF(C823&gt;0,IF(ISBLANK(E823),"Insert unit",IF(ISBLANK(F823),"Insert data",(IF(E823="kg(fertiliser)/HA",F823*D823,F823)*INDEX(N_Fertiliser_EF,MATCH(C823,N_Fertilisers,0))/F817)/1000)),""),"")</f>
        <v/>
      </c>
      <c r="L823" s="39"/>
      <c r="M823" s="35"/>
    </row>
    <row r="824" spans="2:13" s="4" customFormat="1" outlineLevel="1" x14ac:dyDescent="0.4">
      <c r="B824" s="20"/>
      <c r="C824" s="151"/>
      <c r="D824" s="136"/>
      <c r="E824" s="138"/>
      <c r="F824" s="137"/>
      <c r="H824" s="1"/>
      <c r="I824" s="43"/>
      <c r="J824" s="27" t="str">
        <f t="shared" si="24"/>
        <v/>
      </c>
      <c r="K824" s="91" t="str">
        <f>IFERROR(IF(C824&gt;0,IF(ISBLANK(E824),"Insert unit",IF(OR(ISBLANK(F824),ISBLANK(D824)),"Insert data",(IF(E824="kg(fertiliser)/HA",F824*D824,F824)*INDEX(N_Fertiliser_EF,MATCH("nitrogen fertiliser (unspecified)",N_Fertilisers,0))/F817)/1000)),""),"")</f>
        <v/>
      </c>
      <c r="L824" s="39"/>
      <c r="M824" s="35"/>
    </row>
    <row r="825" spans="2:13" s="4" customFormat="1" outlineLevel="1" x14ac:dyDescent="0.4">
      <c r="B825" s="20"/>
      <c r="C825" s="151"/>
      <c r="D825" s="136"/>
      <c r="E825" s="138"/>
      <c r="F825" s="137"/>
      <c r="H825" s="1"/>
      <c r="I825" s="43"/>
      <c r="J825" s="27" t="str">
        <f t="shared" si="24"/>
        <v/>
      </c>
      <c r="K825" s="91" t="str">
        <f>IFERROR(IF(C825&gt;0,IF(ISBLANK(E825),"Insert unit",IF(OR(ISBLANK(F825),ISBLANK(D825)),"Insert data",(IF(E825="kg(fertiliser)/HA",F825*D825,F825)*INDEX(N_Fertiliser_EF,MATCH("nitrogen fertiliser (unspecified)",N_Fertilisers,0))/F817)/1000)),""),"")</f>
        <v/>
      </c>
      <c r="L825" s="39"/>
      <c r="M825" s="35"/>
    </row>
    <row r="826" spans="2:13" s="4" customFormat="1" outlineLevel="1" x14ac:dyDescent="0.4">
      <c r="B826" s="20"/>
      <c r="C826" s="151"/>
      <c r="D826" s="136"/>
      <c r="E826" s="138"/>
      <c r="F826" s="137"/>
      <c r="G826" s="14"/>
      <c r="H826" s="1"/>
      <c r="I826" s="43"/>
      <c r="J826" s="27" t="str">
        <f t="shared" si="24"/>
        <v/>
      </c>
      <c r="K826" s="91" t="str">
        <f>IFERROR(IF(C826&gt;0,IF(ISBLANK(E826),"Insert unit",IF(OR(ISBLANK(F826),ISBLANK(D826)),"Insert data",(IF(E826="kg(fertiliser)/HA",F826*D826,F826)*INDEX(N_Fertiliser_EF,MATCH("nitrogen fertiliser (unspecified)",N_Fertilisers,0))/F817)/1000)),""),"")</f>
        <v/>
      </c>
      <c r="L826" s="39"/>
      <c r="M826" s="35"/>
    </row>
    <row r="827" spans="2:13" s="4" customFormat="1" outlineLevel="1" x14ac:dyDescent="0.4">
      <c r="B827" s="20"/>
      <c r="C827" s="653" t="s">
        <v>142</v>
      </c>
      <c r="D827" s="654" t="s">
        <v>138</v>
      </c>
      <c r="E827" s="654" t="s">
        <v>139</v>
      </c>
      <c r="F827" s="655" t="s">
        <v>140</v>
      </c>
      <c r="G827" s="14"/>
      <c r="H827" s="1"/>
      <c r="I827" s="43"/>
      <c r="J827" s="166" t="s">
        <v>142</v>
      </c>
      <c r="K827" s="164" t="s">
        <v>141</v>
      </c>
      <c r="L827" s="39"/>
      <c r="M827" s="35"/>
    </row>
    <row r="828" spans="2:13" s="4" customFormat="1" outlineLevel="1" x14ac:dyDescent="0.4">
      <c r="B828" s="20"/>
      <c r="C828" s="649" t="str">
        <f>IF(D813="Do not use defaults", "", "Digestate")</f>
        <v/>
      </c>
      <c r="D828" s="618" t="str">
        <f>IF(D813="Do not use defaults", "",INDEX(Organic_fertilisers_N_Composition,MATCH(C828,Organic_fertilisers,0)))</f>
        <v/>
      </c>
      <c r="E828" s="27" t="str">
        <f>IF(D813="Do not use defaults", "", "t(fertiliser)/Ha")</f>
        <v/>
      </c>
      <c r="F828" s="651" t="str">
        <f>IF(D813="Do not use defaults", "",VLOOKUP(D813,Default_crop_data[],5,FALSE))</f>
        <v/>
      </c>
      <c r="G828" s="14"/>
      <c r="H828" s="1"/>
      <c r="I828" s="43"/>
      <c r="J828" s="27" t="str">
        <f t="shared" ref="J828:J833" si="25">IF(C828&gt;0,C828,"")</f>
        <v/>
      </c>
      <c r="K828" s="91" t="str">
        <f>IFERROR(IF(C828&gt;0,IF(ISBLANK(E828),"Insert unit",IF(ISBLANK(F828),"Insert data",(IF(E828="kg(fertiliser)/HA",F828*D828,IF(E828="t(fertiliser)/Ha",F828*1000*D828,F828))*INDEX(Organic_fertiliser_EF,MATCH(C828,Organic_fertilisers,0))/F817)/1000)),""),"")</f>
        <v/>
      </c>
      <c r="L828" s="39"/>
      <c r="M828" s="35"/>
    </row>
    <row r="829" spans="2:13" s="4" customFormat="1" outlineLevel="1" x14ac:dyDescent="0.4">
      <c r="B829" s="20"/>
      <c r="C829" s="650"/>
      <c r="D829" s="92" t="str">
        <f>IF(C829&gt;0,INDEX(Organic_fertilisers_N_Composition,MATCH(C829,Organic_fertilisers,0)),"")</f>
        <v/>
      </c>
      <c r="E829" s="138"/>
      <c r="F829" s="652"/>
      <c r="G829" s="14"/>
      <c r="H829" s="1"/>
      <c r="I829" s="43"/>
      <c r="J829" s="27" t="str">
        <f t="shared" si="25"/>
        <v/>
      </c>
      <c r="K829" s="91" t="str">
        <f>IFERROR(IF(C829&gt;0,IF(ISBLANK(E829),"Insert unit",IF(ISBLANK(F829),"Insert data",(IF(E829="kg(fertiliser)/HA",F829*D829,IF(E829="t(fertiliser)/Ha",F829*1000*D829,F829))*INDEX(Organic_fertiliser_EF,MATCH(C829,Organic_fertilisers,0))/F817)/1000)),""),"")</f>
        <v/>
      </c>
      <c r="L829" s="39"/>
      <c r="M829" s="35"/>
    </row>
    <row r="830" spans="2:13" s="4" customFormat="1" outlineLevel="1" x14ac:dyDescent="0.4">
      <c r="B830" s="20"/>
      <c r="C830" s="650"/>
      <c r="D830" s="92" t="str">
        <f>IF(C830&gt;0,INDEX(Organic_fertilisers_N_Composition,MATCH(C830,Organic_fertilisers,0)),"")</f>
        <v/>
      </c>
      <c r="E830" s="138"/>
      <c r="F830" s="652"/>
      <c r="G830" s="14"/>
      <c r="H830" s="1"/>
      <c r="I830" s="43"/>
      <c r="J830" s="27" t="str">
        <f t="shared" si="25"/>
        <v/>
      </c>
      <c r="K830" s="91" t="str">
        <f>IFERROR(IF(C830&gt;0,IF(ISBLANK(E830),"Insert unit",IF(ISBLANK(F830),"Insert data",(IF(E830="kg(fertiliser)/HA",F830*D830,IF(E830="t(fertiliser)/Ha",F830*1000*D830,F830))*INDEX(Organic_fertiliser_EF,MATCH(C830,Organic_fertilisers,0))/F817)/1000)),""),"")</f>
        <v/>
      </c>
      <c r="L830" s="39"/>
      <c r="M830" s="35"/>
    </row>
    <row r="831" spans="2:13" s="4" customFormat="1" outlineLevel="1" x14ac:dyDescent="0.4">
      <c r="B831" s="20"/>
      <c r="C831" s="650"/>
      <c r="D831" s="92" t="str">
        <f>IF(C831&gt;0,INDEX(Organic_fertilisers_N_Composition,MATCH(C831,Organic_fertilisers,0)),"")</f>
        <v/>
      </c>
      <c r="E831" s="138"/>
      <c r="F831" s="652"/>
      <c r="G831" s="14"/>
      <c r="H831" s="1"/>
      <c r="I831" s="43"/>
      <c r="J831" s="27" t="str">
        <f t="shared" si="25"/>
        <v/>
      </c>
      <c r="K831" s="91" t="str">
        <f>IFERROR(IF(C831&gt;0,IF(ISBLANK(E831),"Insert unit",IF(ISBLANK(F831),"Insert data",(IF(E831="kg(fertiliser)/HA",F831*D831,IF(E831="t(fertiliser)/Ha",F831*1000*D831,F831))*INDEX(Organic_fertiliser_EF,MATCH(C831,Organic_fertilisers,0))/F817)/1000)),""),"")</f>
        <v/>
      </c>
      <c r="L831" s="39"/>
      <c r="M831" s="35"/>
    </row>
    <row r="832" spans="2:13" s="4" customFormat="1" outlineLevel="1" x14ac:dyDescent="0.4">
      <c r="B832" s="20"/>
      <c r="C832" s="650"/>
      <c r="D832" s="136"/>
      <c r="E832" s="138"/>
      <c r="F832" s="652"/>
      <c r="G832" s="14"/>
      <c r="H832" s="1"/>
      <c r="I832" s="43"/>
      <c r="J832" s="27" t="str">
        <f t="shared" si="25"/>
        <v/>
      </c>
      <c r="K832" s="91" t="str">
        <f>IFERROR(IF(C832&gt;0,IF(ISBLANK(E832),"Insert unit",IF(ISBLANK(F832),"Insert data",0)),""),"")</f>
        <v/>
      </c>
      <c r="L832" s="39"/>
      <c r="M832" s="35"/>
    </row>
    <row r="833" spans="2:13" s="4" customFormat="1" outlineLevel="1" x14ac:dyDescent="0.4">
      <c r="B833" s="20"/>
      <c r="C833" s="656"/>
      <c r="D833" s="657"/>
      <c r="E833" s="658"/>
      <c r="F833" s="659"/>
      <c r="G833" s="14"/>
      <c r="H833" s="1"/>
      <c r="I833" s="43"/>
      <c r="J833" s="27" t="str">
        <f t="shared" si="25"/>
        <v/>
      </c>
      <c r="K833" s="91" t="str">
        <f>IFERROR(IF(C833&gt;0,IF(ISBLANK(E833),"Insert unit",IF(ISBLANK(F833),"Insert data",0)),""),"")</f>
        <v/>
      </c>
      <c r="L833" s="39"/>
      <c r="M833" s="35"/>
    </row>
    <row r="834" spans="2:13" s="4" customFormat="1" outlineLevel="1" x14ac:dyDescent="0.4">
      <c r="B834" s="20"/>
      <c r="C834" s="166" t="s">
        <v>143</v>
      </c>
      <c r="D834" s="164" t="s">
        <v>138</v>
      </c>
      <c r="E834" s="164" t="s">
        <v>139</v>
      </c>
      <c r="F834" s="164" t="s">
        <v>140</v>
      </c>
      <c r="G834" s="14"/>
      <c r="H834" s="1"/>
      <c r="I834" s="43"/>
      <c r="J834" s="166" t="str">
        <f>IF(C834&gt;0,C834,"")</f>
        <v>Low in-field emissions fertiliser</v>
      </c>
      <c r="K834" s="164" t="s">
        <v>141</v>
      </c>
      <c r="L834" s="39"/>
      <c r="M834" s="35"/>
    </row>
    <row r="835" spans="2:13" s="4" customFormat="1" outlineLevel="1" x14ac:dyDescent="0.4">
      <c r="B835" s="20"/>
      <c r="C835" s="151"/>
      <c r="D835" s="92"/>
      <c r="E835" s="138"/>
      <c r="F835" s="137"/>
      <c r="G835" s="14"/>
      <c r="H835" s="1"/>
      <c r="I835" s="43"/>
      <c r="J835" s="27" t="str">
        <f>IF(C835&gt;0,C835,"")</f>
        <v/>
      </c>
      <c r="K835" s="91" t="str" cm="1">
        <f t="array" ref="K835">IFERROR(IF(C835&gt;0,IF(ISBLANK(E835),"Insert unit",IF(ISBLANK(F835),"Insert data",(IF(E835="kg(fertiliser)/Ha",F835*D835,IF(E835="t(fertiliser)/Ha",F835*1000*D835,F835))*(Low_infield_EF_table[Emission Factor (gCO2eq/kgnitrogen)])/F817)/1000)),""),"")</f>
        <v/>
      </c>
      <c r="L835" s="39"/>
      <c r="M835" s="35"/>
    </row>
    <row r="836" spans="2:13" s="14" customFormat="1" outlineLevel="1" x14ac:dyDescent="0.4">
      <c r="B836" s="23"/>
      <c r="C836" s="166" t="s">
        <v>144</v>
      </c>
      <c r="D836" s="166" t="s">
        <v>145</v>
      </c>
      <c r="E836" s="166" t="s">
        <v>138</v>
      </c>
      <c r="F836" s="166" t="s">
        <v>139</v>
      </c>
      <c r="G836" s="166" t="s">
        <v>140</v>
      </c>
      <c r="H836" s="24"/>
      <c r="I836" s="42"/>
      <c r="J836" s="166" t="s">
        <v>144</v>
      </c>
      <c r="K836" s="164" t="s">
        <v>141</v>
      </c>
      <c r="L836" s="37"/>
      <c r="M836" s="63"/>
    </row>
    <row r="837" spans="2:13" s="4" customFormat="1" outlineLevel="1" x14ac:dyDescent="0.4">
      <c r="B837" s="20"/>
      <c r="C837" s="617" t="str">
        <f>IF(D813="Do not use defaults", "", "P2O5 fertiliser (unspecified)")</f>
        <v/>
      </c>
      <c r="D837" s="618" t="str" cm="1">
        <f t="array" ref="D837">IF(D813="Do not use defaults", "",INDEX(P_fertiliser_P_composition,MATCH(C837,P_fertilisers,0)))</f>
        <v/>
      </c>
      <c r="E837" s="618" t="str">
        <f>IF(C837="P2O5 fertiliser (unspecified)",0, "")</f>
        <v/>
      </c>
      <c r="F837" s="27" t="str">
        <f>IF(D813="Do not use defaults","", "t(kg(P2O5)/Ha")</f>
        <v/>
      </c>
      <c r="G837" s="619" t="str">
        <f>IF(D813="Do not use defaults","",VLOOKUP(D813,Default_crop_data[],3,FALSE))</f>
        <v/>
      </c>
      <c r="H837" s="1"/>
      <c r="I837" s="43"/>
      <c r="J837" s="27" t="str">
        <f>IF(C837&gt;0,C837,"")</f>
        <v/>
      </c>
      <c r="K837" s="91" t="str">
        <f>IFERROR(IF(C837&gt;0,IF(ISBLANK(F837),"Insert unit",IF(ISBLANK(G837),"Insert data",(IF(F837="kg(fertiliser)/HA",G837*D837,G837)*INDEX(P_fertiliser_EF,MATCH(C837,P_fertilisers,0))/F817)/1000)),""),"")</f>
        <v/>
      </c>
      <c r="L837" s="39"/>
      <c r="M837" s="35"/>
    </row>
    <row r="838" spans="2:13" s="4" customFormat="1" outlineLevel="1" x14ac:dyDescent="0.4">
      <c r="B838" s="20"/>
      <c r="C838" s="151"/>
      <c r="D838" s="92" t="str">
        <f>IF(C838&gt;0,INDEX(P_fertiliser_P_composition,MATCH(C838,P_fertilisers,0)),"")</f>
        <v/>
      </c>
      <c r="E838" s="92"/>
      <c r="F838" s="138"/>
      <c r="G838" s="137"/>
      <c r="H838" s="1"/>
      <c r="I838" s="43"/>
      <c r="J838" s="27" t="str">
        <f>IF(C838&gt;0,C838,"")</f>
        <v/>
      </c>
      <c r="K838" s="91" t="str">
        <f>IFERROR(IF(C838&gt;0,IF(ISBLANK(F838),"Insert unit",IF(ISBLANK(G838),"Insert data",(IF(F838="kg(fertiliser)/HA",G838*D838,G838)*INDEX(P_fertiliser_EF,MATCH(C838,P_fertilisers,0))/F817)/1000)),""),"")</f>
        <v/>
      </c>
      <c r="L838" s="39"/>
      <c r="M838" s="35"/>
    </row>
    <row r="839" spans="2:13" s="4" customFormat="1" outlineLevel="1" x14ac:dyDescent="0.4">
      <c r="B839" s="20"/>
      <c r="C839" s="151"/>
      <c r="D839" s="92" t="str">
        <f>IF(C839&gt;0,INDEX(P_fertiliser_P_composition,MATCH(C839,P_fertilisers,0)),"")</f>
        <v/>
      </c>
      <c r="E839" s="92"/>
      <c r="F839" s="138"/>
      <c r="G839" s="137"/>
      <c r="H839" s="1"/>
      <c r="I839" s="43"/>
      <c r="J839" s="27"/>
      <c r="K839" s="91" t="str">
        <f>IFERROR(IF(C839&gt;0,IF(ISBLANK(F839),"Insert unit",IF(ISBLANK(G839),"Insert data",(IF(F839="kg(fertiliser)/HA",G839*D839,G839)*INDEX(P_fertiliser_EF,MATCH(C839,P_fertilisers,0))/F817)/1000)),""),"")</f>
        <v/>
      </c>
      <c r="L839" s="39"/>
      <c r="M839" s="35"/>
    </row>
    <row r="840" spans="2:13" s="4" customFormat="1" outlineLevel="1" x14ac:dyDescent="0.4">
      <c r="B840" s="20"/>
      <c r="C840" s="151"/>
      <c r="D840" s="92" t="str">
        <f>IF(C840&gt;0,INDEX(P_fertiliser_P_composition,MATCH(C840,P_fertilisers,0)),"")</f>
        <v/>
      </c>
      <c r="E840" s="92"/>
      <c r="F840" s="138"/>
      <c r="G840" s="137"/>
      <c r="H840" s="1"/>
      <c r="I840" s="43"/>
      <c r="J840" s="27"/>
      <c r="K840" s="91" t="str">
        <f>IFERROR(IF(C840&gt;0,IF(ISBLANK(F840),"Insert unit",IF(ISBLANK(G840),"Insert data",(IF(F840="kg(fertiliser)/HA",G840*D840,G840)*INDEX(P_fertiliser_EF,MATCH(C840,P_fertilisers,0))/F817)/1000)),""),"")</f>
        <v/>
      </c>
      <c r="L840" s="39"/>
      <c r="M840" s="35"/>
    </row>
    <row r="841" spans="2:13" s="4" customFormat="1" outlineLevel="1" x14ac:dyDescent="0.4">
      <c r="B841" s="20"/>
      <c r="C841" s="151"/>
      <c r="D841" s="136"/>
      <c r="E841" s="136"/>
      <c r="F841" s="138"/>
      <c r="G841" s="137"/>
      <c r="H841" s="1"/>
      <c r="I841" s="43"/>
      <c r="J841" s="27"/>
      <c r="K841" s="91" t="str">
        <f>IFERROR(IF(C841&gt;0,IF(ISBLANK(F841),"Insert unit",IF(OR(ISBLANK(F841),ISBLANK(D841),ISBLANK(E841)),"Insert data",(IF(F841="kg(fertiliser)/HA",G841*D841,G841)*INDEX(P_fertiliser_EF,MATCH("p2O5 fertiliser (unspecified)",P_fertilisers,0))/F817)/1000)),""),"")</f>
        <v/>
      </c>
      <c r="L841" s="39"/>
      <c r="M841" s="35"/>
    </row>
    <row r="842" spans="2:13" s="4" customFormat="1" outlineLevel="1" x14ac:dyDescent="0.4">
      <c r="B842" s="20"/>
      <c r="C842" s="151"/>
      <c r="D842" s="136"/>
      <c r="E842" s="136"/>
      <c r="F842" s="138"/>
      <c r="G842" s="137"/>
      <c r="H842" s="1"/>
      <c r="I842" s="43"/>
      <c r="J842" s="27" t="str">
        <f>IF(C842&gt;0,C842,"")</f>
        <v/>
      </c>
      <c r="K842" s="91" t="str">
        <f>IFERROR(IF(C842&gt;0,IF(ISBLANK(F842),"Insert unit",IF(OR(ISBLANK(F842),ISBLANK(D842),ISBLANK(E842)),"Insert data",(IF(F842="kg(fertiliser)/HA",G842*D842,G842)*INDEX(P_fertiliser_EF,MATCH("p2O5 fertiliser (unspecified)",P_fertilisers,0))/F817)/1000)),""),"")</f>
        <v/>
      </c>
      <c r="L842" s="39"/>
      <c r="M842" s="35"/>
    </row>
    <row r="843" spans="2:13" s="4" customFormat="1" outlineLevel="1" x14ac:dyDescent="0.4">
      <c r="B843" s="20"/>
      <c r="C843" s="151"/>
      <c r="D843" s="136"/>
      <c r="E843" s="136"/>
      <c r="F843" s="138"/>
      <c r="G843" s="137"/>
      <c r="H843" s="1"/>
      <c r="I843" s="43"/>
      <c r="J843" s="27" t="str">
        <f>IF(C843&gt;0,C843,"")</f>
        <v/>
      </c>
      <c r="K843" s="91" t="str">
        <f>IFERROR(IF(C843&gt;0,IF(ISBLANK(F843),"Insert unit",IF(OR(ISBLANK(F843),ISBLANK(D843),ISBLANK(E843)),"Insert data",(IF(F843="kg(fertiliser)/HA",G843*D843,G843)*INDEX(P_fertiliser_EF,MATCH("p2O5 fertiliser (unspecified)",P_fertilisers,0))/F817)/1000)),""),"")</f>
        <v/>
      </c>
      <c r="L843" s="39"/>
      <c r="M843" s="35"/>
    </row>
    <row r="844" spans="2:13" s="14" customFormat="1" outlineLevel="1" x14ac:dyDescent="0.4">
      <c r="B844" s="23"/>
      <c r="C844" s="166" t="s">
        <v>146</v>
      </c>
      <c r="D844" s="166" t="s">
        <v>147</v>
      </c>
      <c r="E844" s="166" t="s">
        <v>138</v>
      </c>
      <c r="F844" s="166" t="s">
        <v>139</v>
      </c>
      <c r="G844" s="166" t="s">
        <v>140</v>
      </c>
      <c r="H844" s="24"/>
      <c r="I844" s="42"/>
      <c r="J844" s="166" t="s">
        <v>146</v>
      </c>
      <c r="K844" s="164" t="s">
        <v>141</v>
      </c>
      <c r="L844" s="37"/>
      <c r="M844" s="35"/>
    </row>
    <row r="845" spans="2:13" s="4" customFormat="1" outlineLevel="1" x14ac:dyDescent="0.4">
      <c r="B845" s="20"/>
      <c r="C845" s="617" t="str">
        <f>IF(D813="Do not use defaults", "", "K2O fertiliser (unspecified)")</f>
        <v/>
      </c>
      <c r="D845" s="618" t="str" cm="1">
        <f t="array" ref="D845">IF(D813="Do not use defaults", "",INDEX(K_fertiliser_K_composition,MATCH(C845,K_fertilisers,0)))</f>
        <v/>
      </c>
      <c r="E845" s="618" t="str" cm="1">
        <f t="array" ref="E845">IF(D813="Do not use defaults", "",INDEX(K_fertiliser_N_composition,MATCH(C845,K_fertilisers,0)))</f>
        <v/>
      </c>
      <c r="F845" s="27" t="str">
        <f>IF(D813="Do not use defaults","", "t(kg(K2O)/Ha")</f>
        <v/>
      </c>
      <c r="G845" s="619" t="str">
        <f>IF(D813="Do not use defaults", "",VLOOKUP(D813,Default_crop_data[],4,FALSE))</f>
        <v/>
      </c>
      <c r="H845" s="1"/>
      <c r="I845" s="43"/>
      <c r="J845" s="27" t="str">
        <f t="shared" ref="J845:J851" si="26">IF(C845&gt;0,C845,"")</f>
        <v/>
      </c>
      <c r="K845" s="91" t="str">
        <f>IFERROR(IF(C845&gt;0,IF(ISBLANK(F845),"Insert unit",IF(ISBLANK(G845),"Insert data",(IF(F845="kg(fertiliser)/HA",G845*D845,G845)*INDEX(K_Fertiliser_EF,MATCH(C845,K_fertilisers,0))/F817)/1000)),""),"")</f>
        <v/>
      </c>
      <c r="L845" s="39"/>
      <c r="M845" s="35"/>
    </row>
    <row r="846" spans="2:13" s="4" customFormat="1" outlineLevel="1" x14ac:dyDescent="0.4">
      <c r="B846" s="20"/>
      <c r="C846" s="151"/>
      <c r="D846" s="92" t="str">
        <f>IF(C846&gt;0,INDEX(K_fertiliser_K_composition,MATCH(C846,K_fertilisers,0)),"")</f>
        <v/>
      </c>
      <c r="E846" s="92" t="str">
        <f>IF(C846&gt;0,INDEX(K_fertiliser_N_composition,MATCH(C846,K_fertilisers,0)),"")</f>
        <v/>
      </c>
      <c r="F846" s="138"/>
      <c r="G846" s="137"/>
      <c r="H846" s="1"/>
      <c r="I846" s="43"/>
      <c r="J846" s="27" t="str">
        <f t="shared" si="26"/>
        <v/>
      </c>
      <c r="K846" s="91" t="str">
        <f>IFERROR(IF(C846&gt;0,IF(ISBLANK(F846),"Insert unit",IF(ISBLANK(G846),"Insert data",(IF(F846="kg(fertiliser)/HA",G846*D846,G846)*INDEX(K_Fertiliser_EF,MATCH(C846,K_fertilisers,0))/F817)/1000)),""),"")</f>
        <v/>
      </c>
      <c r="L846" s="39"/>
      <c r="M846" s="35"/>
    </row>
    <row r="847" spans="2:13" s="4" customFormat="1" outlineLevel="1" x14ac:dyDescent="0.4">
      <c r="B847" s="20"/>
      <c r="C847" s="151"/>
      <c r="D847" s="92" t="str">
        <f>IF(C847&gt;0,INDEX(K_fertiliser_K_composition,MATCH(C847,K_fertilisers,0)),"")</f>
        <v/>
      </c>
      <c r="E847" s="92" t="str">
        <f>IF(C847&gt;0,INDEX(K_fertiliser_N_composition,MATCH(C847,K_fertilisers,0)),"")</f>
        <v/>
      </c>
      <c r="F847" s="138"/>
      <c r="G847" s="137"/>
      <c r="H847" s="1"/>
      <c r="I847" s="43"/>
      <c r="J847" s="27" t="str">
        <f t="shared" si="26"/>
        <v/>
      </c>
      <c r="K847" s="91" t="str">
        <f>IFERROR(IF(C847&gt;0,IF(ISBLANK(F847),"Insert unit",IF(ISBLANK(G847),"Insert data",(IF(F847="kg(fertiliser)/HA",G847*D847,G847)*INDEX(K_Fertiliser_EF,MATCH(C847,K_fertilisers,0))/F817)/1000)),""),"")</f>
        <v/>
      </c>
      <c r="L847" s="39"/>
      <c r="M847" s="35"/>
    </row>
    <row r="848" spans="2:13" s="4" customFormat="1" outlineLevel="1" x14ac:dyDescent="0.4">
      <c r="B848" s="20"/>
      <c r="C848" s="151"/>
      <c r="D848" s="92"/>
      <c r="E848" s="92"/>
      <c r="F848" s="138"/>
      <c r="G848" s="137"/>
      <c r="H848" s="1"/>
      <c r="I848" s="43"/>
      <c r="J848" s="27" t="str">
        <f t="shared" si="26"/>
        <v/>
      </c>
      <c r="K848" s="91" t="str">
        <f>IFERROR(IF(C848&gt;0,IF(ISBLANK(F848),"Insert unit",IF(ISBLANK(G848),"Insert data",(IF(F848="kg(fertiliser)/HA",G848*D848,G848)*INDEX(K_Fertiliser_EF,MATCH(C848,K_fertilisers,0))/F817)/1000)),""),"")</f>
        <v/>
      </c>
      <c r="L848" s="39"/>
      <c r="M848" s="35"/>
    </row>
    <row r="849" spans="2:13" s="4" customFormat="1" outlineLevel="1" x14ac:dyDescent="0.4">
      <c r="B849" s="20"/>
      <c r="C849" s="151"/>
      <c r="D849" s="136"/>
      <c r="E849" s="136"/>
      <c r="F849" s="138"/>
      <c r="G849" s="137"/>
      <c r="H849" s="1"/>
      <c r="I849" s="43"/>
      <c r="J849" s="27" t="str">
        <f t="shared" si="26"/>
        <v/>
      </c>
      <c r="K849" s="91" t="str">
        <f>IFERROR(IF(C849&gt;0,IF(ISBLANK(F849),"Insert unit",IF(OR(ISBLANK(F849),ISBLANK(D849),ISBLANK(E849)),"Insert data",(IF(F849="kg(fertiliser)/HA",G849*D849,G849)*INDEX(K_Fertiliser_EF,MATCH("K2O fertiliser (unspecified)",K_fertilisers,0))/F817)/1000)),""),"")</f>
        <v/>
      </c>
      <c r="L849" s="39"/>
      <c r="M849" s="35"/>
    </row>
    <row r="850" spans="2:13" s="4" customFormat="1" outlineLevel="1" x14ac:dyDescent="0.4">
      <c r="B850" s="20"/>
      <c r="C850" s="151"/>
      <c r="D850" s="136"/>
      <c r="E850" s="136"/>
      <c r="F850" s="138"/>
      <c r="G850" s="137"/>
      <c r="H850" s="1"/>
      <c r="I850" s="43"/>
      <c r="J850" s="27" t="str">
        <f t="shared" si="26"/>
        <v/>
      </c>
      <c r="K850" s="91" t="str">
        <f>IFERROR(IF(C850&gt;0,IF(ISBLANK(F850),"Insert unit",IF(OR(ISBLANK(F850),ISBLANK(D850),ISBLANK(E850)),"Insert data",(IF(F850="kg(fertiliser)/HA",G850*D850,G850)*INDEX(K_Fertiliser_EF,MATCH("K2O fertiliser (unspecified)",K_fertilisers,0))/F817)/1000)),""),"")</f>
        <v/>
      </c>
      <c r="L850" s="39"/>
      <c r="M850" s="35"/>
    </row>
    <row r="851" spans="2:13" s="4" customFormat="1" outlineLevel="1" x14ac:dyDescent="0.4">
      <c r="B851" s="20"/>
      <c r="C851" s="151"/>
      <c r="D851" s="136"/>
      <c r="E851" s="136"/>
      <c r="F851" s="138"/>
      <c r="G851" s="137"/>
      <c r="H851" s="1"/>
      <c r="I851" s="43"/>
      <c r="J851" s="27" t="str">
        <f t="shared" si="26"/>
        <v/>
      </c>
      <c r="K851" s="91" t="str">
        <f>IFERROR(IF(C851&gt;0,IF(ISBLANK(F851),"Insert unit",IF(OR(ISBLANK(F851),ISBLANK(D851),ISBLANK(E851)),"Insert data",(IF(F851="kg(fertiliser)/HA",G851*D851,G851)*INDEX(K_Fertiliser_EF,MATCH("K2O fertiliser (unspecified)",K_fertilisers,0))/F817)/1000)),""),"")</f>
        <v/>
      </c>
      <c r="L851" s="39"/>
      <c r="M851" s="35"/>
    </row>
    <row r="852" spans="2:13" s="14" customFormat="1" outlineLevel="1" x14ac:dyDescent="0.4">
      <c r="B852" s="23"/>
      <c r="C852" s="166" t="s">
        <v>148</v>
      </c>
      <c r="D852" s="166" t="s">
        <v>149</v>
      </c>
      <c r="E852" s="166" t="s">
        <v>138</v>
      </c>
      <c r="F852" s="166" t="s">
        <v>139</v>
      </c>
      <c r="G852" s="166" t="s">
        <v>140</v>
      </c>
      <c r="H852" s="24"/>
      <c r="I852" s="42"/>
      <c r="J852" s="166" t="s">
        <v>148</v>
      </c>
      <c r="K852" s="164" t="s">
        <v>141</v>
      </c>
      <c r="L852" s="37"/>
      <c r="M852" s="63"/>
    </row>
    <row r="853" spans="2:13" s="4" customFormat="1" outlineLevel="1" x14ac:dyDescent="0.4">
      <c r="B853" s="20"/>
      <c r="C853" s="617" t="str">
        <f>IF(D813="Do not use defaults", "", "Lime fertiliser (CaO)")</f>
        <v/>
      </c>
      <c r="D853" s="618" t="str" cm="1">
        <f t="array" ref="D853">IF(D813="Do not use defaults", "",INDEX(Other_fertiliser_nutrient_composition,MATCH(C853,Other_fertilisers,0)))</f>
        <v/>
      </c>
      <c r="E853" s="618" t="str">
        <f>IF(D813="Do not use defaults", "",INDEX(Other_fertiliser_N_compostion,MATCH(C853,Other_fertilisers,0)))</f>
        <v/>
      </c>
      <c r="F853" s="27" t="str">
        <f>IF(D813="Do not use defaults","", "kg(nutrient)/Ha")</f>
        <v/>
      </c>
      <c r="G853" s="619" t="str">
        <f>IF(D813="Do not use defaults", "",VLOOKUP(D813,Default_crop_data[],6,FALSE))</f>
        <v/>
      </c>
      <c r="H853" s="1"/>
      <c r="I853" s="43"/>
      <c r="J853" s="27" t="str">
        <f>IF(C853&gt;0,C853,"")</f>
        <v/>
      </c>
      <c r="K853" s="91" t="str">
        <f>IFERROR(IF(C853&gt;0,IF(ISBLANK(F853),"Insert unit",IF(ISBLANK(G853),"Insert data",(IF(F853="kg(fertiliser)/HA",G853*D853,G853)*INDEX(Other_fertiliser_EF,MATCH(C853,Other_fertilisers,0))/F817)/1000)),""),"")</f>
        <v/>
      </c>
      <c r="L853" s="39"/>
      <c r="M853" s="35"/>
    </row>
    <row r="854" spans="2:13" s="4" customFormat="1" outlineLevel="1" x14ac:dyDescent="0.4">
      <c r="B854" s="20"/>
      <c r="C854" s="151"/>
      <c r="D854" s="92" t="str">
        <f>IF(C854&gt;0,INDEX(Other_fertiliser_nutrient_composition,MATCH(C854,Other_fertilisers,0)),"")</f>
        <v/>
      </c>
      <c r="E854" s="92" t="str">
        <f>IF(C854&gt;0,INDEX(Other_fertiliser_N_compostion,MATCH(C854,Other_fertilisers,0)),"")</f>
        <v/>
      </c>
      <c r="F854" s="138"/>
      <c r="G854" s="137"/>
      <c r="H854" s="1"/>
      <c r="I854" s="43"/>
      <c r="J854" s="27" t="str">
        <f>IF(C854&gt;0,C854,"")</f>
        <v/>
      </c>
      <c r="K854" s="91" t="str">
        <f>IFERROR(IF(C854&gt;0,IF(ISBLANK(F854),"Insert unit",IF(ISBLANK(G854),"Insert data",(IF(F854="kg(fertiliser)/HA",G854*D854,G854)*INDEX(Other_fertiliser_EF,MATCH(C854,Other_fertilisers,0))/F817)/1000)),""),"")</f>
        <v/>
      </c>
      <c r="L854" s="39"/>
      <c r="M854" s="35"/>
    </row>
    <row r="855" spans="2:13" s="4" customFormat="1" outlineLevel="1" x14ac:dyDescent="0.4">
      <c r="B855" s="20"/>
      <c r="C855" s="151"/>
      <c r="D855" s="92" t="str">
        <f>IF(C855&gt;0,INDEX(Other_fertiliser_nutrient_composition,MATCH(C855,Other_fertilisers,0)),"")</f>
        <v/>
      </c>
      <c r="E855" s="92" t="str">
        <f>IF(C855&gt;0,INDEX(Other_fertiliser_N_compostion,MATCH(C855,Other_fertilisers,0)),"")</f>
        <v/>
      </c>
      <c r="F855" s="138"/>
      <c r="G855" s="137"/>
      <c r="H855" s="1"/>
      <c r="I855" s="43"/>
      <c r="J855" s="27" t="str">
        <f>IF(C855&gt;0,C855,"")</f>
        <v/>
      </c>
      <c r="K855" s="91" t="str">
        <f>IFERROR(IF(C855&gt;0,IF(ISBLANK(F855),"Insert unit",IF(ISBLANK(G855),"Insert data",(IF(F855="kg(fertiliser)/HA",G855*D855,G855)*INDEX(Other_fertiliser_EF,MATCH(C855,Other_fertilisers,0))/F817)/1000)),""),"")</f>
        <v/>
      </c>
      <c r="L855" s="39"/>
      <c r="M855" s="35"/>
    </row>
    <row r="856" spans="2:13" s="4" customFormat="1" outlineLevel="1" x14ac:dyDescent="0.4">
      <c r="B856" s="20"/>
      <c r="C856" s="151"/>
      <c r="D856" s="92" t="str">
        <f>IF(C856&gt;0,INDEX(Other_fertiliser_nutrient_composition,MATCH(C856,Other_fertilisers,0)),"")</f>
        <v/>
      </c>
      <c r="E856" s="92" t="str">
        <f>IF(C856&gt;0,INDEX(Other_fertiliser_N_compostion,MATCH(C856,Other_fertilisers,0)),"")</f>
        <v/>
      </c>
      <c r="F856" s="138"/>
      <c r="G856" s="137"/>
      <c r="H856" s="1"/>
      <c r="I856" s="43"/>
      <c r="J856" s="27" t="str">
        <f>IF(C856&gt;0,C856,"")</f>
        <v/>
      </c>
      <c r="K856" s="91" t="str">
        <f>IFERROR(IF(C856&gt;0,IF(ISBLANK(F856),"Insert unit",IF(ISBLANK(G856),"Insert data",(IF(F856="kg(fertiliser)/HA",G856*D856,G856)*INDEX(Other_fertiliser_EF,MATCH(C856,Other_fertilisers,0))/F817)/1000)),""),"")</f>
        <v/>
      </c>
      <c r="L856" s="39"/>
      <c r="M856" s="35"/>
    </row>
    <row r="857" spans="2:13" s="4" customFormat="1" outlineLevel="1" x14ac:dyDescent="0.4">
      <c r="B857" s="20"/>
      <c r="C857" s="151"/>
      <c r="D857" s="92" t="str">
        <f>IF(C857&gt;0,INDEX(Other_fertiliser_nutrient_composition,MATCH(C857,Other_fertilisers,0)),"")</f>
        <v/>
      </c>
      <c r="E857" s="92" t="str">
        <f>IF(C857&gt;0,INDEX(Other_fertiliser_N_compostion,MATCH(C857,Other_fertilisers,0)),"")</f>
        <v/>
      </c>
      <c r="F857" s="138"/>
      <c r="G857" s="137"/>
      <c r="H857" s="1"/>
      <c r="I857" s="43"/>
      <c r="J857" s="27" t="str">
        <f>IF(C857&gt;0,C857,"")</f>
        <v/>
      </c>
      <c r="K857" s="91" t="str">
        <f>IFERROR(IF(C857&gt;0,IF(ISBLANK(F857),"Insert unit",IF(ISBLANK(G857),"Insert data",(IF(F857="kg(fertiliser)/HA",G857*D857,G857)*INDEX(Other_fertiliser_EF,MATCH(C857,Other_fertilisers,0))/F817)/1000)),""),"")</f>
        <v/>
      </c>
      <c r="L857" s="39"/>
      <c r="M857" s="35"/>
    </row>
    <row r="858" spans="2:13" s="4" customFormat="1" outlineLevel="1" x14ac:dyDescent="0.4">
      <c r="B858" s="20"/>
      <c r="C858" s="24"/>
      <c r="D858" s="21"/>
      <c r="E858" s="21"/>
      <c r="F858" s="21"/>
      <c r="G858" s="21"/>
      <c r="H858" s="21"/>
      <c r="I858" s="41"/>
      <c r="J858" s="36"/>
      <c r="K858" s="36"/>
      <c r="L858" s="37"/>
      <c r="M858" s="35"/>
    </row>
    <row r="859" spans="2:13" s="4" customFormat="1" outlineLevel="1" x14ac:dyDescent="0.4">
      <c r="B859" s="20"/>
      <c r="C859" s="185" t="s">
        <v>150</v>
      </c>
      <c r="D859" s="21"/>
      <c r="G859" s="21"/>
      <c r="H859" s="21"/>
      <c r="I859" s="41"/>
      <c r="J859" s="36"/>
      <c r="K859" s="36"/>
      <c r="L859" s="37"/>
      <c r="M859" s="35"/>
    </row>
    <row r="860" spans="2:13" s="4" customFormat="1" outlineLevel="1" x14ac:dyDescent="0.4">
      <c r="B860" s="20"/>
      <c r="C860" s="166" t="s">
        <v>151</v>
      </c>
      <c r="D860" s="164" t="s">
        <v>140</v>
      </c>
      <c r="I860" s="41"/>
      <c r="J860" s="36"/>
      <c r="K860" s="164" t="s">
        <v>141</v>
      </c>
      <c r="L860" s="37"/>
      <c r="M860" s="35"/>
    </row>
    <row r="861" spans="2:13" s="4" customFormat="1" outlineLevel="1" x14ac:dyDescent="0.4">
      <c r="B861" s="20"/>
      <c r="C861" s="152" t="s">
        <v>152</v>
      </c>
      <c r="D861" s="30" t="str">
        <f>IFERROR(SUM(IFERROR(IF(E820="kg(fertiliser)/Ha",F820*D820,F820),0),IFERROR(IF(E821="kg(fertiliser)/Ha",F821*D821,F821),0),IFERROR(IF(E822="kg(fertiliser)/Ha",F822*D822,F822),0),IFERROR(IF(E823="kg(fertiliser)/Ha",F823*D823,F823),0),IFERROR(IF(E824="kg(fertiliser)/Ha",F824*D824,F824),0),IFERROR(IF(E825="kg(fertiliser)/Ha",F825*D825,F825),0),IFERROR(IF(E826="kg(fertiliser)/Ha",F826*D826,F826),0),IFERROR(IF(E828="kg(fertiliser)/Ha",F828*D828,IF(E828="kg(nitrogen)/Ha",F828,F828*1000*D828)),0),IFERROR(IF(E829="kg(fertiliser)/Ha",F829*D829,IF(E829="kg(nitrogen)/Ha",F829,F829*1000*D829)),0),IFERROR(IF(E830="kg(fertiliser)/Ha",F830*D830,IF(E830="kg(nitrogen)/Ha",F830,F830*1000*D830)),0),IFERROR(IF(E831="kg(fertiliser)/Ha",F831*D831,IF(E831="kg(nitrogen)/Ha",F831,F831*1000*D831)),0),IFERROR(IF(E832="kg(fertiliser)/Ha",F832*D832,IF(E832="kg(nitrogen)/Ha",F832,F832*1000*D832)),0),IFERROR(IF(E833="kg(fertiliser)/Ha",F833*D833,IF(E833="kg(nitrogen)/Ha",F833,F833*1000*D833)),0),IFERROR(IF(E835="kg(fertiliser)/Ha",F835*D835,IF(E835="kg(nitrogen)/Ha",F835,F835*1000*D835)),0),IFERROR(IF(F837="kg(fertiliser)/Ha",G837*E837,G837*E837/D837),0),IFERROR(IF(F838="kg(fertiliser)/Ha",G838*E838,G838*E838/D838),0),IFERROR(IF(F839="kg(fertiliser)/Ha",G839*E839,G839*E839/D839),0),IFERROR(IF(F840="kg(fertiliser)/Ha",G840*E840,G840*E840/D840),0),IFERROR(IF(F841="kg(fertiliser)/Ha",G841*E841,G841*E841/D841),0),IFERROR(IF(F842="kg(fertiliser)/Ha",G842*E842,G842*E842/D842),0),IFERROR(IF(F843="kg(fertiliser)/Ha",G843*E843,G843*E843/D843),0),IFERROR(IF(F845="kg(fertiliser)/Ha",G845*E845,G845*E845/D845),0),IFERROR(IF(F846="kg(fertiliser)/Ha",G846*E846,G846*E846/D846),0),IFERROR(IF(F847="kg(fertiliser)/Ha",G847*E847,G847*E847/D847),0),IFERROR(IF(F848="kg(fertiliser)/Ha",G848*E848,G848*E848/D848),0),IFERROR(IF(F849="kg(fertiliser)/Ha",G849*E849,G849*E849/D849),0),IFERROR(IF(F850="kg(fertiliser)/Ha",G850*E850,G850*E850/D850),0),IFERROR(IF(F851="kg(fertiliser)/Ha",G851*E851,G851*E851/D851),0),IFERROR(IF(F853="kg(fertiliser)/Ha",G853*E853,G853*E853/D853),0),IFERROR(IF(F854="kg(fertiliser)/Ha",G854*E854,G854*E854/D854),0),IFERROR(IF(F855="kg(fertiliser)/Ha",G855*E855,G855*E855/D855),0),IFERROR(IF(F856="kg(fertiliser)/Ha",G856*E856,G856*E856/D856),0),IFERROR(IF(F857="kg(fertiliser)/Ha",G857*E857,G857*E857/D857),0)), "")</f>
        <v/>
      </c>
      <c r="E861" s="1"/>
      <c r="I861" s="43"/>
      <c r="J861" s="164" t="s">
        <v>153</v>
      </c>
      <c r="K861" s="52" t="str">
        <f>IFERROR(SUM(IFERROR(IF(E820="kg(fertiliser)/Ha",F820*D820,F820)*INDEX(Soil_EFs,MATCH("Inorganic",Soil_EFs_N_type,0)),0),IFERROR(IF(E821="kg(fertiliser)/Ha",F821*D821,F821)*INDEX(Soil_EFs,MATCH("Inorganic",Soil_EFs_N_type,0)),0),IFERROR(IF(E822="kg(fertiliser)/Ha",F822*D822,F822)*INDEX(Soil_EFs,MATCH("Inorganic",Soil_EFs_N_type,0)),0),IFERROR(IF(E823="kg(fertiliser)/Ha",F823*D823,F823)*INDEX(Soil_EFs,MATCH("Inorganic",Soil_EFs_N_type,0)),0),IFERROR(IF(E824="kg(fertiliser)/Ha",F824*D824,F824)*INDEX(Soil_EFs,MATCH("Inorganic",Soil_EFs_N_type,0)),0),IFERROR(IF(E825="kg(fertiliser)/Ha",F825*D825,F825)*INDEX(Soil_EFs,MATCH("Inorganic",Soil_EFs_N_type,0)),0),IFERROR(IF(E826="kg(fertiliser)/Ha",F826*D826,F826)*INDEX(Soil_EFs,MATCH("Inorganic",Soil_EFs_N_type,0)),0),IFERROR(IF(E828="kg(fertiliser)/HA",F828*D828,IF(E828="t(fertiliser)/Ha",F828*1000*D828,F828))*INDEX(Soil_EFs,MATCH("organic",Soil_EFs_N_type,0)),0),IFERROR(IF(E829="kg(fertiliser)/HA",F829*D829,IF(E829="t(fertiliser)/Ha",F829*1000*D829,F829))*INDEX(Soil_EFs,MATCH("organic",Soil_EFs_N_type,0)),0),IFERROR(IF(E830="kg(fertiliser)/HA",F830*D830,IF(E830="t(fertiliser)/Ha",F830*1000*D830,F830))*INDEX(Soil_EFs,MATCH("organic",Soil_EFs_N_type,0)),0),IFERROR(IF(E831="kg(fertiliser)/HA",F831*D831,IF(E831="t(fertiliser)/Ha",F831*1000*D831,F831))*INDEX(Soil_EFs,MATCH("organic",Soil_EFs_N_type,0)),0),IFERROR(IF(E832="kg(fertiliser)/HA",F832*D832,IF(E832="t(fertiliser)/Ha",F832*1000*D832,F832))*INDEX(Soil_EFs,MATCH("organic",Soil_EFs_N_type,0)),0),IFERROR(IF(E833="kg(fertiliser)/HA",F833*D833,IF(E833="t(fertiliser)/Ha",F833*1000*D833,F833))*INDEX(Soil_EFs,MATCH("organic",Soil_EFs_N_type,0)),0),IFERROR(IF(E835="kg(fertiliser)/HA",F835*D835,IF(E835="t(fertiliser)/Ha",F835*1000*D835,F835))*'Reference values'!$D$348,0),IFERROR(IF(F837="kg(fertiliser)/Ha",G837*E837,G837*E837/D837)*INDEX(Soil_EFs,MATCH("Inorganic",Soil_EFs_N_type,0)),0),IFERROR(IF(F838="kg(fertiliser)/Ha",G838*E838,G838*E838/D838)*INDEX(Soil_EFs,MATCH("Inorganic",Soil_EFs_N_type,0)),0),IFERROR(IF(F839="kg(fertiliser)/Ha",G839*E839,G839*E839/D839)*INDEX(Soil_EFs,MATCH("Inorganic",Soil_EFs_N_type,0)),0),IFERROR(IF(F840="kg(fertiliser)/Ha",G840*E840,G840*E840/D840)*INDEX(Soil_EFs,MATCH("Inorganic",Soil_EFs_N_type,0)),0),IFERROR(IF(F841="kg(fertiliser)/Ha",G841*E841,G841*E841/D841)*INDEX(Soil_EFs,MATCH("Inorganic",Soil_EFs_N_type,0)),0),IFERROR(IF(F842="kg(fertiliser)/Ha",G842*E842,G842*E842/D842)*INDEX(Soil_EFs,MATCH("Inorganic",Soil_EFs_N_type,0)),0),IFERROR(IF(F843="kg(fertiliser)/Ha",G843*E843,G843*E843/D843)*INDEX(Soil_EFs,MATCH("Inorganic",Soil_EFs_N_type,0)),0),IFERROR(IF(F845="kg(fertiliser)/Ha",G845*E845,G845*E845/D845)*INDEX(Soil_EFs,MATCH("Inorganic",Soil_EFs_N_type,0)),0),IFERROR(IF(F846="kg(fertiliser)/Ha",G846*E846,G846*E846/D846)*INDEX(Soil_EFs,MATCH("Inorganic",Soil_EFs_N_type,0)),0),IFERROR(IF(F847="kg(fertiliser)/Ha",G847*E847,G847*E847/D847)*INDEX(Soil_EFs,MATCH("Inorganic",Soil_EFs_N_type,0)),0),IFERROR(IF(F848="kg(fertiliser)/Ha",G848*E848,G848*E848/D848)*INDEX(Soil_EFs,MATCH("Inorganic",Soil_EFs_N_type,0)),0),IFERROR(IF(F849="kg(fertiliser)/Ha",G849*E849,G849*E849/D849)*INDEX(Soil_EFs,MATCH("Inorganic",Soil_EFs_N_type,0)),0),IFERROR(IF(F850="kg(fertiliser)/Ha",G850*E850,G850*E850/D850)*INDEX(Soil_EFs,MATCH("Inorganic",Soil_EFs_N_type,0)),0),IFERROR(IF(F851="kg(fertiliser)/Ha",G851*E851,G851*E851/D851)*INDEX(Soil_EFs,MATCH("Inorganic",Soil_EFs_N_type,0)),0),IFERROR(IF(F853="kg(fertiliser)/Ha",G853*E853,G853*E853/D853)*INDEX(Soil_EFs,MATCH("Inorganic",Soil_EFs_N_type,0)),0),IFERROR(IF(F854="kg(fertiliser)/Ha",G854*E854,G854*E854/D854)*INDEX(Soil_EFs,MATCH("Inorganic",Soil_EFs_N_type,0)),0),IFERROR(IF(F855="kg(fertiliser)/Ha",G855*E855,G855*E855/D855)*INDEX(Soil_EFs,MATCH("Inorganic",Soil_EFs_N_type,0)),0),IFERROR(IF(F856="kg(fertiliser)/Ha",G856*E856,G856*E856/D856)*INDEX(Soil_EFs,MATCH("Inorganic",Soil_EFs_N_type,0)),0),IFERROR(IF(F857="kg(fertiliser)/Ha",G857*E857,G857*E857/D857)*INDEX(Soil_EFs,MATCH),0))/F817,"")</f>
        <v/>
      </c>
      <c r="L861" s="38"/>
      <c r="M861" s="35"/>
    </row>
    <row r="862" spans="2:13" s="4" customFormat="1" ht="14.25" customHeight="1" outlineLevel="1" x14ac:dyDescent="0.4">
      <c r="B862" s="20"/>
      <c r="C862" s="24"/>
      <c r="D862" s="21"/>
      <c r="E862" s="21"/>
      <c r="F862" s="21"/>
      <c r="G862" s="21"/>
      <c r="H862" s="21"/>
      <c r="I862" s="41"/>
      <c r="J862" s="36"/>
      <c r="K862" s="36"/>
      <c r="L862" s="37"/>
      <c r="M862" s="35"/>
    </row>
    <row r="863" spans="2:13" s="4" customFormat="1" outlineLevel="1" x14ac:dyDescent="0.4">
      <c r="B863" s="20"/>
      <c r="C863" s="150" t="s">
        <v>154</v>
      </c>
      <c r="D863" s="21"/>
      <c r="E863" s="21"/>
      <c r="F863" s="21"/>
      <c r="G863" s="21"/>
      <c r="H863" s="21"/>
      <c r="I863" s="41"/>
      <c r="J863" s="36"/>
      <c r="K863" s="36"/>
      <c r="L863" s="37"/>
      <c r="M863" s="35"/>
    </row>
    <row r="864" spans="2:13" s="14" customFormat="1" ht="30.6" outlineLevel="1" x14ac:dyDescent="0.4">
      <c r="B864" s="23"/>
      <c r="C864" s="166" t="s">
        <v>155</v>
      </c>
      <c r="D864" s="166" t="s">
        <v>156</v>
      </c>
      <c r="E864" s="166" t="s">
        <v>139</v>
      </c>
      <c r="F864" s="166" t="s">
        <v>140</v>
      </c>
      <c r="G864" s="24"/>
      <c r="H864" s="24"/>
      <c r="I864" s="42"/>
      <c r="J864" s="166" t="s">
        <v>155</v>
      </c>
      <c r="K864" s="164" t="s">
        <v>141</v>
      </c>
      <c r="L864" s="37"/>
      <c r="M864" s="63"/>
    </row>
    <row r="865" spans="2:13" s="4" customFormat="1" outlineLevel="1" x14ac:dyDescent="0.4">
      <c r="B865" s="20"/>
      <c r="C865" s="617" t="str">
        <f>IF(D813="Do not use defaults", "", "Pesticides")</f>
        <v/>
      </c>
      <c r="D865" s="620" t="str">
        <f>IF(C865="Pesticides", 100%, "")</f>
        <v/>
      </c>
      <c r="E865" s="27" t="str">
        <f>IF(C865="Pesticides", "kg(active ingredient)/Ha", "")</f>
        <v/>
      </c>
      <c r="F865" s="27" t="str">
        <f>IF(D813="Do not use defaults","",VLOOKUP(D813,Default_crop_data[],7,FALSE))</f>
        <v/>
      </c>
      <c r="G865" s="1"/>
      <c r="H865" s="1"/>
      <c r="I865" s="43"/>
      <c r="J865" s="27" t="str">
        <f>IF(C865&gt;0,C865,"")</f>
        <v/>
      </c>
      <c r="K865" s="91" t="str">
        <f>IFERROR(IF(C865&gt;0,IF(ISBLANK(E865),"Insert unit",IF(OR(ISBLANK(F865),AND(ISBLANK(D865),E865="kg(pesticide)/Ha")),"Insert data",(IF(E865="kg(pesticide)/HA",F865*D865,F865)*INDEX(Pesticide_EF,MATCH("Pesticide (any)",Pesticides,0))/F817)/1000)),""),"")</f>
        <v/>
      </c>
      <c r="L865" s="39"/>
      <c r="M865" s="35"/>
    </row>
    <row r="866" spans="2:13" s="4" customFormat="1" outlineLevel="1" x14ac:dyDescent="0.4">
      <c r="B866" s="20"/>
      <c r="C866" s="151"/>
      <c r="D866" s="139"/>
      <c r="E866" s="138"/>
      <c r="F866" s="134"/>
      <c r="G866" s="1"/>
      <c r="H866" s="1"/>
      <c r="I866" s="43"/>
      <c r="J866" s="27" t="str">
        <f>IF(C866&gt;0,C866,"")</f>
        <v/>
      </c>
      <c r="K866" s="91" t="str">
        <f>IFERROR(IF(C866&gt;0,IF(ISBLANK(G866),"Insert data",(IF(F866="kg(fertiliser)/HA",G866*D866,G866)*INDEX(Other_fertiliser_EF,MATCH(C866,Other_fertilisers,0))/F817)/1000),""),"")</f>
        <v/>
      </c>
      <c r="L866" s="39"/>
      <c r="M866" s="35"/>
    </row>
    <row r="867" spans="2:13" s="4" customFormat="1" outlineLevel="1" x14ac:dyDescent="0.4">
      <c r="B867" s="20"/>
      <c r="C867" s="151"/>
      <c r="D867" s="139"/>
      <c r="E867" s="138"/>
      <c r="F867" s="134"/>
      <c r="G867" s="1"/>
      <c r="H867" s="1"/>
      <c r="I867" s="43"/>
      <c r="J867" s="27" t="str">
        <f>IF(C867&gt;0,C867,"")</f>
        <v/>
      </c>
      <c r="K867" s="91" t="str">
        <f>IFERROR(IF(C867&gt;0,IF(ISBLANK(G867),"Insert data",(IF(F867="kg(fertiliser)/HA",G867*D867,G867)*INDEX(Other_fertiliser_EF,MATCH(C867,Other_fertilisers,0))/F817)/1000),""),"")</f>
        <v/>
      </c>
      <c r="L867" s="39"/>
      <c r="M867" s="35"/>
    </row>
    <row r="868" spans="2:13" s="4" customFormat="1" outlineLevel="1" x14ac:dyDescent="0.4">
      <c r="B868" s="20"/>
      <c r="C868" s="151"/>
      <c r="D868" s="139"/>
      <c r="E868" s="138"/>
      <c r="F868" s="134"/>
      <c r="G868" s="1"/>
      <c r="H868" s="1"/>
      <c r="I868" s="43"/>
      <c r="J868" s="27" t="str">
        <f>IF(C868&gt;0,C868,"")</f>
        <v/>
      </c>
      <c r="K868" s="91" t="str">
        <f>IFERROR(IF(C868&gt;0,IF(ISBLANK(G868),"Insert data",(IF(F868="kg(fertiliser)/HA",G868*D868,G868)*INDEX(Other_fertiliser_EF,MATCH(C868,Other_fertilisers,0))/F817)/1000),""),"")</f>
        <v/>
      </c>
      <c r="L868" s="39"/>
      <c r="M868" s="35"/>
    </row>
    <row r="869" spans="2:13" s="4" customFormat="1" outlineLevel="1" x14ac:dyDescent="0.4">
      <c r="B869" s="20"/>
      <c r="C869" s="151"/>
      <c r="D869" s="139"/>
      <c r="E869" s="138"/>
      <c r="F869" s="134"/>
      <c r="G869" s="1"/>
      <c r="H869" s="1"/>
      <c r="I869" s="43"/>
      <c r="J869" s="27" t="str">
        <f>IF(C869&gt;0,C869,"")</f>
        <v/>
      </c>
      <c r="K869" s="91" t="str">
        <f>IFERROR(IF(C869&gt;0,IF(ISBLANK(G869),"Insert data",(IF(F869="kg(fertiliser)/HA",G869*D869,G869)*INDEX(Other_fertiliser_EF,MATCH(C869,Other_fertilisers,0))/F817)/1000),""),"")</f>
        <v/>
      </c>
      <c r="L869" s="39"/>
      <c r="M869" s="35"/>
    </row>
    <row r="870" spans="2:13" s="4" customFormat="1" outlineLevel="1" x14ac:dyDescent="0.4">
      <c r="B870" s="20"/>
      <c r="C870" s="24"/>
      <c r="D870" s="21"/>
      <c r="E870" s="21"/>
      <c r="F870" s="21"/>
      <c r="G870" s="21"/>
      <c r="H870" s="21"/>
      <c r="I870" s="41"/>
      <c r="J870" s="36"/>
      <c r="K870" s="36"/>
      <c r="L870" s="37"/>
      <c r="M870" s="35"/>
    </row>
    <row r="871" spans="2:13" s="4" customFormat="1" outlineLevel="1" x14ac:dyDescent="0.4">
      <c r="B871" s="20"/>
      <c r="C871" s="150" t="s">
        <v>157</v>
      </c>
      <c r="D871" s="21"/>
      <c r="E871" s="21"/>
      <c r="F871" s="21"/>
      <c r="G871" s="21"/>
      <c r="H871" s="21"/>
      <c r="I871" s="41"/>
      <c r="J871" s="36"/>
      <c r="K871" s="36"/>
      <c r="L871" s="37"/>
      <c r="M871" s="35"/>
    </row>
    <row r="872" spans="2:13" s="4" customFormat="1" outlineLevel="1" x14ac:dyDescent="0.4">
      <c r="B872" s="20"/>
      <c r="C872" s="167" t="s">
        <v>158</v>
      </c>
      <c r="D872" s="168" t="s">
        <v>151</v>
      </c>
      <c r="E872" s="168" t="s">
        <v>140</v>
      </c>
      <c r="F872" s="21"/>
      <c r="G872" s="21"/>
      <c r="H872" s="21"/>
      <c r="I872" s="41"/>
      <c r="J872" s="164" t="s">
        <v>158</v>
      </c>
      <c r="K872" s="164" t="s">
        <v>141</v>
      </c>
      <c r="L872" s="37"/>
      <c r="M872" s="35"/>
    </row>
    <row r="873" spans="2:13" s="4" customFormat="1" outlineLevel="1" x14ac:dyDescent="0.4">
      <c r="B873" s="20"/>
      <c r="C873" s="617" t="str">
        <f>IF(D813="Silage grass", "Grass", IF(D813="Do not use defaults", "", D813))</f>
        <v/>
      </c>
      <c r="D873" s="27" t="str">
        <f>IF(C873=D813, "kg/Ha", "")</f>
        <v/>
      </c>
      <c r="E873" s="30" t="str">
        <f>IF(D813="Do not use defaults", "",VLOOKUP(D813,Default_crop_data[],8,FALSE))</f>
        <v/>
      </c>
      <c r="F873" s="1"/>
      <c r="G873" s="1"/>
      <c r="H873" s="1"/>
      <c r="I873" s="43"/>
      <c r="J873" s="27" t="str">
        <f>IF(C873&gt;0,C873,"")</f>
        <v/>
      </c>
      <c r="K873" s="52" t="str">
        <f>IF(C873&gt;0,IFERROR(E873*INDEX(Seed_EF,MATCH(C873,Seeds,0))/F817/1000,""),"")</f>
        <v/>
      </c>
      <c r="L873" s="38"/>
      <c r="M873" s="35"/>
    </row>
    <row r="874" spans="2:13" s="4" customFormat="1" outlineLevel="1" x14ac:dyDescent="0.4">
      <c r="B874" s="20"/>
      <c r="C874" s="153"/>
      <c r="D874" s="138"/>
      <c r="E874" s="140"/>
      <c r="F874" s="1"/>
      <c r="G874" s="1"/>
      <c r="H874" s="1"/>
      <c r="I874" s="43"/>
      <c r="J874" s="27" t="str">
        <f>IF(C874&gt;0,C874,"")</f>
        <v/>
      </c>
      <c r="K874" s="52" t="str">
        <f>IF(C874&gt;0,IFERROR(E874*INDEX(Seed_EF,MATCH(C874,Seeds,0))/F818/1000,""),"")</f>
        <v/>
      </c>
      <c r="L874" s="38"/>
      <c r="M874" s="35"/>
    </row>
    <row r="875" spans="2:13" s="4" customFormat="1" outlineLevel="1" x14ac:dyDescent="0.4">
      <c r="B875" s="20"/>
      <c r="C875" s="24"/>
      <c r="D875" s="21"/>
      <c r="E875" s="21"/>
      <c r="F875" s="21"/>
      <c r="G875" s="21"/>
      <c r="H875" s="21"/>
      <c r="I875" s="41"/>
      <c r="J875" s="36"/>
      <c r="K875" s="36"/>
      <c r="L875" s="37"/>
      <c r="M875" s="35"/>
    </row>
    <row r="876" spans="2:13" s="12" customFormat="1" ht="15" customHeight="1" outlineLevel="1" x14ac:dyDescent="0.35">
      <c r="B876" s="20"/>
      <c r="C876" s="25" t="s">
        <v>159</v>
      </c>
      <c r="D876" s="1"/>
      <c r="E876" s="1"/>
      <c r="F876" s="1"/>
      <c r="G876" s="1"/>
      <c r="H876" s="1"/>
      <c r="I876" s="43"/>
      <c r="J876" s="34"/>
      <c r="K876" s="34"/>
      <c r="L876" s="44"/>
      <c r="M876" s="54"/>
    </row>
    <row r="877" spans="2:13" s="12" customFormat="1" ht="15" customHeight="1" outlineLevel="1" x14ac:dyDescent="0.35">
      <c r="B877" s="20"/>
      <c r="C877" s="166" t="s">
        <v>160</v>
      </c>
      <c r="D877" s="164" t="s">
        <v>151</v>
      </c>
      <c r="E877" s="164" t="s">
        <v>140</v>
      </c>
      <c r="F877" s="1"/>
      <c r="G877" s="1"/>
      <c r="H877" s="1"/>
      <c r="I877" s="43"/>
      <c r="J877" s="164" t="s">
        <v>160</v>
      </c>
      <c r="K877" s="164" t="s">
        <v>141</v>
      </c>
      <c r="L877" s="37"/>
      <c r="M877" s="54"/>
    </row>
    <row r="878" spans="2:13" s="12" customFormat="1" ht="15" customHeight="1" outlineLevel="1" x14ac:dyDescent="0.35">
      <c r="B878" s="20"/>
      <c r="C878" s="621" t="str">
        <f>IF(D813="Do not use defaults", "", "Diesel")</f>
        <v/>
      </c>
      <c r="D878" s="74" t="str">
        <f>IF(D813="Do not use defaults", "", "litres/Ha")</f>
        <v/>
      </c>
      <c r="E878" s="622" t="str">
        <f>IF(D813="Do not use defaults", "",VLOOKUP(D813,Default_crop_data[],9,FALSE))</f>
        <v/>
      </c>
      <c r="F878" s="1"/>
      <c r="G878" s="26"/>
      <c r="H878" s="1"/>
      <c r="I878" s="43"/>
      <c r="J878" s="27" t="str">
        <f>IF(C878&gt;0,C878,"")</f>
        <v/>
      </c>
      <c r="K878" s="52" t="str">
        <f>IF(D813="Do not use defaults", "", IFERROR(IF(C878&gt;0,IF(ISBLANK(E878),"Insert data",IF(D878="litres/Ha",E878*INDEX(Fuel_Densities,MATCH(C878,Fuels_for_Densities,0))/1000*INDEX(Fuel_LHV,MATCH(C878,Fuels_for_LHV,0))/F817/1000*INDEX(Fuel_EFs,MATCH(C878,Fuels_for_EF,0)),IF(D878="kg/Ha",E878*INDEX(Fuel_LHV,MATCH(C878,Fuels_for_LHV,0))/F817/1000*INDEX(Fuel_EFs,MATCH(C878,Fuels_for_EF,0)),IF(D878="tonnes/Ha",E878*INDEX(Fuel_LHV,MATCH(C878,Fuels_for_LHV,0))/F817*INDEX(Fuel_EFs,MATCH(C878,Fuels_for_EF,0)),"Insert unit")))),""),""))</f>
        <v/>
      </c>
      <c r="L878" s="40"/>
      <c r="M878" s="54"/>
    </row>
    <row r="879" spans="2:13" s="12" customFormat="1" ht="15" customHeight="1" outlineLevel="1" x14ac:dyDescent="0.35">
      <c r="B879" s="20"/>
      <c r="C879" s="621" t="str">
        <f>IF(D813="Do not use defaults", "", "Diesel")</f>
        <v/>
      </c>
      <c r="D879" s="74" t="str">
        <f>IF(D813="Do not use defaults", "", "litres/Ha")</f>
        <v/>
      </c>
      <c r="E879" s="622" t="str">
        <f>IF(D813="Do not use defaults", "",VLOOKUP(D813,Default_crop_data[],10,FALSE))</f>
        <v/>
      </c>
      <c r="F879" s="1"/>
      <c r="G879" s="1"/>
      <c r="H879" s="1"/>
      <c r="I879" s="43"/>
      <c r="J879" s="27" t="str">
        <f>IF(C879&gt;0,C879,"")</f>
        <v/>
      </c>
      <c r="K879" s="52" t="str">
        <f>IF(D813="Do not use defaults", "", IFERROR(IF(C879&gt;0,IF(ISBLANK(E879),"Insert data",IF(D879="litres/Ha",E879*INDEX(Fuel_Densities,MATCH(C879,Fuels_for_Densities,0))/1000*INDEX(Fuel_LHV,MATCH(C879,Fuels_for_LHV,0))/F817/1000*INDEX(Fuel_EFs,MATCH(C879,Fuels_for_EF,0)),IF(D879="kg/Ha",E879*INDEX(Fuel_LHV,MATCH(C879,Fuels_for_LHV,0))/F817/1000*INDEX(Fuel_EFs,MATCH(C879,Fuels_for_EF,0)),IF(D879="tonnes/Ha",E879*INDEX(Fuel_LHV,MATCH(C879,Fuels_for_LHV,0))/F817*INDEX(Fuel_EFs,MATCH(C879,Fuels_for_EF,0)),"Insert unit")))),""),""))</f>
        <v/>
      </c>
      <c r="L879" s="40"/>
      <c r="M879" s="54"/>
    </row>
    <row r="880" spans="2:13" s="12" customFormat="1" ht="15" customHeight="1" outlineLevel="1" x14ac:dyDescent="0.35">
      <c r="B880" s="20"/>
      <c r="C880" s="154"/>
      <c r="D880" s="141"/>
      <c r="E880" s="142"/>
      <c r="F880" s="1"/>
      <c r="G880" s="1"/>
      <c r="H880" s="1"/>
      <c r="I880" s="43"/>
      <c r="J880" s="27" t="str">
        <f>IF(C880&gt;0,C880,"")</f>
        <v/>
      </c>
      <c r="K880" s="52" t="str">
        <f>IFERROR(IF(C880&gt;0,IF(ISBLANK(E880),"Insert data",IF(D880="litres/Ha",E880*INDEX(Fuel_Densities,MATCH(C880,Fuels_for_Densities,0))/1000*INDEX(Fuel_LHV,MATCH(C880,Fuels_for_LHV,0))/F817/1000*INDEX(Fuel_EFs,MATCH(C880,Fuels_for_EF,0)),IF(D880="kg/Ha",E880*INDEX(Fuel_LHV,MATCH(C880,Fuels_for_LHV,0))/F817/1000*INDEX(Fuel_EFs,MATCH(C880,Fuels_for_EF,0)),IF(D880="tonnes/Ha",E880*INDEX(Fuel_LHV,MATCH(C880,Fuels_for_LHV,0))/F817*INDEX(Fuel_EFs,MATCH(C880,Fuels_for_EF,0)),"Insert unit")))),""),"")</f>
        <v/>
      </c>
      <c r="L880" s="40"/>
      <c r="M880" s="54"/>
    </row>
    <row r="881" spans="2:13" s="12" customFormat="1" ht="15" customHeight="1" outlineLevel="1" x14ac:dyDescent="0.35">
      <c r="B881" s="20"/>
      <c r="C881" s="154"/>
      <c r="D881" s="141"/>
      <c r="E881" s="142"/>
      <c r="F881" s="1"/>
      <c r="G881" s="1"/>
      <c r="H881" s="1"/>
      <c r="I881" s="43"/>
      <c r="J881" s="27" t="str">
        <f>IF(C881&gt;0,C881,"")</f>
        <v/>
      </c>
      <c r="K881" s="52" t="str">
        <f>IFERROR(IF(C881&gt;0,IF(ISBLANK(E881),"Insert data",IF(D881="litres/Ha",E881*INDEX(Fuel_Densities,MATCH(C881,Fuels_for_Densities,0))/1000*INDEX(Fuel_LHV,MATCH(C881,Fuels_for_LHV,0))/F817/1000*INDEX(Fuel_EFs,MATCH(C881,Fuels_for_EF,0)),IF(D881="kg/Ha",E881*INDEX(Fuel_LHV,MATCH(C881,Fuels_for_LHV,0))/F817/1000*INDEX(Fuel_EFs,MATCH(C881,Fuels_for_EF,0)),IF(D881="tonnes/Ha",E881*INDEX(Fuel_LHV,MATCH(C881,Fuels_for_LHV,0))/F817*INDEX(Fuel_EFs,MATCH(C881,Fuels_for_EF,0)),"Insert unit")))),""),"")</f>
        <v/>
      </c>
      <c r="L881" s="40"/>
      <c r="M881" s="54"/>
    </row>
    <row r="882" spans="2:13" s="4" customFormat="1" ht="13.5" customHeight="1" outlineLevel="1" x14ac:dyDescent="0.4">
      <c r="B882" s="20"/>
      <c r="C882" s="24"/>
      <c r="D882" s="21"/>
      <c r="E882" s="21"/>
      <c r="F882" s="21"/>
      <c r="G882" s="21"/>
      <c r="H882" s="21"/>
      <c r="I882" s="46"/>
      <c r="J882" s="58"/>
      <c r="K882" s="58"/>
      <c r="L882" s="59"/>
      <c r="M882" s="35"/>
    </row>
    <row r="883" spans="2:13" s="4" customFormat="1" ht="13.5" customHeight="1" outlineLevel="1" x14ac:dyDescent="0.4">
      <c r="B883" s="20"/>
      <c r="C883" s="661" t="s">
        <v>120</v>
      </c>
      <c r="D883" s="21"/>
      <c r="E883" s="21"/>
      <c r="F883" s="21"/>
      <c r="G883" s="21"/>
      <c r="H883" s="21"/>
      <c r="I883" s="21"/>
      <c r="J883" s="21"/>
      <c r="K883" s="21"/>
      <c r="L883" s="21"/>
      <c r="M883" s="35"/>
    </row>
    <row r="884" spans="2:13" s="4" customFormat="1" ht="13.5" customHeight="1" outlineLevel="1" x14ac:dyDescent="0.4">
      <c r="B884" s="20"/>
      <c r="C884" s="166" t="s">
        <v>161</v>
      </c>
      <c r="D884" s="622">
        <f xml:space="preserve"> IFERROR(( Feedstocks!D19* (Feedstocks!E19/ IF(Feedstocks!I19="Default",  Feedstocks!J19, Feedstocks!K19)) /('Transport 1'!F419 * 'Feedstock conversion'!F417 * 'Transport 2'!F419)) /F817, 0)</f>
        <v>0</v>
      </c>
      <c r="E884" s="21"/>
      <c r="F884" s="21"/>
      <c r="G884" s="21"/>
      <c r="H884" s="21"/>
      <c r="I884" s="21"/>
      <c r="J884" s="21"/>
      <c r="K884" s="21"/>
      <c r="L884" s="21"/>
      <c r="M884" s="35"/>
    </row>
    <row r="885" spans="2:13" s="4" customFormat="1" ht="13.5" customHeight="1" outlineLevel="1" x14ac:dyDescent="0.4">
      <c r="B885" s="28"/>
      <c r="C885" s="155"/>
      <c r="D885" s="29"/>
      <c r="E885" s="29"/>
      <c r="F885" s="29"/>
      <c r="G885" s="29"/>
      <c r="H885" s="29"/>
      <c r="I885" s="29"/>
      <c r="J885" s="29"/>
      <c r="K885" s="29"/>
      <c r="L885" s="29"/>
      <c r="M885" s="60"/>
    </row>
    <row r="886" spans="2:13" s="4" customFormat="1" x14ac:dyDescent="0.4">
      <c r="C886" s="14"/>
    </row>
    <row r="887" spans="2:13" s="4" customFormat="1" hidden="1" x14ac:dyDescent="0.4">
      <c r="C887" s="14"/>
    </row>
    <row r="888" spans="2:13" s="4" customFormat="1" hidden="1" x14ac:dyDescent="0.4">
      <c r="C888" s="14"/>
    </row>
    <row r="889" spans="2:13" s="4" customFormat="1" hidden="1" x14ac:dyDescent="0.4">
      <c r="C889" s="14"/>
    </row>
    <row r="890" spans="2:13" s="4" customFormat="1" hidden="1" x14ac:dyDescent="0.4">
      <c r="C890" s="14"/>
    </row>
    <row r="891" spans="2:13" s="4" customFormat="1" hidden="1" x14ac:dyDescent="0.4">
      <c r="C891" s="14"/>
    </row>
    <row r="892" spans="2:13" s="4" customFormat="1" hidden="1" x14ac:dyDescent="0.4">
      <c r="C892" s="14"/>
    </row>
    <row r="893" spans="2:13" s="4" customFormat="1" hidden="1" x14ac:dyDescent="0.4">
      <c r="C893" s="14"/>
    </row>
    <row r="894" spans="2:13" s="4" customFormat="1" hidden="1" x14ac:dyDescent="0.4">
      <c r="C894" s="14"/>
    </row>
    <row r="895" spans="2:13" s="4" customFormat="1" hidden="1" x14ac:dyDescent="0.4">
      <c r="C895" s="14"/>
    </row>
    <row r="896" spans="2:13" s="4" customFormat="1" hidden="1" x14ac:dyDescent="0.4">
      <c r="C896" s="14"/>
    </row>
    <row r="897" spans="2:13" s="4" customFormat="1" hidden="1" x14ac:dyDescent="0.4">
      <c r="C897" s="14"/>
    </row>
    <row r="898" spans="2:13" s="4" customFormat="1" hidden="1" x14ac:dyDescent="0.4">
      <c r="C898" s="14"/>
    </row>
    <row r="899" spans="2:13" s="4" customFormat="1" hidden="1" x14ac:dyDescent="0.4">
      <c r="C899" s="14"/>
    </row>
    <row r="900" spans="2:13" s="4" customFormat="1" hidden="1" x14ac:dyDescent="0.4">
      <c r="C900" s="14"/>
    </row>
    <row r="901" spans="2:13" s="4" customFormat="1" hidden="1" x14ac:dyDescent="0.4">
      <c r="C901" s="14"/>
    </row>
    <row r="902" spans="2:13" s="4" customFormat="1" hidden="1" x14ac:dyDescent="0.4">
      <c r="C902" s="14"/>
    </row>
    <row r="903" spans="2:13" s="4" customFormat="1" hidden="1" x14ac:dyDescent="0.4">
      <c r="C903" s="14"/>
    </row>
    <row r="904" spans="2:13" s="4" customFormat="1" hidden="1" x14ac:dyDescent="0.4">
      <c r="C904" s="14"/>
    </row>
    <row r="905" spans="2:13" s="4" customFormat="1" hidden="1" x14ac:dyDescent="0.4">
      <c r="C905" s="14"/>
    </row>
    <row r="906" spans="2:13" s="4" customFormat="1" hidden="1" x14ac:dyDescent="0.4">
      <c r="C906" s="14"/>
    </row>
    <row r="907" spans="2:13" s="4" customFormat="1" hidden="1" x14ac:dyDescent="0.4">
      <c r="C907" s="14"/>
    </row>
    <row r="908" spans="2:13" s="4" customFormat="1" ht="19.2" x14ac:dyDescent="0.45">
      <c r="B908" s="754" t="str">
        <f>"Cultivation &amp; Harvesting"&amp;" - "&amp;Feedstocks!C20</f>
        <v xml:space="preserve">Cultivation &amp; Harvesting - </v>
      </c>
      <c r="C908" s="755"/>
      <c r="D908" s="755"/>
      <c r="E908" s="755"/>
      <c r="F908" s="755"/>
      <c r="G908" s="755"/>
      <c r="H908" s="755"/>
      <c r="I908" s="755"/>
      <c r="J908" s="755"/>
      <c r="K908" s="755"/>
      <c r="L908" s="755"/>
      <c r="M908" s="756"/>
    </row>
    <row r="909" spans="2:13" s="4" customFormat="1" outlineLevel="1" x14ac:dyDescent="0.4">
      <c r="B909" s="17"/>
      <c r="C909" s="184"/>
      <c r="D909" s="19"/>
      <c r="E909" s="19"/>
      <c r="F909" s="19"/>
      <c r="G909" s="19"/>
      <c r="H909" s="19"/>
      <c r="I909" s="19"/>
      <c r="J909" s="19"/>
      <c r="K909" s="19"/>
      <c r="L909" s="19"/>
      <c r="M909" s="50"/>
    </row>
    <row r="910" spans="2:13" s="4" customFormat="1" outlineLevel="1" x14ac:dyDescent="0.4">
      <c r="B910" s="20"/>
      <c r="C910" s="521" t="s">
        <v>46</v>
      </c>
      <c r="D910" s="751"/>
      <c r="E910" s="751"/>
      <c r="F910" s="751"/>
      <c r="G910" s="1"/>
      <c r="I910" s="303" t="s">
        <v>122</v>
      </c>
      <c r="J910" s="64"/>
      <c r="K910" s="47"/>
      <c r="L910" s="45"/>
      <c r="M910" s="35"/>
    </row>
    <row r="911" spans="2:13" s="4" customFormat="1" outlineLevel="1" x14ac:dyDescent="0.4">
      <c r="B911" s="20"/>
      <c r="C911" s="162" t="s">
        <v>123</v>
      </c>
      <c r="D911" s="752" t="str">
        <f>IF(Feedstocks!$H$20&gt;0,Feedstocks!$H$20,"")</f>
        <v/>
      </c>
      <c r="E911" s="753"/>
      <c r="F911" s="753"/>
      <c r="G911" s="76"/>
      <c r="H911" s="94"/>
      <c r="I911" s="41"/>
      <c r="J911" s="36"/>
      <c r="K911" s="164" t="s">
        <v>124</v>
      </c>
      <c r="L911" s="37"/>
      <c r="M911" s="35"/>
    </row>
    <row r="912" spans="2:13" s="4" customFormat="1" outlineLevel="1" x14ac:dyDescent="0.4">
      <c r="B912" s="20"/>
      <c r="C912" s="24"/>
      <c r="D912" s="21"/>
      <c r="E912" s="21"/>
      <c r="F912" s="21"/>
      <c r="G912" s="21"/>
      <c r="H912" s="21"/>
      <c r="I912" s="41"/>
      <c r="J912" s="164" t="s">
        <v>125</v>
      </c>
      <c r="K912" s="183" t="str">
        <f>IFERROR(IF('Feedstock conversion'!E463="Yes",(K915/(IF(Feedstocks!I20="default",Feedstocks!J20,IF(Feedstocks!I20="actual",Feedstocks!K20,"Insert data (plant inputs)"))/Feedstocks!E20*'Transport 1'!F469*'Feedstock conversion'!D467*'Transport 2'!F469*('Digestion &amp; outputs'!$G$25/1000)))*IF('Feedstock conversion'!E492="Yes",'Feedstock conversion'!J495,1)*'Digestion &amp; outputs'!$K$23,IF('Feedstock conversion'!E463="No",(K915/(IF(Feedstocks!I20="default",Feedstocks!J20,IF(Feedstocks!I20="actual",Feedstocks!K20,"Insert data (plant inputs)"))/Feedstocks!E20*'Transport 1'!F469*'Transport 2'!F469*('Digestion &amp; outputs'!$G$25/1000)))*'Digestion &amp; outputs'!$K$23,"")),"")</f>
        <v/>
      </c>
      <c r="L912" s="37"/>
      <c r="M912" s="35"/>
    </row>
    <row r="913" spans="2:13" s="4" customFormat="1" ht="18" customHeight="1" outlineLevel="1" x14ac:dyDescent="0.4">
      <c r="B913" s="20"/>
      <c r="C913" s="286" t="s">
        <v>126</v>
      </c>
      <c r="D913" s="673" t="s">
        <v>127</v>
      </c>
      <c r="G913" s="21"/>
      <c r="H913" s="21"/>
      <c r="I913" s="41"/>
      <c r="J913" s="67"/>
      <c r="K913" s="67"/>
      <c r="L913" s="37"/>
      <c r="M913" s="35"/>
    </row>
    <row r="914" spans="2:13" s="4" customFormat="1" outlineLevel="1" x14ac:dyDescent="0.4">
      <c r="B914" s="20"/>
      <c r="C914" s="14"/>
      <c r="G914" s="21"/>
      <c r="H914" s="21"/>
      <c r="I914" s="41"/>
      <c r="J914" s="36"/>
      <c r="K914" s="164" t="s">
        <v>128</v>
      </c>
      <c r="L914" s="37"/>
      <c r="M914" s="35"/>
    </row>
    <row r="915" spans="2:13" s="4" customFormat="1" outlineLevel="1" x14ac:dyDescent="0.4">
      <c r="B915" s="20"/>
      <c r="C915" s="150" t="s">
        <v>129</v>
      </c>
      <c r="G915" s="21"/>
      <c r="H915" s="21"/>
      <c r="I915" s="41"/>
      <c r="J915" s="169" t="s">
        <v>130</v>
      </c>
      <c r="K915" s="52">
        <f>IFERROR(SUM(K920:K926,K928:K933,K937:K943,K945:K951,K953:K957,K961,K965:K969,K973,K978:K981),"")</f>
        <v>0</v>
      </c>
      <c r="L915" s="37"/>
      <c r="M915" s="35"/>
    </row>
    <row r="916" spans="2:13" s="4" customFormat="1" outlineLevel="1" x14ac:dyDescent="0.4">
      <c r="B916" s="20"/>
      <c r="C916" s="166" t="s">
        <v>131</v>
      </c>
      <c r="D916" s="164" t="s">
        <v>132</v>
      </c>
      <c r="E916" s="164" t="s">
        <v>133</v>
      </c>
      <c r="F916" s="164" t="s">
        <v>134</v>
      </c>
      <c r="G916" s="748" t="str">
        <f>IF(C917="actual","Must insert actual data for fertiliser application","")</f>
        <v/>
      </c>
      <c r="H916" s="21"/>
      <c r="I916" s="46"/>
      <c r="J916" s="58"/>
      <c r="K916" s="58"/>
      <c r="L916" s="59"/>
      <c r="M916" s="35"/>
    </row>
    <row r="917" spans="2:13" s="4" customFormat="1" outlineLevel="1" x14ac:dyDescent="0.4">
      <c r="B917" s="20"/>
      <c r="C917" s="151" t="s">
        <v>96</v>
      </c>
      <c r="D917" s="93" t="str">
        <f>IFERROR(INDEX(Crop_yields,MATCH(D913,Crops_for_yields,0)),"")</f>
        <v/>
      </c>
      <c r="E917" s="135"/>
      <c r="F917" s="31" t="str">
        <f>IFERROR(IF(C917="Default",D917,IF(ISBLANK(E917),"Insert data",E917)),"")</f>
        <v/>
      </c>
      <c r="G917" s="749"/>
      <c r="H917" s="21"/>
      <c r="I917" s="21"/>
      <c r="J917" s="21"/>
      <c r="K917" s="21"/>
      <c r="L917" s="21"/>
      <c r="M917" s="35"/>
    </row>
    <row r="918" spans="2:13" s="4" customFormat="1" ht="24" customHeight="1" outlineLevel="1" x14ac:dyDescent="0.4">
      <c r="B918" s="20"/>
      <c r="C918" s="150" t="s">
        <v>135</v>
      </c>
      <c r="D918" s="21"/>
      <c r="E918" s="21"/>
      <c r="F918" s="21"/>
      <c r="H918" s="21"/>
      <c r="I918" s="303" t="s">
        <v>136</v>
      </c>
      <c r="J918" s="47"/>
      <c r="K918" s="47"/>
      <c r="L918" s="45"/>
      <c r="M918" s="35"/>
    </row>
    <row r="919" spans="2:13" s="14" customFormat="1" outlineLevel="1" x14ac:dyDescent="0.4">
      <c r="B919" s="23"/>
      <c r="C919" s="166" t="s">
        <v>137</v>
      </c>
      <c r="D919" s="164" t="s">
        <v>138</v>
      </c>
      <c r="E919" s="164" t="s">
        <v>139</v>
      </c>
      <c r="F919" s="164" t="s">
        <v>140</v>
      </c>
      <c r="G919" s="4"/>
      <c r="H919" s="24"/>
      <c r="I919" s="42"/>
      <c r="J919" s="164" t="s">
        <v>137</v>
      </c>
      <c r="K919" s="164" t="s">
        <v>141</v>
      </c>
      <c r="L919" s="37"/>
      <c r="M919" s="63"/>
    </row>
    <row r="920" spans="2:13" s="4" customFormat="1" outlineLevel="1" x14ac:dyDescent="0.4">
      <c r="B920" s="20"/>
      <c r="C920" s="617" t="str">
        <f>IF(D913="Do not use defaults", "", "Nitrogen fertiliser (unspecified)")</f>
        <v/>
      </c>
      <c r="D920" s="618" t="str">
        <f>IF(D913="Do not use defaults", "",INDEX(N_fertiliser_N_composition,MATCH(C920,N_Fertilisers,0)))</f>
        <v/>
      </c>
      <c r="E920" s="27" t="str">
        <f>IF(D913="Do not use defaults","", "kg(Nitrogen)/Ha")</f>
        <v/>
      </c>
      <c r="F920" s="619" t="str">
        <f>IF(D913="Do not use defaults", "",VLOOKUP(D913,Default_crop_data[],2,FALSE))</f>
        <v/>
      </c>
      <c r="H920" s="1"/>
      <c r="I920" s="43"/>
      <c r="J920" s="27" t="str">
        <f t="shared" ref="J920:J926" si="27">IF(C920&gt;0,C920,"")</f>
        <v/>
      </c>
      <c r="K920" s="91" t="str">
        <f>IFERROR(IF(C920&gt;0,IF(ISBLANK(E920),"Insert unit",IF(ISBLANK(F920),"Insert data",(IF(E920="kg(fertiliser)/HA",F920*D920,F920)*INDEX(N_Fertiliser_EF,MATCH(C920,N_Fertilisers,0))/F917)/1000)),""),"")</f>
        <v/>
      </c>
      <c r="L920" s="39"/>
      <c r="M920" s="35"/>
    </row>
    <row r="921" spans="2:13" s="4" customFormat="1" outlineLevel="1" x14ac:dyDescent="0.4">
      <c r="B921" s="20"/>
      <c r="C921" s="151"/>
      <c r="D921" s="92" t="str">
        <f>IF(C921&gt;0,INDEX(N_fertiliser_N_composition,MATCH(C921,N_Fertilisers,0)),"")</f>
        <v/>
      </c>
      <c r="E921" s="138"/>
      <c r="F921" s="137"/>
      <c r="H921" s="1"/>
      <c r="I921" s="43"/>
      <c r="J921" s="27" t="str">
        <f t="shared" si="27"/>
        <v/>
      </c>
      <c r="K921" s="91" t="str">
        <f>IFERROR(IF(C921&gt;0,IF(ISBLANK(E921),"Insert unit",IF(ISBLANK(F921),"Insert data",(IF(E921="kg(fertiliser)/HA",F921*D921,F921)*INDEX(N_Fertiliser_EF,MATCH(C921,N_Fertilisers,0))/F917)/1000)),""),"")</f>
        <v/>
      </c>
      <c r="L921" s="39"/>
      <c r="M921" s="35"/>
    </row>
    <row r="922" spans="2:13" s="4" customFormat="1" outlineLevel="1" x14ac:dyDescent="0.4">
      <c r="B922" s="20"/>
      <c r="C922" s="151"/>
      <c r="D922" s="92" t="str">
        <f>IF(C922&gt;0,INDEX(N_fertiliser_N_composition,MATCH(C922,N_Fertilisers,0)),"")</f>
        <v/>
      </c>
      <c r="E922" s="138"/>
      <c r="F922" s="137"/>
      <c r="H922" s="1"/>
      <c r="I922" s="43"/>
      <c r="J922" s="27" t="str">
        <f t="shared" si="27"/>
        <v/>
      </c>
      <c r="K922" s="91" t="str">
        <f>IFERROR(IF(C922&gt;0,IF(ISBLANK(E922),"Insert unit",IF(ISBLANK(F922),"Insert data",(IF(E922="kg(fertiliser)/HA",F922*D922,F922)*INDEX(N_Fertiliser_EF,MATCH(C922,N_Fertilisers,0))/F917)/1000)),""),"")</f>
        <v/>
      </c>
      <c r="L922" s="39"/>
      <c r="M922" s="35"/>
    </row>
    <row r="923" spans="2:13" s="4" customFormat="1" outlineLevel="1" x14ac:dyDescent="0.4">
      <c r="B923" s="20"/>
      <c r="C923" s="151"/>
      <c r="D923" s="92" t="str">
        <f>IF(C923&gt;0,INDEX(N_fertiliser_N_composition,MATCH(C923,N_Fertilisers,0)),"")</f>
        <v/>
      </c>
      <c r="E923" s="138"/>
      <c r="F923" s="137"/>
      <c r="H923" s="1"/>
      <c r="I923" s="43"/>
      <c r="J923" s="27" t="str">
        <f t="shared" si="27"/>
        <v/>
      </c>
      <c r="K923" s="91" t="str">
        <f>IFERROR(IF(C923&gt;0,IF(ISBLANK(E923),"Insert unit",IF(ISBLANK(F923),"Insert data",(IF(E923="kg(fertiliser)/HA",F923*D923,F923)*INDEX(N_Fertiliser_EF,MATCH(C923,N_Fertilisers,0))/F917)/1000)),""),"")</f>
        <v/>
      </c>
      <c r="L923" s="39"/>
      <c r="M923" s="35"/>
    </row>
    <row r="924" spans="2:13" s="4" customFormat="1" outlineLevel="1" x14ac:dyDescent="0.4">
      <c r="B924" s="20"/>
      <c r="C924" s="151"/>
      <c r="D924" s="136"/>
      <c r="E924" s="138"/>
      <c r="F924" s="137"/>
      <c r="H924" s="1"/>
      <c r="I924" s="43"/>
      <c r="J924" s="27" t="str">
        <f t="shared" si="27"/>
        <v/>
      </c>
      <c r="K924" s="91" t="str">
        <f>IFERROR(IF(C924&gt;0,IF(ISBLANK(E924),"Insert unit",IF(OR(ISBLANK(F924),ISBLANK(D924)),"Insert data",(IF(E924="kg(fertiliser)/HA",F924*D924,F924)*INDEX(N_Fertiliser_EF,MATCH("nitrogen fertiliser (unspecified)",N_Fertilisers,0))/F917)/1000)),""),"")</f>
        <v/>
      </c>
      <c r="L924" s="39"/>
      <c r="M924" s="35"/>
    </row>
    <row r="925" spans="2:13" s="4" customFormat="1" outlineLevel="1" x14ac:dyDescent="0.4">
      <c r="B925" s="20"/>
      <c r="C925" s="151"/>
      <c r="D925" s="136"/>
      <c r="E925" s="138"/>
      <c r="F925" s="137"/>
      <c r="H925" s="1"/>
      <c r="I925" s="43"/>
      <c r="J925" s="27" t="str">
        <f t="shared" si="27"/>
        <v/>
      </c>
      <c r="K925" s="91" t="str">
        <f>IFERROR(IF(C925&gt;0,IF(ISBLANK(E925),"Insert unit",IF(OR(ISBLANK(F925),ISBLANK(D925)),"Insert data",(IF(E925="kg(fertiliser)/HA",F925*D925,F925)*INDEX(N_Fertiliser_EF,MATCH("nitrogen fertiliser (unspecified)",N_Fertilisers,0))/F917)/1000)),""),"")</f>
        <v/>
      </c>
      <c r="L925" s="39"/>
      <c r="M925" s="35"/>
    </row>
    <row r="926" spans="2:13" s="4" customFormat="1" outlineLevel="1" x14ac:dyDescent="0.4">
      <c r="B926" s="20"/>
      <c r="C926" s="151"/>
      <c r="D926" s="136"/>
      <c r="E926" s="138"/>
      <c r="F926" s="137"/>
      <c r="G926" s="14"/>
      <c r="H926" s="1"/>
      <c r="I926" s="43"/>
      <c r="J926" s="27" t="str">
        <f t="shared" si="27"/>
        <v/>
      </c>
      <c r="K926" s="91" t="str">
        <f>IFERROR(IF(C926&gt;0,IF(ISBLANK(E926),"Insert unit",IF(OR(ISBLANK(F926),ISBLANK(D926)),"Insert data",(IF(E926="kg(fertiliser)/HA",F926*D926,F926)*INDEX(N_Fertiliser_EF,MATCH("nitrogen fertiliser (unspecified)",N_Fertilisers,0))/F917)/1000)),""),"")</f>
        <v/>
      </c>
      <c r="L926" s="39"/>
      <c r="M926" s="35"/>
    </row>
    <row r="927" spans="2:13" s="4" customFormat="1" outlineLevel="1" x14ac:dyDescent="0.4">
      <c r="B927" s="20"/>
      <c r="C927" s="653" t="s">
        <v>142</v>
      </c>
      <c r="D927" s="654" t="s">
        <v>138</v>
      </c>
      <c r="E927" s="654" t="s">
        <v>139</v>
      </c>
      <c r="F927" s="655" t="s">
        <v>140</v>
      </c>
      <c r="G927" s="14"/>
      <c r="H927" s="1"/>
      <c r="I927" s="43"/>
      <c r="J927" s="166" t="s">
        <v>142</v>
      </c>
      <c r="K927" s="164" t="s">
        <v>141</v>
      </c>
      <c r="L927" s="39"/>
      <c r="M927" s="35"/>
    </row>
    <row r="928" spans="2:13" s="4" customFormat="1" outlineLevel="1" x14ac:dyDescent="0.4">
      <c r="B928" s="20"/>
      <c r="C928" s="649" t="str">
        <f>IF(D913="Do not use defaults", "", "Digestate")</f>
        <v/>
      </c>
      <c r="D928" s="618" t="str">
        <f>IF(D913="Do not use defaults", "",INDEX(Organic_fertilisers_N_Composition,MATCH(C928,Organic_fertilisers,0)))</f>
        <v/>
      </c>
      <c r="E928" s="27" t="str">
        <f>IF(D913="Do not use defaults", "", "t(fertiliser)/Ha")</f>
        <v/>
      </c>
      <c r="F928" s="651" t="str">
        <f>IF(D913="Do not use defaults", "",VLOOKUP(D913,Default_crop_data[],5,FALSE))</f>
        <v/>
      </c>
      <c r="G928" s="14"/>
      <c r="H928" s="1"/>
      <c r="I928" s="43"/>
      <c r="J928" s="27" t="str">
        <f t="shared" ref="J928:J933" si="28">IF(C928&gt;0,C928,"")</f>
        <v/>
      </c>
      <c r="K928" s="91" t="str">
        <f>IFERROR(IF(C928&gt;0,IF(ISBLANK(E928),"Insert unit",IF(ISBLANK(F928),"Insert data",(IF(E928="kg(fertiliser)/HA",F928*D928,IF(E928="t(fertiliser)/Ha",F928*1000*D928,F928))*INDEX(Organic_fertiliser_EF,MATCH(C928,Organic_fertilisers,0))/F917)/1000)),""),"")</f>
        <v/>
      </c>
      <c r="L928" s="39"/>
      <c r="M928" s="35"/>
    </row>
    <row r="929" spans="2:13" s="4" customFormat="1" outlineLevel="1" x14ac:dyDescent="0.4">
      <c r="B929" s="20"/>
      <c r="C929" s="650"/>
      <c r="D929" s="92" t="str">
        <f>IF(C929&gt;0,INDEX(Organic_fertilisers_N_Composition,MATCH(C929,Organic_fertilisers,0)),"")</f>
        <v/>
      </c>
      <c r="E929" s="138"/>
      <c r="F929" s="652"/>
      <c r="G929" s="14"/>
      <c r="H929" s="1"/>
      <c r="I929" s="43"/>
      <c r="J929" s="27" t="str">
        <f t="shared" si="28"/>
        <v/>
      </c>
      <c r="K929" s="91" t="str">
        <f>IFERROR(IF(C929&gt;0,IF(ISBLANK(E929),"Insert unit",IF(ISBLANK(F929),"Insert data",(IF(E929="kg(fertiliser)/HA",F929*D929,IF(E929="t(fertiliser)/Ha",F929*1000*D929,F929))*INDEX(Organic_fertiliser_EF,MATCH(C929,Organic_fertilisers,0))/F917)/1000)),""),"")</f>
        <v/>
      </c>
      <c r="L929" s="39"/>
      <c r="M929" s="35"/>
    </row>
    <row r="930" spans="2:13" s="4" customFormat="1" outlineLevel="1" x14ac:dyDescent="0.4">
      <c r="B930" s="20"/>
      <c r="C930" s="650"/>
      <c r="D930" s="92" t="str">
        <f>IF(C930&gt;0,INDEX(Organic_fertilisers_N_Composition,MATCH(C930,Organic_fertilisers,0)),"")</f>
        <v/>
      </c>
      <c r="E930" s="138"/>
      <c r="F930" s="652"/>
      <c r="G930" s="14"/>
      <c r="H930" s="1"/>
      <c r="I930" s="43"/>
      <c r="J930" s="27" t="str">
        <f t="shared" si="28"/>
        <v/>
      </c>
      <c r="K930" s="91" t="str">
        <f>IFERROR(IF(C930&gt;0,IF(ISBLANK(E930),"Insert unit",IF(ISBLANK(F930),"Insert data",(IF(E930="kg(fertiliser)/HA",F930*D930,IF(E930="t(fertiliser)/Ha",F930*1000*D930,F930))*INDEX(Organic_fertiliser_EF,MATCH(C930,Organic_fertilisers,0))/F917)/1000)),""),"")</f>
        <v/>
      </c>
      <c r="L930" s="39"/>
      <c r="M930" s="35"/>
    </row>
    <row r="931" spans="2:13" s="4" customFormat="1" outlineLevel="1" x14ac:dyDescent="0.4">
      <c r="B931" s="20"/>
      <c r="C931" s="650"/>
      <c r="D931" s="92" t="str">
        <f>IF(C931&gt;0,INDEX(Organic_fertilisers_N_Composition,MATCH(C931,Organic_fertilisers,0)),"")</f>
        <v/>
      </c>
      <c r="E931" s="138"/>
      <c r="F931" s="652"/>
      <c r="G931" s="14"/>
      <c r="H931" s="1"/>
      <c r="I931" s="43"/>
      <c r="J931" s="27" t="str">
        <f t="shared" si="28"/>
        <v/>
      </c>
      <c r="K931" s="91" t="str">
        <f>IFERROR(IF(C931&gt;0,IF(ISBLANK(E931),"Insert unit",IF(ISBLANK(F931),"Insert data",(IF(E931="kg(fertiliser)/HA",F931*D931,IF(E931="t(fertiliser)/Ha",F931*1000*D931,F931))*INDEX(Organic_fertiliser_EF,MATCH(C931,Organic_fertilisers,0))/F917)/1000)),""),"")</f>
        <v/>
      </c>
      <c r="L931" s="39"/>
      <c r="M931" s="35"/>
    </row>
    <row r="932" spans="2:13" s="4" customFormat="1" outlineLevel="1" x14ac:dyDescent="0.4">
      <c r="B932" s="20"/>
      <c r="C932" s="650"/>
      <c r="D932" s="136"/>
      <c r="E932" s="138"/>
      <c r="F932" s="652"/>
      <c r="G932" s="14"/>
      <c r="H932" s="1"/>
      <c r="I932" s="43"/>
      <c r="J932" s="27" t="str">
        <f t="shared" si="28"/>
        <v/>
      </c>
      <c r="K932" s="91" t="str">
        <f>IFERROR(IF(C932&gt;0,IF(ISBLANK(E932),"Insert unit",IF(ISBLANK(F932),"Insert data",0)),""),"")</f>
        <v/>
      </c>
      <c r="L932" s="39"/>
      <c r="M932" s="35"/>
    </row>
    <row r="933" spans="2:13" s="4" customFormat="1" outlineLevel="1" x14ac:dyDescent="0.4">
      <c r="B933" s="20"/>
      <c r="C933" s="656"/>
      <c r="D933" s="657"/>
      <c r="E933" s="658"/>
      <c r="F933" s="659"/>
      <c r="G933" s="14"/>
      <c r="H933" s="1"/>
      <c r="I933" s="43"/>
      <c r="J933" s="27" t="str">
        <f t="shared" si="28"/>
        <v/>
      </c>
      <c r="K933" s="91" t="str">
        <f>IFERROR(IF(C933&gt;0,IF(ISBLANK(E933),"Insert unit",IF(ISBLANK(F933),"Insert data",0)),""),"")</f>
        <v/>
      </c>
      <c r="L933" s="39"/>
      <c r="M933" s="35"/>
    </row>
    <row r="934" spans="2:13" s="4" customFormat="1" outlineLevel="1" x14ac:dyDescent="0.4">
      <c r="B934" s="20"/>
      <c r="C934" s="166" t="s">
        <v>143</v>
      </c>
      <c r="D934" s="164" t="s">
        <v>138</v>
      </c>
      <c r="E934" s="164" t="s">
        <v>139</v>
      </c>
      <c r="F934" s="164" t="s">
        <v>140</v>
      </c>
      <c r="G934" s="14"/>
      <c r="H934" s="1"/>
      <c r="I934" s="43"/>
      <c r="J934" s="166" t="str">
        <f>IF(C934&gt;0,C934,"")</f>
        <v>Low in-field emissions fertiliser</v>
      </c>
      <c r="K934" s="164" t="s">
        <v>141</v>
      </c>
      <c r="L934" s="39"/>
      <c r="M934" s="35"/>
    </row>
    <row r="935" spans="2:13" s="4" customFormat="1" outlineLevel="1" x14ac:dyDescent="0.4">
      <c r="B935" s="20"/>
      <c r="C935" s="151"/>
      <c r="D935" s="92"/>
      <c r="E935" s="138"/>
      <c r="F935" s="137"/>
      <c r="G935" s="14"/>
      <c r="H935" s="1"/>
      <c r="I935" s="43"/>
      <c r="J935" s="27" t="str">
        <f>IF(C935&gt;0,C935,"")</f>
        <v/>
      </c>
      <c r="K935" s="91" t="str" cm="1">
        <f t="array" ref="K935">IFERROR(IF(C935&gt;0,IF(ISBLANK(E935),"Insert unit",IF(ISBLANK(F935),"Insert data",(IF(E935="kg(fertiliser)/Ha",F935*D935,IF(E935="t(fertiliser)/Ha",F935*1000*D935,F935))*(Low_infield_EF_table[Emission Factor (gCO2eq/kgnitrogen)])/F917)/1000)),""),"")</f>
        <v/>
      </c>
      <c r="L935" s="39"/>
      <c r="M935" s="35"/>
    </row>
    <row r="936" spans="2:13" s="14" customFormat="1" outlineLevel="1" x14ac:dyDescent="0.4">
      <c r="B936" s="23"/>
      <c r="C936" s="166" t="s">
        <v>144</v>
      </c>
      <c r="D936" s="166" t="s">
        <v>145</v>
      </c>
      <c r="E936" s="166" t="s">
        <v>138</v>
      </c>
      <c r="F936" s="166" t="s">
        <v>139</v>
      </c>
      <c r="G936" s="166" t="s">
        <v>140</v>
      </c>
      <c r="H936" s="24"/>
      <c r="I936" s="42"/>
      <c r="J936" s="166" t="s">
        <v>144</v>
      </c>
      <c r="K936" s="164" t="s">
        <v>141</v>
      </c>
      <c r="L936" s="37"/>
      <c r="M936" s="63"/>
    </row>
    <row r="937" spans="2:13" s="4" customFormat="1" outlineLevel="1" x14ac:dyDescent="0.4">
      <c r="B937" s="20"/>
      <c r="C937" s="617" t="str">
        <f>IF(D913="Do not use defaults", "", "P2O5 fertiliser (unspecified)")</f>
        <v/>
      </c>
      <c r="D937" s="618" t="str" cm="1">
        <f t="array" ref="D937">IF(D913="Do not use defaults", "",INDEX(P_fertiliser_P_composition,MATCH(C937,P_fertilisers,0)))</f>
        <v/>
      </c>
      <c r="E937" s="618" t="str">
        <f>IF(C937="P2O5 fertiliser (unspecified)",0, "")</f>
        <v/>
      </c>
      <c r="F937" s="27" t="str">
        <f>IF(D913="Do not use defaults","", "t(kg(P2O5)/Ha")</f>
        <v/>
      </c>
      <c r="G937" s="619" t="str">
        <f>IF(D913="Do not use defaults","",VLOOKUP(D913,Default_crop_data[],3,FALSE))</f>
        <v/>
      </c>
      <c r="H937" s="1"/>
      <c r="I937" s="43"/>
      <c r="J937" s="27" t="str">
        <f>IF(C937&gt;0,C937,"")</f>
        <v/>
      </c>
      <c r="K937" s="91" t="str">
        <f>IFERROR(IF(C937&gt;0,IF(ISBLANK(F937),"Insert unit",IF(ISBLANK(G937),"Insert data",(IF(F937="kg(fertiliser)/HA",G937*D937,G937)*INDEX(P_fertiliser_EF,MATCH(C937,P_fertilisers,0))/F917)/1000)),""),"")</f>
        <v/>
      </c>
      <c r="L937" s="39"/>
      <c r="M937" s="35"/>
    </row>
    <row r="938" spans="2:13" s="4" customFormat="1" outlineLevel="1" x14ac:dyDescent="0.4">
      <c r="B938" s="20"/>
      <c r="C938" s="151"/>
      <c r="D938" s="92" t="str">
        <f>IF(C938&gt;0,INDEX(P_fertiliser_P_composition,MATCH(C938,P_fertilisers,0)),"")</f>
        <v/>
      </c>
      <c r="E938" s="92"/>
      <c r="F938" s="138"/>
      <c r="G938" s="137"/>
      <c r="H938" s="1"/>
      <c r="I938" s="43"/>
      <c r="J938" s="27" t="str">
        <f t="shared" ref="J938" si="29">IF(C938&gt;0,C938,"")</f>
        <v/>
      </c>
      <c r="K938" s="91" t="str">
        <f>IFERROR(IF(C938&gt;0,IF(ISBLANK(F938),"Insert unit",IF(ISBLANK(G938),"Insert data",(IF(F938="kg(fertiliser)/HA",G938*D938,G938)*INDEX(P_fertiliser_EF,MATCH(C938,P_fertilisers,0))/F917)/1000)),""),"")</f>
        <v/>
      </c>
      <c r="L938" s="39"/>
      <c r="M938" s="35"/>
    </row>
    <row r="939" spans="2:13" s="4" customFormat="1" outlineLevel="1" x14ac:dyDescent="0.4">
      <c r="B939" s="20"/>
      <c r="C939" s="151"/>
      <c r="D939" s="92" t="str">
        <f>IF(C939&gt;0,INDEX(P_fertiliser_P_composition,MATCH(C939,P_fertilisers,0)),"")</f>
        <v/>
      </c>
      <c r="E939" s="92"/>
      <c r="F939" s="138"/>
      <c r="G939" s="137"/>
      <c r="H939" s="1"/>
      <c r="I939" s="43"/>
      <c r="J939" s="27"/>
      <c r="K939" s="91" t="str">
        <f>IFERROR(IF(C939&gt;0,IF(ISBLANK(F939),"Insert unit",IF(ISBLANK(G939),"Insert data",(IF(F939="kg(fertiliser)/HA",G939*D939,G939)*INDEX(P_fertiliser_EF,MATCH(C939,P_fertilisers,0))/F917)/1000)),""),"")</f>
        <v/>
      </c>
      <c r="L939" s="39"/>
      <c r="M939" s="35"/>
    </row>
    <row r="940" spans="2:13" s="4" customFormat="1" outlineLevel="1" x14ac:dyDescent="0.4">
      <c r="B940" s="20"/>
      <c r="C940" s="151"/>
      <c r="D940" s="92" t="str">
        <f>IF(C940&gt;0,INDEX(P_fertiliser_P_composition,MATCH(C940,P_fertilisers,0)),"")</f>
        <v/>
      </c>
      <c r="E940" s="92"/>
      <c r="F940" s="138"/>
      <c r="G940" s="137"/>
      <c r="H940" s="1"/>
      <c r="I940" s="43"/>
      <c r="J940" s="27"/>
      <c r="K940" s="91" t="str">
        <f>IFERROR(IF(C940&gt;0,IF(ISBLANK(F940),"Insert unit",IF(ISBLANK(G940),"Insert data",(IF(F940="kg(fertiliser)/HA",G940*D940,G940)*INDEX(P_fertiliser_EF,MATCH(C940,P_fertilisers,0))/F917)/1000)),""),"")</f>
        <v/>
      </c>
      <c r="L940" s="39"/>
      <c r="M940" s="35"/>
    </row>
    <row r="941" spans="2:13" s="4" customFormat="1" outlineLevel="1" x14ac:dyDescent="0.4">
      <c r="B941" s="20"/>
      <c r="C941" s="151"/>
      <c r="D941" s="136"/>
      <c r="E941" s="136"/>
      <c r="F941" s="138"/>
      <c r="G941" s="137"/>
      <c r="H941" s="1"/>
      <c r="I941" s="43"/>
      <c r="J941" s="27"/>
      <c r="K941" s="91" t="str">
        <f>IFERROR(IF(C941&gt;0,IF(ISBLANK(F941),"Insert unit",IF(OR(ISBLANK(F941),ISBLANK(D941),ISBLANK(E941)),"Insert data",(IF(F941="kg(fertiliser)/HA",G941*D941,G941)*INDEX(P_fertiliser_EF,MATCH("p2O5 fertiliser (unspecified)",P_fertilisers,0))/F917)/1000)),""),"")</f>
        <v/>
      </c>
      <c r="L941" s="39"/>
      <c r="M941" s="35"/>
    </row>
    <row r="942" spans="2:13" s="4" customFormat="1" outlineLevel="1" x14ac:dyDescent="0.4">
      <c r="B942" s="20"/>
      <c r="C942" s="151"/>
      <c r="D942" s="136"/>
      <c r="E942" s="136"/>
      <c r="F942" s="138"/>
      <c r="G942" s="137"/>
      <c r="H942" s="1"/>
      <c r="I942" s="43"/>
      <c r="J942" s="27" t="str">
        <f t="shared" ref="J942:J943" si="30">IF(C942&gt;0,C942,"")</f>
        <v/>
      </c>
      <c r="K942" s="91" t="str">
        <f>IFERROR(IF(C942&gt;0,IF(ISBLANK(F942),"Insert unit",IF(OR(ISBLANK(F942),ISBLANK(D942),ISBLANK(E942)),"Insert data",(IF(F942="kg(fertiliser)/HA",G942*D942,G942)*INDEX(P_fertiliser_EF,MATCH("p2O5 fertiliser (unspecified)",P_fertilisers,0))/F917)/1000)),""),"")</f>
        <v/>
      </c>
      <c r="L942" s="39"/>
      <c r="M942" s="35"/>
    </row>
    <row r="943" spans="2:13" s="4" customFormat="1" outlineLevel="1" x14ac:dyDescent="0.4">
      <c r="B943" s="20"/>
      <c r="C943" s="151"/>
      <c r="D943" s="136"/>
      <c r="E943" s="136"/>
      <c r="F943" s="138"/>
      <c r="G943" s="137"/>
      <c r="H943" s="1"/>
      <c r="I943" s="43"/>
      <c r="J943" s="27" t="str">
        <f t="shared" si="30"/>
        <v/>
      </c>
      <c r="K943" s="91" t="str">
        <f>IFERROR(IF(C943&gt;0,IF(ISBLANK(F943),"Insert unit",IF(OR(ISBLANK(F943),ISBLANK(D943),ISBLANK(E943)),"Insert data",(IF(F943="kg(fertiliser)/HA",G943*D943,G943)*INDEX(P_fertiliser_EF,MATCH("p2O5 fertiliser (unspecified)",P_fertilisers,0))/F917)/1000)),""),"")</f>
        <v/>
      </c>
      <c r="L943" s="39"/>
      <c r="M943" s="35"/>
    </row>
    <row r="944" spans="2:13" s="14" customFormat="1" outlineLevel="1" x14ac:dyDescent="0.4">
      <c r="B944" s="23"/>
      <c r="C944" s="166" t="s">
        <v>146</v>
      </c>
      <c r="D944" s="166" t="s">
        <v>147</v>
      </c>
      <c r="E944" s="166" t="s">
        <v>138</v>
      </c>
      <c r="F944" s="166" t="s">
        <v>139</v>
      </c>
      <c r="G944" s="166" t="s">
        <v>140</v>
      </c>
      <c r="H944" s="24"/>
      <c r="I944" s="42"/>
      <c r="J944" s="166" t="s">
        <v>146</v>
      </c>
      <c r="K944" s="164" t="s">
        <v>141</v>
      </c>
      <c r="L944" s="37"/>
      <c r="M944" s="35"/>
    </row>
    <row r="945" spans="2:13" s="4" customFormat="1" outlineLevel="1" x14ac:dyDescent="0.4">
      <c r="B945" s="20"/>
      <c r="C945" s="617" t="str">
        <f>IF(D913="Do not use defaults", "", "K2O fertiliser (unspecified)")</f>
        <v/>
      </c>
      <c r="D945" s="618" t="str" cm="1">
        <f t="array" ref="D945">IF(D913="Do not use defaults", "",INDEX(K_fertiliser_K_composition,MATCH(C945,K_fertilisers,0)))</f>
        <v/>
      </c>
      <c r="E945" s="618" t="str" cm="1">
        <f t="array" ref="E945">IF(D913="Do not use defaults", "",INDEX(K_fertiliser_N_composition,MATCH(C945,K_fertilisers,0)))</f>
        <v/>
      </c>
      <c r="F945" s="27" t="str">
        <f>IF(D913="Do not use defaults","", "t(kg(K2O)/Ha")</f>
        <v/>
      </c>
      <c r="G945" s="619" t="str">
        <f>IF(D913="Do not use defaults", "",VLOOKUP(D913,Default_crop_data[],4,FALSE))</f>
        <v/>
      </c>
      <c r="H945" s="1"/>
      <c r="I945" s="43"/>
      <c r="J945" s="27" t="str">
        <f>IF(C945&gt;0,C945,"")</f>
        <v/>
      </c>
      <c r="K945" s="91" t="str">
        <f>IFERROR(IF(C945&gt;0,IF(ISBLANK(F945),"Insert unit",IF(ISBLANK(G945),"Insert data",(IF(F945="kg(fertiliser)/HA",G945*D945,G945)*INDEX(K_Fertiliser_EF,MATCH(C945,K_fertilisers,0))/F917)/1000)),""),"")</f>
        <v/>
      </c>
      <c r="L945" s="39"/>
      <c r="M945" s="35"/>
    </row>
    <row r="946" spans="2:13" s="4" customFormat="1" outlineLevel="1" x14ac:dyDescent="0.4">
      <c r="B946" s="20"/>
      <c r="C946" s="151"/>
      <c r="D946" s="92" t="str">
        <f>IF(C946&gt;0,INDEX(K_fertiliser_K_composition,MATCH(C946,K_fertilisers,0)),"")</f>
        <v/>
      </c>
      <c r="E946" s="92" t="str">
        <f>IF(C946&gt;0,INDEX(K_fertiliser_N_composition,MATCH(C946,K_fertilisers,0)),"")</f>
        <v/>
      </c>
      <c r="F946" s="138"/>
      <c r="G946" s="137"/>
      <c r="H946" s="1"/>
      <c r="I946" s="43"/>
      <c r="J946" s="27" t="str">
        <f t="shared" ref="J946:J951" si="31">IF(C946&gt;0,C946,"")</f>
        <v/>
      </c>
      <c r="K946" s="91" t="str">
        <f>IFERROR(IF(C946&gt;0,IF(ISBLANK(F946),"Insert unit",IF(ISBLANK(G946),"Insert data",(IF(F946="kg(fertiliser)/HA",G946*D946,G946)*INDEX(K_Fertiliser_EF,MATCH(C946,K_fertilisers,0))/F917)/1000)),""),"")</f>
        <v/>
      </c>
      <c r="L946" s="39"/>
      <c r="M946" s="35"/>
    </row>
    <row r="947" spans="2:13" s="4" customFormat="1" outlineLevel="1" x14ac:dyDescent="0.4">
      <c r="B947" s="20"/>
      <c r="C947" s="151"/>
      <c r="D947" s="92" t="str">
        <f>IF(C947&gt;0,INDEX(K_fertiliser_K_composition,MATCH(C947,K_fertilisers,0)),"")</f>
        <v/>
      </c>
      <c r="E947" s="92" t="str">
        <f>IF(C947&gt;0,INDEX(K_fertiliser_N_composition,MATCH(C947,K_fertilisers,0)),"")</f>
        <v/>
      </c>
      <c r="F947" s="138"/>
      <c r="G947" s="137"/>
      <c r="H947" s="1"/>
      <c r="I947" s="43"/>
      <c r="J947" s="27" t="str">
        <f t="shared" si="31"/>
        <v/>
      </c>
      <c r="K947" s="91" t="str">
        <f>IFERROR(IF(C947&gt;0,IF(ISBLANK(F947),"Insert unit",IF(ISBLANK(G947),"Insert data",(IF(F947="kg(fertiliser)/HA",G947*D947,G947)*INDEX(K_Fertiliser_EF,MATCH(C947,K_fertilisers,0))/F917)/1000)),""),"")</f>
        <v/>
      </c>
      <c r="L947" s="39"/>
      <c r="M947" s="35"/>
    </row>
    <row r="948" spans="2:13" s="4" customFormat="1" outlineLevel="1" x14ac:dyDescent="0.4">
      <c r="B948" s="20"/>
      <c r="C948" s="151"/>
      <c r="D948" s="92"/>
      <c r="E948" s="92"/>
      <c r="F948" s="138"/>
      <c r="G948" s="137"/>
      <c r="H948" s="1"/>
      <c r="I948" s="43"/>
      <c r="J948" s="27" t="str">
        <f t="shared" si="31"/>
        <v/>
      </c>
      <c r="K948" s="91" t="str">
        <f>IFERROR(IF(C948&gt;0,IF(ISBLANK(F948),"Insert unit",IF(ISBLANK(G948),"Insert data",(IF(F948="kg(fertiliser)/HA",G948*D948,G948)*INDEX(K_Fertiliser_EF,MATCH(C948,K_fertilisers,0))/F917)/1000)),""),"")</f>
        <v/>
      </c>
      <c r="L948" s="39"/>
      <c r="M948" s="35"/>
    </row>
    <row r="949" spans="2:13" s="4" customFormat="1" outlineLevel="1" x14ac:dyDescent="0.4">
      <c r="B949" s="20"/>
      <c r="C949" s="151"/>
      <c r="D949" s="136"/>
      <c r="E949" s="136"/>
      <c r="F949" s="138"/>
      <c r="G949" s="137"/>
      <c r="H949" s="1"/>
      <c r="I949" s="43"/>
      <c r="J949" s="27" t="str">
        <f t="shared" si="31"/>
        <v/>
      </c>
      <c r="K949" s="91" t="str">
        <f>IFERROR(IF(C949&gt;0,IF(ISBLANK(F949),"Insert unit",IF(OR(ISBLANK(F949),ISBLANK(D949),ISBLANK(E949)),"Insert data",(IF(F949="kg(fertiliser)/HA",G949*D949,G949)*INDEX(K_Fertiliser_EF,MATCH("K2O fertiliser (unspecified)",K_fertilisers,0))/F917)/1000)),""),"")</f>
        <v/>
      </c>
      <c r="L949" s="39"/>
      <c r="M949" s="35"/>
    </row>
    <row r="950" spans="2:13" s="4" customFormat="1" outlineLevel="1" x14ac:dyDescent="0.4">
      <c r="B950" s="20"/>
      <c r="C950" s="151"/>
      <c r="D950" s="136"/>
      <c r="E950" s="136"/>
      <c r="F950" s="138"/>
      <c r="G950" s="137"/>
      <c r="H950" s="1"/>
      <c r="I950" s="43"/>
      <c r="J950" s="27" t="str">
        <f t="shared" si="31"/>
        <v/>
      </c>
      <c r="K950" s="91" t="str">
        <f>IFERROR(IF(C950&gt;0,IF(ISBLANK(F950),"Insert unit",IF(OR(ISBLANK(F950),ISBLANK(D950),ISBLANK(E950)),"Insert data",(IF(F950="kg(fertiliser)/HA",G950*D950,G950)*INDEX(K_Fertiliser_EF,MATCH("K2O fertiliser (unspecified)",K_fertilisers,0))/F917)/1000)),""),"")</f>
        <v/>
      </c>
      <c r="L950" s="39"/>
      <c r="M950" s="35"/>
    </row>
    <row r="951" spans="2:13" s="4" customFormat="1" outlineLevel="1" x14ac:dyDescent="0.4">
      <c r="B951" s="20"/>
      <c r="C951" s="151"/>
      <c r="D951" s="136"/>
      <c r="E951" s="136"/>
      <c r="F951" s="138"/>
      <c r="G951" s="137"/>
      <c r="H951" s="1"/>
      <c r="I951" s="43"/>
      <c r="J951" s="27" t="str">
        <f t="shared" si="31"/>
        <v/>
      </c>
      <c r="K951" s="91" t="str">
        <f>IFERROR(IF(C951&gt;0,IF(ISBLANK(F951),"Insert unit",IF(OR(ISBLANK(F951),ISBLANK(D951),ISBLANK(E951)),"Insert data",(IF(F951="kg(fertiliser)/HA",G951*D951,G951)*INDEX(K_Fertiliser_EF,MATCH("K2O fertiliser (unspecified)",K_fertilisers,0))/F917)/1000)),""),"")</f>
        <v/>
      </c>
      <c r="L951" s="39"/>
      <c r="M951" s="35"/>
    </row>
    <row r="952" spans="2:13" s="14" customFormat="1" outlineLevel="1" x14ac:dyDescent="0.4">
      <c r="B952" s="23"/>
      <c r="C952" s="166" t="s">
        <v>148</v>
      </c>
      <c r="D952" s="166" t="s">
        <v>149</v>
      </c>
      <c r="E952" s="166" t="s">
        <v>138</v>
      </c>
      <c r="F952" s="166" t="s">
        <v>139</v>
      </c>
      <c r="G952" s="166" t="s">
        <v>140</v>
      </c>
      <c r="H952" s="24"/>
      <c r="I952" s="42"/>
      <c r="J952" s="166" t="s">
        <v>148</v>
      </c>
      <c r="K952" s="164" t="s">
        <v>141</v>
      </c>
      <c r="L952" s="37"/>
      <c r="M952" s="63"/>
    </row>
    <row r="953" spans="2:13" s="4" customFormat="1" outlineLevel="1" x14ac:dyDescent="0.4">
      <c r="B953" s="20"/>
      <c r="C953" s="617" t="str">
        <f>IF(D913="Do not use defaults", "", "Lime fertiliser (CaO)")</f>
        <v/>
      </c>
      <c r="D953" s="618" t="str" cm="1">
        <f t="array" ref="D953">IF(D913="Do not use defaults", "",INDEX(Other_fertiliser_nutrient_composition,MATCH(C953,Other_fertilisers,0)))</f>
        <v/>
      </c>
      <c r="E953" s="618" t="str">
        <f>IF(D913="Do not use defaults", "",INDEX(Other_fertiliser_N_compostion,MATCH(C953,Other_fertilisers,0)))</f>
        <v/>
      </c>
      <c r="F953" s="27" t="str">
        <f>IF(D913="Do not use defaults","", "kg(nutrient)/Ha")</f>
        <v/>
      </c>
      <c r="G953" s="619" t="str">
        <f>IF(D913="Do not use defaults", "",VLOOKUP(D913,Default_crop_data[],6,FALSE))</f>
        <v/>
      </c>
      <c r="H953" s="1"/>
      <c r="I953" s="43"/>
      <c r="J953" s="27" t="str">
        <f>IF(C953&gt;0,C953,"")</f>
        <v/>
      </c>
      <c r="K953" s="91" t="str">
        <f>IFERROR(IF(C953&gt;0,IF(ISBLANK(F953),"Insert unit",IF(ISBLANK(G953),"Insert data",(IF(F953="kg(fertiliser)/HA",G953*D953,G953)*INDEX(Other_fertiliser_EF,MATCH(C953,Other_fertilisers,0))/F917)/1000)),""),"")</f>
        <v/>
      </c>
      <c r="L953" s="39"/>
      <c r="M953" s="35"/>
    </row>
    <row r="954" spans="2:13" s="4" customFormat="1" outlineLevel="1" x14ac:dyDescent="0.4">
      <c r="B954" s="20"/>
      <c r="C954" s="151"/>
      <c r="D954" s="92" t="str">
        <f>IF(C954&gt;0,INDEX(Other_fertiliser_nutrient_composition,MATCH(C954,Other_fertilisers,0)),"")</f>
        <v/>
      </c>
      <c r="E954" s="92" t="str">
        <f>IF(C954&gt;0,INDEX(Other_fertiliser_N_compostion,MATCH(C954,Other_fertilisers,0)),"")</f>
        <v/>
      </c>
      <c r="F954" s="138"/>
      <c r="G954" s="137"/>
      <c r="H954" s="1"/>
      <c r="I954" s="43"/>
      <c r="J954" s="27" t="str">
        <f>IF(C954&gt;0,C954,"")</f>
        <v/>
      </c>
      <c r="K954" s="91" t="str">
        <f>IFERROR(IF(C954&gt;0,IF(ISBLANK(F954),"Insert unit",IF(ISBLANK(G954),"Insert data",(IF(F954="kg(fertiliser)/HA",G954*D954,G954)*INDEX(Other_fertiliser_EF,MATCH(C954,Other_fertilisers,0))/F917)/1000)),""),"")</f>
        <v/>
      </c>
      <c r="L954" s="39"/>
      <c r="M954" s="35"/>
    </row>
    <row r="955" spans="2:13" s="4" customFormat="1" outlineLevel="1" x14ac:dyDescent="0.4">
      <c r="B955" s="20"/>
      <c r="C955" s="151"/>
      <c r="D955" s="92" t="str">
        <f>IF(C955&gt;0,INDEX(Other_fertiliser_nutrient_composition,MATCH(C955,Other_fertilisers,0)),"")</f>
        <v/>
      </c>
      <c r="E955" s="92" t="str">
        <f>IF(C955&gt;0,INDEX(Other_fertiliser_N_compostion,MATCH(C955,Other_fertilisers,0)),"")</f>
        <v/>
      </c>
      <c r="F955" s="138"/>
      <c r="G955" s="137"/>
      <c r="H955" s="1"/>
      <c r="I955" s="43"/>
      <c r="J955" s="27" t="str">
        <f>IF(C955&gt;0,C955,"")</f>
        <v/>
      </c>
      <c r="K955" s="91" t="str">
        <f>IFERROR(IF(C955&gt;0,IF(ISBLANK(F955),"Insert unit",IF(ISBLANK(G955),"Insert data",(IF(F955="kg(fertiliser)/HA",G955*D955,G955)*INDEX(Other_fertiliser_EF,MATCH(C955,Other_fertilisers,0))/F917)/1000)),""),"")</f>
        <v/>
      </c>
      <c r="L955" s="39"/>
      <c r="M955" s="35"/>
    </row>
    <row r="956" spans="2:13" s="4" customFormat="1" outlineLevel="1" x14ac:dyDescent="0.4">
      <c r="B956" s="20"/>
      <c r="C956" s="151"/>
      <c r="D956" s="92" t="str">
        <f>IF(C956&gt;0,INDEX(Other_fertiliser_nutrient_composition,MATCH(C956,Other_fertilisers,0)),"")</f>
        <v/>
      </c>
      <c r="E956" s="92" t="str">
        <f>IF(C956&gt;0,INDEX(Other_fertiliser_N_compostion,MATCH(C956,Other_fertilisers,0)),"")</f>
        <v/>
      </c>
      <c r="F956" s="138"/>
      <c r="G956" s="137"/>
      <c r="H956" s="1"/>
      <c r="I956" s="43"/>
      <c r="J956" s="27" t="str">
        <f>IF(C956&gt;0,C956,"")</f>
        <v/>
      </c>
      <c r="K956" s="91" t="str">
        <f>IFERROR(IF(C956&gt;0,IF(ISBLANK(F956),"Insert unit",IF(ISBLANK(G956),"Insert data",(IF(F956="kg(fertiliser)/HA",G956*D956,G956)*INDEX(Other_fertiliser_EF,MATCH(C956,Other_fertilisers,0))/F917)/1000)),""),"")</f>
        <v/>
      </c>
      <c r="L956" s="39"/>
      <c r="M956" s="35"/>
    </row>
    <row r="957" spans="2:13" s="4" customFormat="1" outlineLevel="1" x14ac:dyDescent="0.4">
      <c r="B957" s="20"/>
      <c r="C957" s="151"/>
      <c r="D957" s="92" t="str">
        <f>IF(C957&gt;0,INDEX(Other_fertiliser_nutrient_composition,MATCH(C957,Other_fertilisers,0)),"")</f>
        <v/>
      </c>
      <c r="E957" s="92" t="str">
        <f>IF(C957&gt;0,INDEX(Other_fertiliser_N_compostion,MATCH(C957,Other_fertilisers,0)),"")</f>
        <v/>
      </c>
      <c r="F957" s="138"/>
      <c r="G957" s="137"/>
      <c r="H957" s="1"/>
      <c r="I957" s="43"/>
      <c r="J957" s="27" t="str">
        <f>IF(C957&gt;0,C957,"")</f>
        <v/>
      </c>
      <c r="K957" s="91" t="str">
        <f>IFERROR(IF(C957&gt;0,IF(ISBLANK(F957),"Insert unit",IF(ISBLANK(G957),"Insert data",(IF(F957="kg(fertiliser)/HA",G957*D957,G957)*INDEX(Other_fertiliser_EF,MATCH(C957,Other_fertilisers,0))/F917)/1000)),""),"")</f>
        <v/>
      </c>
      <c r="L957" s="39"/>
      <c r="M957" s="35"/>
    </row>
    <row r="958" spans="2:13" s="4" customFormat="1" outlineLevel="1" x14ac:dyDescent="0.4">
      <c r="B958" s="20"/>
      <c r="C958" s="24"/>
      <c r="D958" s="21"/>
      <c r="E958" s="21"/>
      <c r="F958" s="21"/>
      <c r="G958" s="21"/>
      <c r="H958" s="21"/>
      <c r="I958" s="41"/>
      <c r="J958" s="36"/>
      <c r="K958" s="36"/>
      <c r="L958" s="37"/>
      <c r="M958" s="35"/>
    </row>
    <row r="959" spans="2:13" s="4" customFormat="1" outlineLevel="1" x14ac:dyDescent="0.4">
      <c r="B959" s="20"/>
      <c r="C959" s="185" t="s">
        <v>150</v>
      </c>
      <c r="D959" s="21"/>
      <c r="G959" s="21"/>
      <c r="H959" s="21"/>
      <c r="I959" s="41"/>
      <c r="J959" s="36"/>
      <c r="K959" s="36"/>
      <c r="L959" s="37"/>
      <c r="M959" s="35"/>
    </row>
    <row r="960" spans="2:13" s="4" customFormat="1" outlineLevel="1" x14ac:dyDescent="0.4">
      <c r="B960" s="20"/>
      <c r="C960" s="166" t="s">
        <v>151</v>
      </c>
      <c r="D960" s="164" t="s">
        <v>140</v>
      </c>
      <c r="I960" s="41"/>
      <c r="J960" s="36"/>
      <c r="K960" s="164" t="s">
        <v>141</v>
      </c>
      <c r="L960" s="37"/>
      <c r="M960" s="35"/>
    </row>
    <row r="961" spans="2:13" s="4" customFormat="1" outlineLevel="1" x14ac:dyDescent="0.4">
      <c r="B961" s="20"/>
      <c r="C961" s="152" t="s">
        <v>152</v>
      </c>
      <c r="D961" s="30" t="str">
        <f>IFERROR(SUM(IFERROR(IF(E920="kg(fertiliser)/Ha",F920*D920,F920),0),IFERROR(IF(E921="kg(fertiliser)/Ha",F921*D921,F921),0),IFERROR(IF(E922="kg(fertiliser)/Ha",F922*D922,F922),0),IFERROR(IF(E923="kg(fertiliser)/Ha",F923*D923,F923),0),IFERROR(IF(E924="kg(fertiliser)/Ha",F924*D924,F924),0),IFERROR(IF(E925="kg(fertiliser)/Ha",F925*D925,F925),0),IFERROR(IF(E926="kg(fertiliser)/Ha",F926*D926,F926),0),IFERROR(IF(E928="kg(fertiliser)/Ha",F928*D928,IF(E928="kg(nitrogen)/Ha",F928,F928*1000*D928)),0),IFERROR(IF(E929="kg(fertiliser)/Ha",F929*D929,IF(E929="kg(nitrogen)/Ha",F929,F929*1000*D929)),0),IFERROR(IF(E930="kg(fertiliser)/Ha",F930*D930,IF(E930="kg(nitrogen)/Ha",F930,F930*1000*D930)),0),IFERROR(IF(E931="kg(fertiliser)/Ha",F931*D931,IF(E931="kg(nitrogen)/Ha",F931,F931*1000*D931)),0),IFERROR(IF(E932="kg(fertiliser)/Ha",F932*D932,IF(E932="kg(nitrogen)/Ha",F932,F932*1000*D932)),0),IFERROR(IF(E933="kg(fertiliser)/Ha",F933*D933,IF(E933="kg(nitrogen)/Ha",F933,F933*1000*D933)),0),IFERROR(IF(E935="kg(fertiliser)/Ha",F935*D935,IF(E935="kg(nitrogen)/Ha",F935,F935*1000*D935)),0),IFERROR(IF(F937="kg(fertiliser)/Ha",G937*E937,G937*E937/D937),0),IFERROR(IF(F938="kg(fertiliser)/Ha",G938*E938,G938*E938/D938),0),IFERROR(IF(F939="kg(fertiliser)/Ha",G939*E939,G939*E939/D939),0),IFERROR(IF(F940="kg(fertiliser)/Ha",G940*E940,G940*E940/D940),0),IFERROR(IF(F941="kg(fertiliser)/Ha",G941*E941,G941*E941/D941),0),IFERROR(IF(F942="kg(fertiliser)/Ha",G942*E942,G942*E942/D942),0),IFERROR(IF(F943="kg(fertiliser)/Ha",G943*E943,G943*E943/D943),0),IFERROR(IF(F945="kg(fertiliser)/Ha",G945*E945,G945*E945/D945),0),IFERROR(IF(F946="kg(fertiliser)/Ha",G946*E946,G946*E946/D946),0),IFERROR(IF(F947="kg(fertiliser)/Ha",G947*E947,G947*E947/D947),0),IFERROR(IF(F948="kg(fertiliser)/Ha",G948*E948,G948*E948/D948),0),IFERROR(IF(F949="kg(fertiliser)/Ha",G949*E949,G949*E949/D949),0),IFERROR(IF(F950="kg(fertiliser)/Ha",G950*E950,G950*E950/D950),0),IFERROR(IF(F951="kg(fertiliser)/Ha",G951*E951,G951*E951/D951),0),IFERROR(IF(F953="kg(fertiliser)/Ha",G953*E953,G953*E953/D953),0),IFERROR(IF(F954="kg(fertiliser)/Ha",G954*E954,G954*E954/D954),0),IFERROR(IF(F955="kg(fertiliser)/Ha",G955*E955,G955*E955/D955),0),IFERROR(IF(F956="kg(fertiliser)/Ha",G956*E956,G956*E956/D956),0),IFERROR(IF(F957="kg(fertiliser)/Ha",G957*E957,G957*E957/D957),0)), "")</f>
        <v/>
      </c>
      <c r="E961" s="1"/>
      <c r="I961" s="43"/>
      <c r="J961" s="164" t="s">
        <v>153</v>
      </c>
      <c r="K961" s="52" t="str">
        <f>IFERROR(SUM(IFERROR(IF(E920="kg(fertiliser)/Ha",F920*D920,F920)*INDEX(Soil_EFs,MATCH("Inorganic",Soil_EFs_N_type,0)),0),IFERROR(IF(E921="kg(fertiliser)/Ha",F921*D921,F921)*INDEX(Soil_EFs,MATCH("Inorganic",Soil_EFs_N_type,0)),0),IFERROR(IF(E922="kg(fertiliser)/Ha",F922*D922,F922)*INDEX(Soil_EFs,MATCH("Inorganic",Soil_EFs_N_type,0)),0),IFERROR(IF(E923="kg(fertiliser)/Ha",F923*D923,F923)*INDEX(Soil_EFs,MATCH("Inorganic",Soil_EFs_N_type,0)),0),IFERROR(IF(E924="kg(fertiliser)/Ha",F924*D924,F924)*INDEX(Soil_EFs,MATCH("Inorganic",Soil_EFs_N_type,0)),0),IFERROR(IF(E925="kg(fertiliser)/Ha",F925*D925,F925)*INDEX(Soil_EFs,MATCH("Inorganic",Soil_EFs_N_type,0)),0),IFERROR(IF(E926="kg(fertiliser)/Ha",F926*D926,F926)*INDEX(Soil_EFs,MATCH("Inorganic",Soil_EFs_N_type,0)),0),IFERROR(IF(E928="kg(fertiliser)/HA",F928*D928,IF(E928="t(fertiliser)/Ha",F928*1000*D928,F928))*INDEX(Soil_EFs,MATCH("organic",Soil_EFs_N_type,0)),0),IFERROR(IF(E929="kg(fertiliser)/HA",F929*D929,IF(E929="t(fertiliser)/Ha",F929*1000*D929,F929))*INDEX(Soil_EFs,MATCH("organic",Soil_EFs_N_type,0)),0),IFERROR(IF(E930="kg(fertiliser)/HA",F930*D930,IF(E930="t(fertiliser)/Ha",F930*1000*D930,F930))*INDEX(Soil_EFs,MATCH("organic",Soil_EFs_N_type,0)),0),IFERROR(IF(E931="kg(fertiliser)/HA",F931*D931,IF(E931="t(fertiliser)/Ha",F931*1000*D931,F931))*INDEX(Soil_EFs,MATCH("organic",Soil_EFs_N_type,0)),0),IFERROR(IF(E932="kg(fertiliser)/HA",F932*D932,IF(E932="t(fertiliser)/Ha",F932*1000*D932,F932))*INDEX(Soil_EFs,MATCH("organic",Soil_EFs_N_type,0)),0),IFERROR(IF(E933="kg(fertiliser)/HA",F933*D933,IF(E933="t(fertiliser)/Ha",F933*1000*D933,F933))*INDEX(Soil_EFs,MATCH("organic",Soil_EFs_N_type,0)),0),IFERROR(IF(E935="kg(fertiliser)/HA",F935*D935,IF(E935="t(fertiliser)/Ha",F935*1000*D935,F935))*'Reference values'!$D$348,0),IFERROR(IF(F937="kg(fertiliser)/Ha",G937*E937,G937*E937/D937)*INDEX(Soil_EFs,MATCH("Inorganic",Soil_EFs_N_type,0)),0),IFERROR(IF(F938="kg(fertiliser)/Ha",G938*E938,G938*E938/D938)*INDEX(Soil_EFs,MATCH("Inorganic",Soil_EFs_N_type,0)),0),IFERROR(IF(F939="kg(fertiliser)/Ha",G939*E939,G939*E939/D939)*INDEX(Soil_EFs,MATCH("Inorganic",Soil_EFs_N_type,0)),0),IFERROR(IF(F940="kg(fertiliser)/Ha",G940*E940,G940*E940/D940)*INDEX(Soil_EFs,MATCH("Inorganic",Soil_EFs_N_type,0)),0),IFERROR(IF(F941="kg(fertiliser)/Ha",G941*E941,G941*E941/D941)*INDEX(Soil_EFs,MATCH("Inorganic",Soil_EFs_N_type,0)),0),IFERROR(IF(F942="kg(fertiliser)/Ha",G942*E942,G942*E942/D942)*INDEX(Soil_EFs,MATCH("Inorganic",Soil_EFs_N_type,0)),0),IFERROR(IF(F943="kg(fertiliser)/Ha",G943*E943,G943*E943/D943)*INDEX(Soil_EFs,MATCH("Inorganic",Soil_EFs_N_type,0)),0),IFERROR(IF(F945="kg(fertiliser)/Ha",G945*E945,G945*E945/D945)*INDEX(Soil_EFs,MATCH("Inorganic",Soil_EFs_N_type,0)),0),IFERROR(IF(F946="kg(fertiliser)/Ha",G946*E946,G946*E946/D946)*INDEX(Soil_EFs,MATCH("Inorganic",Soil_EFs_N_type,0)),0),IFERROR(IF(F947="kg(fertiliser)/Ha",G947*E947,G947*E947/D947)*INDEX(Soil_EFs,MATCH("Inorganic",Soil_EFs_N_type,0)),0),IFERROR(IF(F948="kg(fertiliser)/Ha",G948*E948,G948*E948/D948)*INDEX(Soil_EFs,MATCH("Inorganic",Soil_EFs_N_type,0)),0),IFERROR(IF(F949="kg(fertiliser)/Ha",G949*E949,G949*E949/D949)*INDEX(Soil_EFs,MATCH("Inorganic",Soil_EFs_N_type,0)),0),IFERROR(IF(F950="kg(fertiliser)/Ha",G950*E950,G950*E950/D950)*INDEX(Soil_EFs,MATCH("Inorganic",Soil_EFs_N_type,0)),0),IFERROR(IF(F951="kg(fertiliser)/Ha",G951*E951,G951*E951/D951)*INDEX(Soil_EFs,MATCH("Inorganic",Soil_EFs_N_type,0)),0),IFERROR(IF(F953="kg(fertiliser)/Ha",G953*E953,G953*E953/D953)*INDEX(Soil_EFs,MATCH("Inorganic",Soil_EFs_N_type,0)),0),IFERROR(IF(F954="kg(fertiliser)/Ha",G954*E954,G954*E954/D954)*INDEX(Soil_EFs,MATCH("Inorganic",Soil_EFs_N_type,0)),0),IFERROR(IF(F955="kg(fertiliser)/Ha",G955*E955,G955*E955/D955)*INDEX(Soil_EFs,MATCH("Inorganic",Soil_EFs_N_type,0)),0),IFERROR(IF(F956="kg(fertiliser)/Ha",G956*E956,G956*E956/D956)*INDEX(Soil_EFs,MATCH("Inorganic",Soil_EFs_N_type,0)),0),IFERROR(IF(F957="kg(fertiliser)/Ha",G957*E957,G957*E957/D957)*INDEX(Soil_EFs,MATCH),0))/F917,"")</f>
        <v/>
      </c>
      <c r="L961" s="38"/>
      <c r="M961" s="35"/>
    </row>
    <row r="962" spans="2:13" s="4" customFormat="1" ht="14.25" customHeight="1" outlineLevel="1" x14ac:dyDescent="0.4">
      <c r="B962" s="20"/>
      <c r="C962" s="24"/>
      <c r="D962" s="21"/>
      <c r="E962" s="21"/>
      <c r="F962" s="21"/>
      <c r="G962" s="21"/>
      <c r="H962" s="21"/>
      <c r="I962" s="41"/>
      <c r="J962" s="36"/>
      <c r="K962" s="36"/>
      <c r="L962" s="37"/>
      <c r="M962" s="35"/>
    </row>
    <row r="963" spans="2:13" s="4" customFormat="1" outlineLevel="1" x14ac:dyDescent="0.4">
      <c r="B963" s="20"/>
      <c r="C963" s="150" t="s">
        <v>154</v>
      </c>
      <c r="D963" s="21"/>
      <c r="E963" s="21"/>
      <c r="F963" s="21"/>
      <c r="G963" s="21"/>
      <c r="H963" s="21"/>
      <c r="I963" s="41"/>
      <c r="J963" s="36"/>
      <c r="K963" s="36"/>
      <c r="L963" s="37"/>
      <c r="M963" s="35"/>
    </row>
    <row r="964" spans="2:13" s="14" customFormat="1" ht="30.6" outlineLevel="1" x14ac:dyDescent="0.4">
      <c r="B964" s="23"/>
      <c r="C964" s="166" t="s">
        <v>155</v>
      </c>
      <c r="D964" s="166" t="s">
        <v>156</v>
      </c>
      <c r="E964" s="166" t="s">
        <v>139</v>
      </c>
      <c r="F964" s="166" t="s">
        <v>140</v>
      </c>
      <c r="G964" s="24"/>
      <c r="H964" s="24"/>
      <c r="I964" s="42"/>
      <c r="J964" s="166" t="s">
        <v>155</v>
      </c>
      <c r="K964" s="164" t="s">
        <v>141</v>
      </c>
      <c r="L964" s="37"/>
      <c r="M964" s="63"/>
    </row>
    <row r="965" spans="2:13" s="4" customFormat="1" outlineLevel="1" x14ac:dyDescent="0.4">
      <c r="B965" s="20"/>
      <c r="C965" s="617" t="str">
        <f>IF(D913="Do not use defaults", "", "Pesticides")</f>
        <v/>
      </c>
      <c r="D965" s="620" t="str">
        <f>IF(C965="Pesticides", 100%, "")</f>
        <v/>
      </c>
      <c r="E965" s="27" t="str">
        <f>IF(C965="Pesticides", "kg(active ingredient)/Ha", "")</f>
        <v/>
      </c>
      <c r="F965" s="27" t="str">
        <f>IF(D913="Do not use defaults","",VLOOKUP(D913,Default_crop_data[],7,FALSE))</f>
        <v/>
      </c>
      <c r="G965" s="1"/>
      <c r="H965" s="1"/>
      <c r="I965" s="43"/>
      <c r="J965" s="27" t="str">
        <f>IF(C965&gt;0,C965,"")</f>
        <v/>
      </c>
      <c r="K965" s="91" t="str">
        <f>IFERROR(IF(C965&gt;0,IF(ISBLANK(E965),"Insert unit",IF(OR(ISBLANK(F965),AND(ISBLANK(D965),E965="kg(pesticide)/Ha")),"Insert data",(IF(E965="kg(pesticide)/HA",F965*D965,F965)*INDEX(Pesticide_EF,MATCH("Pesticide (any)",Pesticides,0))/F917)/1000)),""),"")</f>
        <v/>
      </c>
      <c r="L965" s="39"/>
      <c r="M965" s="35"/>
    </row>
    <row r="966" spans="2:13" s="4" customFormat="1" outlineLevel="1" x14ac:dyDescent="0.4">
      <c r="B966" s="20"/>
      <c r="C966" s="151"/>
      <c r="D966" s="139"/>
      <c r="E966" s="138"/>
      <c r="F966" s="134"/>
      <c r="G966" s="1"/>
      <c r="H966" s="1"/>
      <c r="I966" s="43"/>
      <c r="J966" s="27" t="str">
        <f>IF(C966&gt;0,C966,"")</f>
        <v/>
      </c>
      <c r="K966" s="91" t="str">
        <f>IFERROR(IF(C966&gt;0,IF(ISBLANK(G966),"Insert data",(IF(F966="kg(fertiliser)/HA",G966*D966,G966)*INDEX(Other_fertiliser_EF,MATCH(C966,Other_fertilisers,0))/F917)/1000),""),"")</f>
        <v/>
      </c>
      <c r="L966" s="39"/>
      <c r="M966" s="35"/>
    </row>
    <row r="967" spans="2:13" s="4" customFormat="1" outlineLevel="1" x14ac:dyDescent="0.4">
      <c r="B967" s="20"/>
      <c r="C967" s="151"/>
      <c r="D967" s="139"/>
      <c r="E967" s="138"/>
      <c r="F967" s="134"/>
      <c r="G967" s="1"/>
      <c r="H967" s="1"/>
      <c r="I967" s="43"/>
      <c r="J967" s="27" t="str">
        <f>IF(C967&gt;0,C967,"")</f>
        <v/>
      </c>
      <c r="K967" s="91" t="str">
        <f>IFERROR(IF(C967&gt;0,IF(ISBLANK(G967),"Insert data",(IF(F967="kg(fertiliser)/HA",G967*D967,G967)*INDEX(Other_fertiliser_EF,MATCH(C967,Other_fertilisers,0))/F917)/1000),""),"")</f>
        <v/>
      </c>
      <c r="L967" s="39"/>
      <c r="M967" s="35"/>
    </row>
    <row r="968" spans="2:13" s="4" customFormat="1" outlineLevel="1" x14ac:dyDescent="0.4">
      <c r="B968" s="20"/>
      <c r="C968" s="151"/>
      <c r="D968" s="139"/>
      <c r="E968" s="138"/>
      <c r="F968" s="134"/>
      <c r="G968" s="1"/>
      <c r="H968" s="1"/>
      <c r="I968" s="43"/>
      <c r="J968" s="27" t="str">
        <f>IF(C968&gt;0,C968,"")</f>
        <v/>
      </c>
      <c r="K968" s="91" t="str">
        <f>IFERROR(IF(C968&gt;0,IF(ISBLANK(G968),"Insert data",(IF(F968="kg(fertiliser)/HA",G968*D968,G968)*INDEX(Other_fertiliser_EF,MATCH(C968,Other_fertilisers,0))/F917)/1000),""),"")</f>
        <v/>
      </c>
      <c r="L968" s="39"/>
      <c r="M968" s="35"/>
    </row>
    <row r="969" spans="2:13" s="4" customFormat="1" outlineLevel="1" x14ac:dyDescent="0.4">
      <c r="B969" s="20"/>
      <c r="C969" s="151"/>
      <c r="D969" s="139"/>
      <c r="E969" s="138"/>
      <c r="F969" s="134"/>
      <c r="G969" s="1"/>
      <c r="H969" s="1"/>
      <c r="I969" s="43"/>
      <c r="J969" s="27" t="str">
        <f>IF(C969&gt;0,C969,"")</f>
        <v/>
      </c>
      <c r="K969" s="91" t="str">
        <f>IFERROR(IF(C969&gt;0,IF(ISBLANK(G969),"Insert data",(IF(F969="kg(fertiliser)/HA",G969*D969,G969)*INDEX(Other_fertiliser_EF,MATCH(C969,Other_fertilisers,0))/F917)/1000),""),"")</f>
        <v/>
      </c>
      <c r="L969" s="39"/>
      <c r="M969" s="35"/>
    </row>
    <row r="970" spans="2:13" s="4" customFormat="1" outlineLevel="1" x14ac:dyDescent="0.4">
      <c r="B970" s="20"/>
      <c r="C970" s="24"/>
      <c r="D970" s="21"/>
      <c r="E970" s="21"/>
      <c r="F970" s="21"/>
      <c r="G970" s="21"/>
      <c r="H970" s="21"/>
      <c r="I970" s="41"/>
      <c r="J970" s="36"/>
      <c r="K970" s="36"/>
      <c r="L970" s="37"/>
      <c r="M970" s="35"/>
    </row>
    <row r="971" spans="2:13" s="4" customFormat="1" outlineLevel="1" x14ac:dyDescent="0.4">
      <c r="B971" s="20"/>
      <c r="C971" s="150" t="s">
        <v>157</v>
      </c>
      <c r="D971" s="21"/>
      <c r="E971" s="21"/>
      <c r="F971" s="21"/>
      <c r="G971" s="21"/>
      <c r="H971" s="21"/>
      <c r="I971" s="41"/>
      <c r="J971" s="36"/>
      <c r="K971" s="36"/>
      <c r="L971" s="37"/>
      <c r="M971" s="35"/>
    </row>
    <row r="972" spans="2:13" s="4" customFormat="1" outlineLevel="1" x14ac:dyDescent="0.4">
      <c r="B972" s="20"/>
      <c r="C972" s="167" t="s">
        <v>158</v>
      </c>
      <c r="D972" s="168" t="s">
        <v>151</v>
      </c>
      <c r="E972" s="168" t="s">
        <v>140</v>
      </c>
      <c r="F972" s="21"/>
      <c r="G972" s="21"/>
      <c r="H972" s="21"/>
      <c r="I972" s="41"/>
      <c r="J972" s="164" t="s">
        <v>158</v>
      </c>
      <c r="K972" s="164" t="s">
        <v>141</v>
      </c>
      <c r="L972" s="37"/>
      <c r="M972" s="35"/>
    </row>
    <row r="973" spans="2:13" s="4" customFormat="1" outlineLevel="1" x14ac:dyDescent="0.4">
      <c r="B973" s="20"/>
      <c r="C973" s="617" t="str">
        <f>IF(D913="Silage grass", "Grass", IF(D913="Do not use defaults", "", D913))</f>
        <v/>
      </c>
      <c r="D973" s="27" t="str">
        <f>IF(C973=D913, "kg/Ha", "")</f>
        <v/>
      </c>
      <c r="E973" s="30" t="str">
        <f>IF(D913="Do not use defaults", "",VLOOKUP(D913,Default_crop_data[],8,FALSE))</f>
        <v/>
      </c>
      <c r="F973" s="1"/>
      <c r="G973" s="1"/>
      <c r="H973" s="1"/>
      <c r="I973" s="43"/>
      <c r="J973" s="27" t="str">
        <f>IF(C973&gt;0,C973,"")</f>
        <v/>
      </c>
      <c r="K973" s="52" t="str">
        <f>IF(C973&gt;0,IFERROR(E973*INDEX(Seed_EF,MATCH(C973,Seeds,0))/F917/1000,""),"")</f>
        <v/>
      </c>
      <c r="L973" s="38"/>
      <c r="M973" s="35"/>
    </row>
    <row r="974" spans="2:13" s="4" customFormat="1" outlineLevel="1" x14ac:dyDescent="0.4">
      <c r="B974" s="20"/>
      <c r="C974" s="153"/>
      <c r="D974" s="138"/>
      <c r="E974" s="140"/>
      <c r="F974" s="1"/>
      <c r="G974" s="1"/>
      <c r="H974" s="1"/>
      <c r="I974" s="43"/>
      <c r="J974" s="27" t="str">
        <f>IF(C974&gt;0,C974,"")</f>
        <v/>
      </c>
      <c r="K974" s="52" t="str">
        <f>IF(C974&gt;0,IFERROR(E974*INDEX(Seed_EF,MATCH(C974,Seeds,0))/F918/1000,""),"")</f>
        <v/>
      </c>
      <c r="L974" s="38"/>
      <c r="M974" s="35"/>
    </row>
    <row r="975" spans="2:13" s="4" customFormat="1" outlineLevel="1" x14ac:dyDescent="0.4">
      <c r="B975" s="20"/>
      <c r="C975" s="24"/>
      <c r="D975" s="21"/>
      <c r="E975" s="21"/>
      <c r="F975" s="21"/>
      <c r="G975" s="21"/>
      <c r="H975" s="21"/>
      <c r="I975" s="41"/>
      <c r="J975" s="36"/>
      <c r="K975" s="36"/>
      <c r="L975" s="37"/>
      <c r="M975" s="35"/>
    </row>
    <row r="976" spans="2:13" s="12" customFormat="1" ht="15" customHeight="1" outlineLevel="1" x14ac:dyDescent="0.35">
      <c r="B976" s="20"/>
      <c r="C976" s="25" t="s">
        <v>159</v>
      </c>
      <c r="D976" s="1"/>
      <c r="E976" s="1"/>
      <c r="F976" s="1"/>
      <c r="G976" s="1"/>
      <c r="H976" s="1"/>
      <c r="I976" s="43"/>
      <c r="J976" s="34"/>
      <c r="K976" s="34"/>
      <c r="L976" s="44"/>
      <c r="M976" s="54"/>
    </row>
    <row r="977" spans="2:13" s="12" customFormat="1" ht="15" customHeight="1" outlineLevel="1" x14ac:dyDescent="0.35">
      <c r="B977" s="20"/>
      <c r="C977" s="166" t="s">
        <v>160</v>
      </c>
      <c r="D977" s="164" t="s">
        <v>151</v>
      </c>
      <c r="E977" s="164" t="s">
        <v>140</v>
      </c>
      <c r="F977" s="1"/>
      <c r="G977" s="1"/>
      <c r="H977" s="1"/>
      <c r="I977" s="43"/>
      <c r="J977" s="164" t="s">
        <v>160</v>
      </c>
      <c r="K977" s="164" t="s">
        <v>141</v>
      </c>
      <c r="L977" s="37"/>
      <c r="M977" s="54"/>
    </row>
    <row r="978" spans="2:13" s="12" customFormat="1" ht="15" customHeight="1" outlineLevel="1" x14ac:dyDescent="0.35">
      <c r="B978" s="20"/>
      <c r="C978" s="621" t="str">
        <f>IF(D913="Do not use defaults", "", "Diesel")</f>
        <v/>
      </c>
      <c r="D978" s="74" t="str">
        <f>IF(D913="Do not use defaults", "", "litres/Ha")</f>
        <v/>
      </c>
      <c r="E978" s="622" t="str">
        <f>IF(D913="Do not use defaults", "",VLOOKUP(D913,Default_crop_data[],9,FALSE))</f>
        <v/>
      </c>
      <c r="F978" s="1"/>
      <c r="G978" s="26"/>
      <c r="H978" s="1"/>
      <c r="I978" s="43"/>
      <c r="J978" s="27" t="str">
        <f>IF(C978&gt;0,C978,"")</f>
        <v/>
      </c>
      <c r="K978" s="52" t="str">
        <f>IF(D913="Do not use defaults", "", IFERROR(IF(C978&gt;0,IF(ISBLANK(E978),"Insert data",IF(D978="litres/Ha",E978*INDEX(Fuel_Densities,MATCH(C978,Fuels_for_Densities,0))/1000*INDEX(Fuel_LHV,MATCH(C978,Fuels_for_LHV,0))/F917/1000*INDEX(Fuel_EFs,MATCH(C978,Fuels_for_EF,0)),IF(D978="kg/Ha",E978*INDEX(Fuel_LHV,MATCH(C978,Fuels_for_LHV,0))/F917/1000*INDEX(Fuel_EFs,MATCH(C978,Fuels_for_EF,0)),IF(D978="tonnes/Ha",E978*INDEX(Fuel_LHV,MATCH(C978,Fuels_for_LHV,0))/F917*INDEX(Fuel_EFs,MATCH(C978,Fuels_for_EF,0)),"Insert unit")))),""),""))</f>
        <v/>
      </c>
      <c r="L978" s="40"/>
      <c r="M978" s="54"/>
    </row>
    <row r="979" spans="2:13" s="12" customFormat="1" ht="15" customHeight="1" outlineLevel="1" x14ac:dyDescent="0.35">
      <c r="B979" s="20"/>
      <c r="C979" s="621" t="str">
        <f>IF(D913="Do not use defaults", "", "Diesel")</f>
        <v/>
      </c>
      <c r="D979" s="74" t="str">
        <f>IF(D913="Do not use defaults", "", "litres/Ha")</f>
        <v/>
      </c>
      <c r="E979" s="622" t="str">
        <f>IF(D913="Do not use defaults", "",VLOOKUP(D913,Default_crop_data[],10,FALSE))</f>
        <v/>
      </c>
      <c r="F979" s="1"/>
      <c r="G979" s="1"/>
      <c r="H979" s="1"/>
      <c r="I979" s="43"/>
      <c r="J979" s="27" t="str">
        <f>IF(C979&gt;0,C979,"")</f>
        <v/>
      </c>
      <c r="K979" s="52" t="str">
        <f>IF(D913="Do not use defaults", "", IFERROR(IF(C979&gt;0,IF(ISBLANK(E979),"Insert data",IF(D979="litres/Ha",E979*INDEX(Fuel_Densities,MATCH(C979,Fuels_for_Densities,0))/1000*INDEX(Fuel_LHV,MATCH(C979,Fuels_for_LHV,0))/F917/1000*INDEX(Fuel_EFs,MATCH(C979,Fuels_for_EF,0)),IF(D979="kg/Ha",E979*INDEX(Fuel_LHV,MATCH(C979,Fuels_for_LHV,0))/F917/1000*INDEX(Fuel_EFs,MATCH(C979,Fuels_for_EF,0)),IF(D979="tonnes/Ha",E979*INDEX(Fuel_LHV,MATCH(C979,Fuels_for_LHV,0))/F917*INDEX(Fuel_EFs,MATCH(C979,Fuels_for_EF,0)),"Insert unit")))),""),""))</f>
        <v/>
      </c>
      <c r="L979" s="40"/>
      <c r="M979" s="54"/>
    </row>
    <row r="980" spans="2:13" s="12" customFormat="1" ht="15" customHeight="1" outlineLevel="1" x14ac:dyDescent="0.35">
      <c r="B980" s="20"/>
      <c r="C980" s="154"/>
      <c r="D980" s="141"/>
      <c r="E980" s="142"/>
      <c r="F980" s="1"/>
      <c r="G980" s="1"/>
      <c r="H980" s="1"/>
      <c r="I980" s="43"/>
      <c r="J980" s="27" t="str">
        <f>IF(C980&gt;0,C980,"")</f>
        <v/>
      </c>
      <c r="K980" s="52" t="str">
        <f>IFERROR(IF(C980&gt;0,IF(ISBLANK(E980),"Insert data",IF(D980="litres/Ha",E980*INDEX(Fuel_Densities,MATCH(C980,Fuels_for_Densities,0))/1000*INDEX(Fuel_LHV,MATCH(C980,Fuels_for_LHV,0))/F917/1000*INDEX(Fuel_EFs,MATCH(C980,Fuels_for_EF,0)),IF(D980="kg/Ha",E980*INDEX(Fuel_LHV,MATCH(C980,Fuels_for_LHV,0))/F917/1000*INDEX(Fuel_EFs,MATCH(C980,Fuels_for_EF,0)),IF(D980="tonnes/Ha",E980*INDEX(Fuel_LHV,MATCH(C980,Fuels_for_LHV,0))/F917*INDEX(Fuel_EFs,MATCH(C980,Fuels_for_EF,0)),"Insert unit")))),""),"")</f>
        <v/>
      </c>
      <c r="L980" s="40"/>
      <c r="M980" s="54"/>
    </row>
    <row r="981" spans="2:13" s="12" customFormat="1" ht="15" customHeight="1" outlineLevel="1" x14ac:dyDescent="0.35">
      <c r="B981" s="20"/>
      <c r="C981" s="154"/>
      <c r="D981" s="141"/>
      <c r="E981" s="142"/>
      <c r="F981" s="1"/>
      <c r="G981" s="1"/>
      <c r="H981" s="1"/>
      <c r="I981" s="43"/>
      <c r="J981" s="27" t="str">
        <f>IF(C981&gt;0,C981,"")</f>
        <v/>
      </c>
      <c r="K981" s="52" t="str">
        <f>IFERROR(IF(C981&gt;0,IF(ISBLANK(E981),"Insert data",IF(D981="litres/Ha",E981*INDEX(Fuel_Densities,MATCH(C981,Fuels_for_Densities,0))/1000*INDEX(Fuel_LHV,MATCH(C981,Fuels_for_LHV,0))/F917/1000*INDEX(Fuel_EFs,MATCH(C981,Fuels_for_EF,0)),IF(D981="kg/Ha",E981*INDEX(Fuel_LHV,MATCH(C981,Fuels_for_LHV,0))/F917/1000*INDEX(Fuel_EFs,MATCH(C981,Fuels_for_EF,0)),IF(D981="tonnes/Ha",E981*INDEX(Fuel_LHV,MATCH(C981,Fuels_for_LHV,0))/F917*INDEX(Fuel_EFs,MATCH(C981,Fuels_for_EF,0)),"Insert unit")))),""),"")</f>
        <v/>
      </c>
      <c r="L981" s="40"/>
      <c r="M981" s="54"/>
    </row>
    <row r="982" spans="2:13" s="4" customFormat="1" ht="13.5" customHeight="1" outlineLevel="1" x14ac:dyDescent="0.4">
      <c r="B982" s="20"/>
      <c r="C982" s="24"/>
      <c r="D982" s="21"/>
      <c r="E982" s="21"/>
      <c r="F982" s="21"/>
      <c r="G982" s="21"/>
      <c r="H982" s="21"/>
      <c r="I982" s="46"/>
      <c r="J982" s="58"/>
      <c r="K982" s="58"/>
      <c r="L982" s="59"/>
      <c r="M982" s="35"/>
    </row>
    <row r="983" spans="2:13" s="4" customFormat="1" ht="13.5" customHeight="1" outlineLevel="1" x14ac:dyDescent="0.4">
      <c r="B983" s="20"/>
      <c r="C983" s="661" t="s">
        <v>120</v>
      </c>
      <c r="D983" s="21"/>
      <c r="E983" s="21"/>
      <c r="F983" s="21"/>
      <c r="G983" s="21"/>
      <c r="H983" s="21"/>
      <c r="I983" s="21"/>
      <c r="J983" s="21"/>
      <c r="K983" s="21"/>
      <c r="L983" s="21"/>
      <c r="M983" s="35"/>
    </row>
    <row r="984" spans="2:13" s="4" customFormat="1" ht="13.5" customHeight="1" outlineLevel="1" x14ac:dyDescent="0.4">
      <c r="B984" s="20"/>
      <c r="C984" s="166" t="s">
        <v>161</v>
      </c>
      <c r="D984" s="622">
        <f xml:space="preserve"> IFERROR(( Feedstocks!D20 * (Feedstocks!E20 / IF(Feedstocks!I20="Default",  Feedstocks!J20, Feedstocks!K20)) /('Transport 1'!F469 * 'Feedstock conversion'!F467 * 'Transport 2'!F469)) /F917, 0)</f>
        <v>0</v>
      </c>
      <c r="E984" s="21"/>
      <c r="F984" s="21"/>
      <c r="G984" s="21"/>
      <c r="H984" s="21"/>
      <c r="I984" s="21"/>
      <c r="J984" s="21"/>
      <c r="K984" s="21"/>
      <c r="L984" s="21"/>
      <c r="M984" s="35"/>
    </row>
    <row r="985" spans="2:13" s="4" customFormat="1" ht="13.5" customHeight="1" outlineLevel="1" x14ac:dyDescent="0.4">
      <c r="B985" s="28"/>
      <c r="C985" s="155"/>
      <c r="D985" s="29"/>
      <c r="E985" s="29"/>
      <c r="F985" s="29"/>
      <c r="G985" s="29"/>
      <c r="H985" s="29"/>
      <c r="I985" s="29"/>
      <c r="J985" s="29"/>
      <c r="K985" s="29"/>
      <c r="L985" s="29"/>
      <c r="M985" s="60"/>
    </row>
    <row r="986" spans="2:13" s="4" customFormat="1" ht="13.5" customHeight="1" outlineLevel="1" x14ac:dyDescent="0.4">
      <c r="B986" s="21"/>
      <c r="C986" s="24"/>
      <c r="D986" s="21"/>
      <c r="E986" s="21"/>
      <c r="F986" s="21"/>
      <c r="G986" s="21"/>
      <c r="H986" s="21"/>
      <c r="I986" s="21"/>
      <c r="J986" s="21"/>
      <c r="K986" s="21"/>
      <c r="L986" s="21"/>
      <c r="M986" s="21"/>
    </row>
    <row r="987" spans="2:13" s="200" customFormat="1" ht="3.75" customHeight="1" thickBot="1" x14ac:dyDescent="0.45"/>
    <row r="988" spans="2:13" x14ac:dyDescent="0.4">
      <c r="C988" s="158"/>
    </row>
  </sheetData>
  <sheetProtection algorithmName="SHA-512" hashValue="3M/4QECR4pvnjdt0SzZj4/DR7oP23twpLv0EpX+AlnRzxcFcw0ipuiPnX73FRW++I3E/PoZ6CEBD/SWaI8fl6g==" saltValue="+65IkGNs9uloFvPWzPKsyg==" spinCount="100000" sheet="1" objects="1" scenarios="1"/>
  <dataConsolidate>
    <dataRefs count="2">
      <dataRef ref="I15:I17" sheet="Cultivation and harvesting" r:id="rId1"/>
      <dataRef ref="I22:I50" sheet="Cultivation and harvesting" r:id="rId3"/>
    </dataRefs>
  </dataConsolidate>
  <mergeCells count="41">
    <mergeCell ref="C3:M3"/>
    <mergeCell ref="B108:M108"/>
    <mergeCell ref="D110:F110"/>
    <mergeCell ref="D111:F111"/>
    <mergeCell ref="B208:M208"/>
    <mergeCell ref="B8:M8"/>
    <mergeCell ref="D10:F10"/>
    <mergeCell ref="D11:F11"/>
    <mergeCell ref="G16:G17"/>
    <mergeCell ref="G116:G117"/>
    <mergeCell ref="B408:M408"/>
    <mergeCell ref="D410:F410"/>
    <mergeCell ref="D411:F411"/>
    <mergeCell ref="D210:F210"/>
    <mergeCell ref="D211:F211"/>
    <mergeCell ref="B308:M308"/>
    <mergeCell ref="D310:F310"/>
    <mergeCell ref="D311:F311"/>
    <mergeCell ref="G216:G217"/>
    <mergeCell ref="G316:G317"/>
    <mergeCell ref="D611:F611"/>
    <mergeCell ref="B708:M708"/>
    <mergeCell ref="D710:F710"/>
    <mergeCell ref="D711:F711"/>
    <mergeCell ref="B808:M808"/>
    <mergeCell ref="G916:G917"/>
    <mergeCell ref="G416:G417"/>
    <mergeCell ref="G516:G517"/>
    <mergeCell ref="G616:G617"/>
    <mergeCell ref="G716:G717"/>
    <mergeCell ref="G816:G817"/>
    <mergeCell ref="B508:M508"/>
    <mergeCell ref="D510:F510"/>
    <mergeCell ref="D511:F511"/>
    <mergeCell ref="B608:M608"/>
    <mergeCell ref="D610:F610"/>
    <mergeCell ref="D810:F810"/>
    <mergeCell ref="D811:F811"/>
    <mergeCell ref="B908:M908"/>
    <mergeCell ref="D910:F910"/>
    <mergeCell ref="D911:F911"/>
  </mergeCells>
  <conditionalFormatting sqref="A930:D933 F930:XFD933">
    <cfRule type="cellIs" dxfId="2332" priority="224" operator="equal">
      <formula>"Must insert actual data for fertiliser application"</formula>
    </cfRule>
  </conditionalFormatting>
  <conditionalFormatting sqref="A7:XFD11">
    <cfRule type="cellIs" dxfId="2331" priority="267" operator="equal">
      <formula>"Insert unit"</formula>
    </cfRule>
    <cfRule type="cellIs" dxfId="2330" priority="268" operator="equal">
      <formula>"Insert data"</formula>
    </cfRule>
  </conditionalFormatting>
  <conditionalFormatting sqref="A7:XFD27 A28:N28 P28:XFD28">
    <cfRule type="cellIs" dxfId="2329" priority="263" operator="equal">
      <formula>"Must insert actual data for fertiliser application"</formula>
    </cfRule>
  </conditionalFormatting>
  <conditionalFormatting sqref="A12:XFD27 A112:XFD119 A212:XFD228 A312:XFD328 A412:XFD428 A512:XFD528 A612:XFD628 A712:XFD728 A812:XFD828 A28:N28 P28:XFD28 A229:D233 F229:XFD233 A329:D333 F329:XFD333 A429:D433 F429:XFD433 A529:D533 F529:XFD533 A629:D633 F629:XFD633 A729:D733 F729:XFD733 A829:D833 F829:XFD833 A989:XFD1048576">
    <cfRule type="cellIs" dxfId="2328" priority="889" operator="equal">
      <formula>"Insert data"</formula>
    </cfRule>
    <cfRule type="cellIs" dxfId="2327" priority="888" operator="equal">
      <formula>"Insert unit"</formula>
    </cfRule>
  </conditionalFormatting>
  <conditionalFormatting sqref="A29:XFD111">
    <cfRule type="cellIs" dxfId="2326" priority="152" operator="equal">
      <formula>"Must insert actual data for fertiliser application"</formula>
    </cfRule>
    <cfRule type="cellIs" dxfId="2325" priority="153" operator="equal">
      <formula>"Insert unit"</formula>
    </cfRule>
    <cfRule type="cellIs" dxfId="2324" priority="154" operator="equal">
      <formula>"Insert data"</formula>
    </cfRule>
  </conditionalFormatting>
  <conditionalFormatting sqref="A112:XFD119 A212:XFD228 A312:XFD328 A412:XFD428 A512:XFD528 A612:XFD628 A712:XFD728 A812:XFD828 A229:D233 F229:XFD233 A329:D333 F329:XFD333 A429:D433 F429:XFD433 A529:D533 F529:XFD533 A629:D633 F629:XFD633 A729:D733 F729:XFD733 A829:D833 F829:XFD833 A989:XFD1048576">
    <cfRule type="cellIs" dxfId="2323" priority="450" operator="equal">
      <formula>"Must insert actual data for fertiliser application"</formula>
    </cfRule>
  </conditionalFormatting>
  <conditionalFormatting sqref="A120:XFD128 A129:D133 F129:XFD133">
    <cfRule type="cellIs" dxfId="2322" priority="238" operator="equal">
      <formula>"Insert data"</formula>
    </cfRule>
    <cfRule type="cellIs" dxfId="2321" priority="236" operator="equal">
      <formula>"Must insert actual data for fertiliser application"</formula>
    </cfRule>
    <cfRule type="cellIs" dxfId="2320" priority="237" operator="equal">
      <formula>"Insert unit"</formula>
    </cfRule>
  </conditionalFormatting>
  <conditionalFormatting sqref="A134:XFD211">
    <cfRule type="cellIs" dxfId="2319" priority="23" operator="equal">
      <formula>"Must insert actual data for fertiliser application"</formula>
    </cfRule>
    <cfRule type="cellIs" dxfId="2318" priority="24" operator="equal">
      <formula>"Insert unit"</formula>
    </cfRule>
    <cfRule type="cellIs" dxfId="2317" priority="25" operator="equal">
      <formula>"Insert data"</formula>
    </cfRule>
  </conditionalFormatting>
  <conditionalFormatting sqref="A234:XFD311">
    <cfRule type="cellIs" dxfId="2316" priority="20" operator="equal">
      <formula>"Must insert actual data for fertiliser application"</formula>
    </cfRule>
    <cfRule type="cellIs" dxfId="2315" priority="21" operator="equal">
      <formula>"Insert unit"</formula>
    </cfRule>
    <cfRule type="cellIs" dxfId="2314" priority="22" operator="equal">
      <formula>"Insert data"</formula>
    </cfRule>
  </conditionalFormatting>
  <conditionalFormatting sqref="A334:XFD411">
    <cfRule type="cellIs" dxfId="2313" priority="19" operator="equal">
      <formula>"Insert data"</formula>
    </cfRule>
    <cfRule type="cellIs" dxfId="2312" priority="17" operator="equal">
      <formula>"Must insert actual data for fertiliser application"</formula>
    </cfRule>
    <cfRule type="cellIs" dxfId="2311" priority="18" operator="equal">
      <formula>"Insert unit"</formula>
    </cfRule>
  </conditionalFormatting>
  <conditionalFormatting sqref="A434:XFD511">
    <cfRule type="cellIs" dxfId="2310" priority="16" operator="equal">
      <formula>"Insert data"</formula>
    </cfRule>
    <cfRule type="cellIs" dxfId="2309" priority="14" operator="equal">
      <formula>"Must insert actual data for fertiliser application"</formula>
    </cfRule>
    <cfRule type="cellIs" dxfId="2308" priority="15" operator="equal">
      <formula>"Insert unit"</formula>
    </cfRule>
  </conditionalFormatting>
  <conditionalFormatting sqref="A534:XFD611">
    <cfRule type="cellIs" dxfId="2307" priority="13" operator="equal">
      <formula>"Insert data"</formula>
    </cfRule>
    <cfRule type="cellIs" dxfId="2306" priority="11" operator="equal">
      <formula>"Must insert actual data for fertiliser application"</formula>
    </cfRule>
    <cfRule type="cellIs" dxfId="2305" priority="12" operator="equal">
      <formula>"Insert unit"</formula>
    </cfRule>
  </conditionalFormatting>
  <conditionalFormatting sqref="A634:XFD711">
    <cfRule type="cellIs" dxfId="2304" priority="8" operator="equal">
      <formula>"Must insert actual data for fertiliser application"</formula>
    </cfRule>
    <cfRule type="cellIs" dxfId="2303" priority="10" operator="equal">
      <formula>"Insert data"</formula>
    </cfRule>
    <cfRule type="cellIs" dxfId="2302" priority="9" operator="equal">
      <formula>"Insert unit"</formula>
    </cfRule>
  </conditionalFormatting>
  <conditionalFormatting sqref="A734:XFD811">
    <cfRule type="cellIs" dxfId="2301" priority="5" operator="equal">
      <formula>"Must insert actual data for fertiliser application"</formula>
    </cfRule>
    <cfRule type="cellIs" dxfId="2300" priority="6" operator="equal">
      <formula>"Insert unit"</formula>
    </cfRule>
    <cfRule type="cellIs" dxfId="2299" priority="7" operator="equal">
      <formula>"Insert data"</formula>
    </cfRule>
  </conditionalFormatting>
  <conditionalFormatting sqref="A834:XFD911">
    <cfRule type="cellIs" dxfId="2298" priority="39" operator="equal">
      <formula>"Insert unit"</formula>
    </cfRule>
    <cfRule type="cellIs" dxfId="2297" priority="40" operator="equal">
      <formula>"Insert data"</formula>
    </cfRule>
  </conditionalFormatting>
  <conditionalFormatting sqref="A834:XFD928 A929:B929 G929:XFD929">
    <cfRule type="cellIs" dxfId="2296" priority="38" operator="equal">
      <formula>"Must insert actual data for fertiliser application"</formula>
    </cfRule>
  </conditionalFormatting>
  <conditionalFormatting sqref="A912:XFD919">
    <cfRule type="cellIs" dxfId="2295" priority="276" operator="equal">
      <formula>"Insert unit"</formula>
    </cfRule>
    <cfRule type="cellIs" dxfId="2294" priority="277" operator="equal">
      <formula>"Insert data"</formula>
    </cfRule>
  </conditionalFormatting>
  <conditionalFormatting sqref="A920:XFD928 A929:D933 F929:XFD933">
    <cfRule type="cellIs" dxfId="2293" priority="226" operator="equal">
      <formula>"Insert data"</formula>
    </cfRule>
    <cfRule type="cellIs" dxfId="2292" priority="225" operator="equal">
      <formula>"Insert unit"</formula>
    </cfRule>
  </conditionalFormatting>
  <conditionalFormatting sqref="A934:XFD986">
    <cfRule type="cellIs" dxfId="2291" priority="3" operator="equal">
      <formula>"Insert unit"</formula>
    </cfRule>
    <cfRule type="cellIs" dxfId="2290" priority="4" operator="equal">
      <formula>"Insert data"</formula>
    </cfRule>
    <cfRule type="cellIs" dxfId="2289" priority="2" operator="equal">
      <formula>"Must insert actual data for fertiliser application"</formula>
    </cfRule>
  </conditionalFormatting>
  <conditionalFormatting sqref="C5:C6">
    <cfRule type="cellIs" dxfId="2288" priority="163" operator="equal">
      <formula>"Insert data"</formula>
    </cfRule>
    <cfRule type="cellIs" dxfId="2287" priority="162" operator="equal">
      <formula>"Insert unit"</formula>
    </cfRule>
    <cfRule type="cellIs" dxfId="2286" priority="161" operator="equal">
      <formula>"Must insert actual data for fertiliser application"</formula>
    </cfRule>
  </conditionalFormatting>
  <conditionalFormatting sqref="C17">
    <cfRule type="cellIs" dxfId="2285" priority="675" operator="equal">
      <formula>"Default"</formula>
    </cfRule>
    <cfRule type="cellIs" dxfId="2284" priority="674" operator="equal">
      <formula>"Actual"</formula>
    </cfRule>
  </conditionalFormatting>
  <conditionalFormatting sqref="C117">
    <cfRule type="cellIs" dxfId="2283" priority="322" operator="equal">
      <formula>"Actual"</formula>
    </cfRule>
    <cfRule type="cellIs" dxfId="2282" priority="323" operator="equal">
      <formula>"Default"</formula>
    </cfRule>
  </conditionalFormatting>
  <conditionalFormatting sqref="C217">
    <cfRule type="cellIs" dxfId="2281" priority="316" operator="equal">
      <formula>"Actual"</formula>
    </cfRule>
    <cfRule type="cellIs" dxfId="2280" priority="317" operator="equal">
      <formula>"Default"</formula>
    </cfRule>
  </conditionalFormatting>
  <conditionalFormatting sqref="C317">
    <cfRule type="cellIs" dxfId="2279" priority="310" operator="equal">
      <formula>"Actual"</formula>
    </cfRule>
    <cfRule type="cellIs" dxfId="2278" priority="311" operator="equal">
      <formula>"Default"</formula>
    </cfRule>
  </conditionalFormatting>
  <conditionalFormatting sqref="C417">
    <cfRule type="cellIs" dxfId="2277" priority="305" operator="equal">
      <formula>"Default"</formula>
    </cfRule>
    <cfRule type="cellIs" dxfId="2276" priority="304" operator="equal">
      <formula>"Actual"</formula>
    </cfRule>
  </conditionalFormatting>
  <conditionalFormatting sqref="C517">
    <cfRule type="cellIs" dxfId="2275" priority="298" operator="equal">
      <formula>"Actual"</formula>
    </cfRule>
    <cfRule type="cellIs" dxfId="2274" priority="299" operator="equal">
      <formula>"Default"</formula>
    </cfRule>
  </conditionalFormatting>
  <conditionalFormatting sqref="C617">
    <cfRule type="cellIs" dxfId="2273" priority="292" operator="equal">
      <formula>"Actual"</formula>
    </cfRule>
    <cfRule type="cellIs" dxfId="2272" priority="293" operator="equal">
      <formula>"Default"</formula>
    </cfRule>
  </conditionalFormatting>
  <conditionalFormatting sqref="C717">
    <cfRule type="cellIs" dxfId="2271" priority="286" operator="equal">
      <formula>"Actual"</formula>
    </cfRule>
    <cfRule type="cellIs" dxfId="2270" priority="287" operator="equal">
      <formula>"Default"</formula>
    </cfRule>
  </conditionalFormatting>
  <conditionalFormatting sqref="C817">
    <cfRule type="cellIs" dxfId="2269" priority="281" operator="equal">
      <formula>"Default"</formula>
    </cfRule>
    <cfRule type="cellIs" dxfId="2268" priority="280" operator="equal">
      <formula>"Actual"</formula>
    </cfRule>
  </conditionalFormatting>
  <conditionalFormatting sqref="C917">
    <cfRule type="cellIs" dxfId="2267" priority="273" operator="equal">
      <formula>"Default"</formula>
    </cfRule>
    <cfRule type="cellIs" dxfId="2266" priority="272" operator="equal">
      <formula>"Actual"</formula>
    </cfRule>
  </conditionalFormatting>
  <conditionalFormatting sqref="C929:D929 F929">
    <cfRule type="cellIs" dxfId="2265" priority="1" operator="equal">
      <formula>"Must insert actual data for fertiliser application"</formula>
    </cfRule>
  </conditionalFormatting>
  <conditionalFormatting sqref="D6">
    <cfRule type="cellIs" dxfId="2264" priority="159" operator="equal">
      <formula>"Insert unit"</formula>
    </cfRule>
    <cfRule type="cellIs" dxfId="2263" priority="158" operator="equal">
      <formula>"Must insert actual data for fertiliser application"</formula>
    </cfRule>
    <cfRule type="cellIs" dxfId="2262" priority="160" operator="equal">
      <formula>"Insert data"</formula>
    </cfRule>
  </conditionalFormatting>
  <conditionalFormatting sqref="D17">
    <cfRule type="expression" dxfId="2261" priority="677">
      <formula>C17="Default"</formula>
    </cfRule>
    <cfRule type="expression" dxfId="2260" priority="676">
      <formula>C17="Actual"</formula>
    </cfRule>
  </conditionalFormatting>
  <conditionalFormatting sqref="D117">
    <cfRule type="expression" dxfId="2259" priority="325">
      <formula>C117="Default"</formula>
    </cfRule>
    <cfRule type="expression" dxfId="2258" priority="535">
      <formula>C117="Default"</formula>
    </cfRule>
    <cfRule type="expression" dxfId="2257" priority="534">
      <formula>C117="Actual"</formula>
    </cfRule>
    <cfRule type="expression" dxfId="2256" priority="666">
      <formula>C117="Actual"</formula>
    </cfRule>
    <cfRule type="expression" dxfId="2255" priority="530">
      <formula>C117="Actual"</formula>
    </cfRule>
    <cfRule type="expression" dxfId="2254" priority="531">
      <formula>C117="Default"</formula>
    </cfRule>
    <cfRule type="expression" dxfId="2253" priority="324">
      <formula>C117="Actual"</formula>
    </cfRule>
    <cfRule type="expression" dxfId="2252" priority="448">
      <formula>C117="Default"</formula>
    </cfRule>
    <cfRule type="expression" dxfId="2251" priority="447">
      <formula>C117="Actual"</formula>
    </cfRule>
    <cfRule type="expression" dxfId="2250" priority="667">
      <formula>C117="Default"</formula>
    </cfRule>
  </conditionalFormatting>
  <conditionalFormatting sqref="D217">
    <cfRule type="expression" dxfId="2249" priority="318">
      <formula>C217="Actual"</formula>
    </cfRule>
    <cfRule type="expression" dxfId="2248" priority="525">
      <formula>C217="Default"</formula>
    </cfRule>
    <cfRule type="expression" dxfId="2247" priority="524">
      <formula>C217="Actual"</formula>
    </cfRule>
    <cfRule type="expression" dxfId="2246" priority="319">
      <formula>C217="Default"</formula>
    </cfRule>
    <cfRule type="expression" dxfId="2245" priority="441">
      <formula>C217="Actual"</formula>
    </cfRule>
    <cfRule type="expression" dxfId="2244" priority="656">
      <formula>C217="Actual"</formula>
    </cfRule>
    <cfRule type="expression" dxfId="2243" priority="657">
      <formula>C217="Default"</formula>
    </cfRule>
    <cfRule type="expression" dxfId="2242" priority="442">
      <formula>C217="Default"</formula>
    </cfRule>
  </conditionalFormatting>
  <conditionalFormatting sqref="D317">
    <cfRule type="expression" dxfId="2241" priority="519">
      <formula>C317="Default"</formula>
    </cfRule>
    <cfRule type="expression" dxfId="2240" priority="518">
      <formula>C317="Actual"</formula>
    </cfRule>
    <cfRule type="expression" dxfId="2239" priority="646">
      <formula>C317="Actual"</formula>
    </cfRule>
    <cfRule type="expression" dxfId="2238" priority="647">
      <formula>C317="Default"</formula>
    </cfRule>
    <cfRule type="expression" dxfId="2237" priority="312">
      <formula>C317="Actual"</formula>
    </cfRule>
    <cfRule type="expression" dxfId="2236" priority="436">
      <formula>C317="Default"</formula>
    </cfRule>
    <cfRule type="expression" dxfId="2235" priority="435">
      <formula>C317="Actual"</formula>
    </cfRule>
    <cfRule type="expression" dxfId="2234" priority="313">
      <formula>C317="Default"</formula>
    </cfRule>
  </conditionalFormatting>
  <conditionalFormatting sqref="D417">
    <cfRule type="expression" dxfId="2233" priority="513">
      <formula>C417="Default"</formula>
    </cfRule>
    <cfRule type="expression" dxfId="2232" priority="306">
      <formula>C417="Actual"</formula>
    </cfRule>
    <cfRule type="expression" dxfId="2231" priority="307">
      <formula>C417="Default"</formula>
    </cfRule>
    <cfRule type="expression" dxfId="2230" priority="430">
      <formula>C417="Default"</formula>
    </cfRule>
    <cfRule type="expression" dxfId="2229" priority="637">
      <formula>C417="Default"</formula>
    </cfRule>
    <cfRule type="expression" dxfId="2228" priority="636">
      <formula>C417="Actual"</formula>
    </cfRule>
    <cfRule type="expression" dxfId="2227" priority="512">
      <formula>C417="Actual"</formula>
    </cfRule>
    <cfRule type="expression" dxfId="2226" priority="429">
      <formula>C417="Actual"</formula>
    </cfRule>
  </conditionalFormatting>
  <conditionalFormatting sqref="D517">
    <cfRule type="expression" dxfId="2225" priority="506">
      <formula>C517="Actual"</formula>
    </cfRule>
    <cfRule type="expression" dxfId="2224" priority="300">
      <formula>C517="Actual"</formula>
    </cfRule>
    <cfRule type="expression" dxfId="2223" priority="301">
      <formula>C517="Default"</formula>
    </cfRule>
    <cfRule type="expression" dxfId="2222" priority="507">
      <formula>C517="Default"</formula>
    </cfRule>
    <cfRule type="expression" dxfId="2221" priority="423">
      <formula>C517="Actual"</formula>
    </cfRule>
    <cfRule type="expression" dxfId="2220" priority="424">
      <formula>C517="Default"</formula>
    </cfRule>
    <cfRule type="expression" dxfId="2219" priority="627">
      <formula>C517="Default"</formula>
    </cfRule>
    <cfRule type="expression" dxfId="2218" priority="626">
      <formula>C517="Actual"</formula>
    </cfRule>
  </conditionalFormatting>
  <conditionalFormatting sqref="D617">
    <cfRule type="expression" dxfId="2217" priority="500">
      <formula>C617="Actual"</formula>
    </cfRule>
    <cfRule type="expression" dxfId="2216" priority="501">
      <formula>C617="Default"</formula>
    </cfRule>
    <cfRule type="expression" dxfId="2215" priority="418">
      <formula>C617="Default"</formula>
    </cfRule>
    <cfRule type="expression" dxfId="2214" priority="616">
      <formula>C617="Actual"</formula>
    </cfRule>
    <cfRule type="expression" dxfId="2213" priority="294">
      <formula>C617="Actual"</formula>
    </cfRule>
    <cfRule type="expression" dxfId="2212" priority="295">
      <formula>C617="Default"</formula>
    </cfRule>
    <cfRule type="expression" dxfId="2211" priority="617">
      <formula>C617="Default"</formula>
    </cfRule>
    <cfRule type="expression" dxfId="2210" priority="417">
      <formula>C617="Actual"</formula>
    </cfRule>
  </conditionalFormatting>
  <conditionalFormatting sqref="D717">
    <cfRule type="expression" dxfId="2209" priority="411">
      <formula>C717="Actual"</formula>
    </cfRule>
    <cfRule type="expression" dxfId="2208" priority="412">
      <formula>C717="Default"</formula>
    </cfRule>
    <cfRule type="expression" dxfId="2207" priority="494">
      <formula>C717="Actual"</formula>
    </cfRule>
    <cfRule type="expression" dxfId="2206" priority="495">
      <formula>C717="Default"</formula>
    </cfRule>
    <cfRule type="expression" dxfId="2205" priority="606">
      <formula>C717="Actual"</formula>
    </cfRule>
    <cfRule type="expression" dxfId="2204" priority="288">
      <formula>C717="Actual"</formula>
    </cfRule>
    <cfRule type="expression" dxfId="2203" priority="289">
      <formula>C717="Default"</formula>
    </cfRule>
    <cfRule type="expression" dxfId="2202" priority="607">
      <formula>C717="Default"</formula>
    </cfRule>
  </conditionalFormatting>
  <conditionalFormatting sqref="D817">
    <cfRule type="expression" dxfId="2201" priority="372">
      <formula>C817="Actual"</formula>
    </cfRule>
    <cfRule type="expression" dxfId="2200" priority="283">
      <formula>C817="Default"</formula>
    </cfRule>
    <cfRule type="expression" dxfId="2199" priority="405">
      <formula>C817="Actual"</formula>
    </cfRule>
    <cfRule type="expression" dxfId="2198" priority="282">
      <formula>C817="Actual"</formula>
    </cfRule>
    <cfRule type="expression" dxfId="2197" priority="354">
      <formula>C817="Actual"</formula>
    </cfRule>
    <cfRule type="expression" dxfId="2196" priority="355">
      <formula>C817="Default"</formula>
    </cfRule>
    <cfRule type="expression" dxfId="2195" priority="597">
      <formula>C817="Default"</formula>
    </cfRule>
    <cfRule type="expression" dxfId="2194" priority="596">
      <formula>C817="Actual"</formula>
    </cfRule>
    <cfRule type="expression" dxfId="2193" priority="360">
      <formula>C817="Actual"</formula>
    </cfRule>
    <cfRule type="expression" dxfId="2192" priority="361">
      <formula>C817="Default"</formula>
    </cfRule>
    <cfRule type="expression" dxfId="2191" priority="489">
      <formula>C817="Default"</formula>
    </cfRule>
    <cfRule type="expression" dxfId="2190" priority="488">
      <formula>C817="Actual"</formula>
    </cfRule>
    <cfRule type="expression" dxfId="2189" priority="366">
      <formula>C817="Actual"</formula>
    </cfRule>
    <cfRule type="expression" dxfId="2188" priority="367">
      <formula>C817="Default"</formula>
    </cfRule>
    <cfRule type="expression" dxfId="2187" priority="349">
      <formula>C817="Default"</formula>
    </cfRule>
    <cfRule type="expression" dxfId="2186" priority="373">
      <formula>C817="Default"</formula>
    </cfRule>
    <cfRule type="expression" dxfId="2185" priority="348">
      <formula>C817="Actual"</formula>
    </cfRule>
    <cfRule type="expression" dxfId="2184" priority="406">
      <formula>C817="Default"</formula>
    </cfRule>
    <cfRule type="expression" dxfId="2183" priority="378">
      <formula>C817="Actual"</formula>
    </cfRule>
    <cfRule type="expression" dxfId="2182" priority="379">
      <formula>C817="Default"</formula>
    </cfRule>
  </conditionalFormatting>
  <conditionalFormatting sqref="D917">
    <cfRule type="expression" dxfId="2181" priority="275">
      <formula>C917="Default"</formula>
    </cfRule>
    <cfRule type="expression" dxfId="2180" priority="274">
      <formula>C917="Actual"</formula>
    </cfRule>
  </conditionalFormatting>
  <conditionalFormatting sqref="E17">
    <cfRule type="expression" dxfId="2179" priority="673">
      <formula>C17="Default"</formula>
    </cfRule>
    <cfRule type="expression" dxfId="2178" priority="672">
      <formula>C17="Actual"</formula>
    </cfRule>
  </conditionalFormatting>
  <conditionalFormatting sqref="E117">
    <cfRule type="expression" dxfId="2177" priority="526">
      <formula>C117="Actual"</formula>
    </cfRule>
    <cfRule type="expression" dxfId="2176" priority="443">
      <formula>C117="Actual"</formula>
    </cfRule>
    <cfRule type="expression" dxfId="2175" priority="321">
      <formula>C117="Default"</formula>
    </cfRule>
    <cfRule type="expression" dxfId="2174" priority="320">
      <formula>C117="Actual"</formula>
    </cfRule>
    <cfRule type="expression" dxfId="2173" priority="444">
      <formula>C117="Default"</formula>
    </cfRule>
    <cfRule type="expression" dxfId="2172" priority="527">
      <formula>C117="Default"</formula>
    </cfRule>
    <cfRule type="expression" dxfId="2171" priority="662">
      <formula>C117="Actual"</formula>
    </cfRule>
    <cfRule type="expression" dxfId="2170" priority="663">
      <formula>C117="Default"</formula>
    </cfRule>
  </conditionalFormatting>
  <conditionalFormatting sqref="E129:E133">
    <cfRule type="cellIs" dxfId="2169" priority="222" operator="equal">
      <formula>"Insert unit"</formula>
    </cfRule>
    <cfRule type="cellIs" dxfId="2168" priority="221" operator="equal">
      <formula>"Must insert actual data for fertiliser application"</formula>
    </cfRule>
    <cfRule type="cellIs" dxfId="2167" priority="223" operator="equal">
      <formula>"Insert data"</formula>
    </cfRule>
  </conditionalFormatting>
  <conditionalFormatting sqref="E217">
    <cfRule type="expression" dxfId="2166" priority="315">
      <formula>C217="Default"</formula>
    </cfRule>
    <cfRule type="expression" dxfId="2165" priority="520">
      <formula>C217="Actual"</formula>
    </cfRule>
    <cfRule type="expression" dxfId="2164" priority="521">
      <formula>C217="Default"</formula>
    </cfRule>
    <cfRule type="expression" dxfId="2163" priority="314">
      <formula>C217="Actual"</formula>
    </cfRule>
    <cfRule type="expression" dxfId="2162" priority="438">
      <formula>C217="Default"</formula>
    </cfRule>
    <cfRule type="expression" dxfId="2161" priority="652">
      <formula>C217="Actual"</formula>
    </cfRule>
    <cfRule type="expression" dxfId="2160" priority="653">
      <formula>C217="Default"</formula>
    </cfRule>
    <cfRule type="expression" dxfId="2159" priority="437">
      <formula>C217="Actual"</formula>
    </cfRule>
  </conditionalFormatting>
  <conditionalFormatting sqref="E229:E233">
    <cfRule type="cellIs" dxfId="2158" priority="218" operator="equal">
      <formula>"Must insert actual data for fertiliser application"</formula>
    </cfRule>
    <cfRule type="cellIs" dxfId="2157" priority="220" operator="equal">
      <formula>"Insert data"</formula>
    </cfRule>
    <cfRule type="cellIs" dxfId="2156" priority="219" operator="equal">
      <formula>"Insert unit"</formula>
    </cfRule>
  </conditionalFormatting>
  <conditionalFormatting sqref="E317">
    <cfRule type="expression" dxfId="2155" priority="643">
      <formula>C317="Default"</formula>
    </cfRule>
    <cfRule type="expression" dxfId="2154" priority="309">
      <formula>C317="Default"</formula>
    </cfRule>
    <cfRule type="expression" dxfId="2153" priority="642">
      <formula>C317="Actual"</formula>
    </cfRule>
    <cfRule type="expression" dxfId="2152" priority="431">
      <formula>C317="Actual"</formula>
    </cfRule>
    <cfRule type="expression" dxfId="2151" priority="432">
      <formula>C317="Default"</formula>
    </cfRule>
    <cfRule type="expression" dxfId="2150" priority="308">
      <formula>C317="Actual"</formula>
    </cfRule>
    <cfRule type="expression" dxfId="2149" priority="515">
      <formula>C317="Default"</formula>
    </cfRule>
    <cfRule type="expression" dxfId="2148" priority="514">
      <formula>C317="Actual"</formula>
    </cfRule>
  </conditionalFormatting>
  <conditionalFormatting sqref="E329:E333">
    <cfRule type="cellIs" dxfId="2147" priority="217" operator="equal">
      <formula>"Insert data"</formula>
    </cfRule>
    <cfRule type="cellIs" dxfId="2146" priority="216" operator="equal">
      <formula>"Insert unit"</formula>
    </cfRule>
    <cfRule type="cellIs" dxfId="2145" priority="215" operator="equal">
      <formula>"Must insert actual data for fertiliser application"</formula>
    </cfRule>
  </conditionalFormatting>
  <conditionalFormatting sqref="E417">
    <cfRule type="expression" dxfId="2144" priority="509">
      <formula>C417="Default"</formula>
    </cfRule>
    <cfRule type="expression" dxfId="2143" priority="508">
      <formula>C417="Actual"</formula>
    </cfRule>
    <cfRule type="expression" dxfId="2142" priority="425">
      <formula>C417="Actual"</formula>
    </cfRule>
    <cfRule type="expression" dxfId="2141" priority="303">
      <formula>C417="Default"</formula>
    </cfRule>
    <cfRule type="expression" dxfId="2140" priority="632">
      <formula>C417="Actual"</formula>
    </cfRule>
    <cfRule type="expression" dxfId="2139" priority="633">
      <formula>C417="Default"</formula>
    </cfRule>
    <cfRule type="expression" dxfId="2138" priority="426">
      <formula>C417="Default"</formula>
    </cfRule>
    <cfRule type="expression" dxfId="2137" priority="302">
      <formula>C417="Actual"</formula>
    </cfRule>
  </conditionalFormatting>
  <conditionalFormatting sqref="E429:E433">
    <cfRule type="cellIs" dxfId="2136" priority="214" operator="equal">
      <formula>"Insert data"</formula>
    </cfRule>
    <cfRule type="cellIs" dxfId="2135" priority="213" operator="equal">
      <formula>"Insert unit"</formula>
    </cfRule>
    <cfRule type="cellIs" dxfId="2134" priority="212" operator="equal">
      <formula>"Must insert actual data for fertiliser application"</formula>
    </cfRule>
  </conditionalFormatting>
  <conditionalFormatting sqref="E517">
    <cfRule type="expression" dxfId="2133" priority="420">
      <formula>C517="Default"</formula>
    </cfRule>
    <cfRule type="expression" dxfId="2132" priority="419">
      <formula>C517="Actual"</formula>
    </cfRule>
    <cfRule type="expression" dxfId="2131" priority="623">
      <formula>C517="Default"</formula>
    </cfRule>
    <cfRule type="expression" dxfId="2130" priority="503">
      <formula>C517="Default"</formula>
    </cfRule>
    <cfRule type="expression" dxfId="2129" priority="297">
      <formula>C517="Default"</formula>
    </cfRule>
    <cfRule type="expression" dxfId="2128" priority="296">
      <formula>C517="Actual"</formula>
    </cfRule>
    <cfRule type="expression" dxfId="2127" priority="502">
      <formula>C517="Actual"</formula>
    </cfRule>
    <cfRule type="expression" dxfId="2126" priority="622">
      <formula>C517="Actual"</formula>
    </cfRule>
  </conditionalFormatting>
  <conditionalFormatting sqref="E529:E533">
    <cfRule type="cellIs" dxfId="2125" priority="210" operator="equal">
      <formula>"Insert unit"</formula>
    </cfRule>
    <cfRule type="cellIs" dxfId="2124" priority="209" operator="equal">
      <formula>"Must insert actual data for fertiliser application"</formula>
    </cfRule>
    <cfRule type="cellIs" dxfId="2123" priority="211" operator="equal">
      <formula>"Insert data"</formula>
    </cfRule>
  </conditionalFormatting>
  <conditionalFormatting sqref="E617">
    <cfRule type="expression" dxfId="2122" priority="612">
      <formula>C617="Actual"</formula>
    </cfRule>
    <cfRule type="expression" dxfId="2121" priority="613">
      <formula>C617="Default"</formula>
    </cfRule>
    <cfRule type="expression" dxfId="2120" priority="413">
      <formula>C617="Actual"</formula>
    </cfRule>
    <cfRule type="expression" dxfId="2119" priority="291">
      <formula>C617="Default"</formula>
    </cfRule>
    <cfRule type="expression" dxfId="2118" priority="290">
      <formula>C617="Actual"</formula>
    </cfRule>
    <cfRule type="expression" dxfId="2117" priority="496">
      <formula>C617="Actual"</formula>
    </cfRule>
    <cfRule type="expression" dxfId="2116" priority="414">
      <formula>C617="Default"</formula>
    </cfRule>
    <cfRule type="expression" dxfId="2115" priority="497">
      <formula>C617="Default"</formula>
    </cfRule>
  </conditionalFormatting>
  <conditionalFormatting sqref="E629:E633">
    <cfRule type="cellIs" dxfId="2114" priority="206" operator="equal">
      <formula>"Must insert actual data for fertiliser application"</formula>
    </cfRule>
    <cfRule type="cellIs" dxfId="2113" priority="208" operator="equal">
      <formula>"Insert data"</formula>
    </cfRule>
    <cfRule type="cellIs" dxfId="2112" priority="207" operator="equal">
      <formula>"Insert unit"</formula>
    </cfRule>
  </conditionalFormatting>
  <conditionalFormatting sqref="E717">
    <cfRule type="expression" dxfId="2111" priority="284">
      <formula>C717="Actual"</formula>
    </cfRule>
    <cfRule type="expression" dxfId="2110" priority="285">
      <formula>C717="Default"</formula>
    </cfRule>
    <cfRule type="expression" dxfId="2109" priority="490">
      <formula>C717="Actual"</formula>
    </cfRule>
    <cfRule type="expression" dxfId="2108" priority="491">
      <formula>C717="Default"</formula>
    </cfRule>
    <cfRule type="expression" dxfId="2107" priority="407">
      <formula>C717="Actual"</formula>
    </cfRule>
    <cfRule type="expression" dxfId="2106" priority="408">
      <formula>C717="Default"</formula>
    </cfRule>
    <cfRule type="expression" dxfId="2105" priority="602">
      <formula>C717="Actual"</formula>
    </cfRule>
    <cfRule type="expression" dxfId="2104" priority="603">
      <formula>C717="Default"</formula>
    </cfRule>
  </conditionalFormatting>
  <conditionalFormatting sqref="E729:E733">
    <cfRule type="cellIs" dxfId="2103" priority="205" operator="equal">
      <formula>"Insert data"</formula>
    </cfRule>
    <cfRule type="cellIs" dxfId="2102" priority="204" operator="equal">
      <formula>"Insert unit"</formula>
    </cfRule>
    <cfRule type="cellIs" dxfId="2101" priority="203" operator="equal">
      <formula>"Must insert actual data for fertiliser application"</formula>
    </cfRule>
  </conditionalFormatting>
  <conditionalFormatting sqref="E817">
    <cfRule type="expression" dxfId="2100" priority="356">
      <formula>C817="Actual"</formula>
    </cfRule>
    <cfRule type="expression" dxfId="2099" priority="351">
      <formula>C817="Default"</formula>
    </cfRule>
    <cfRule type="expression" dxfId="2098" priority="350">
      <formula>C817="Actual"</formula>
    </cfRule>
    <cfRule type="expression" dxfId="2097" priority="279">
      <formula>C817="Default"</formula>
    </cfRule>
    <cfRule type="expression" dxfId="2096" priority="485">
      <formula>C817="Default"</formula>
    </cfRule>
    <cfRule type="expression" dxfId="2095" priority="484">
      <formula>C817="Actual"</formula>
    </cfRule>
    <cfRule type="expression" dxfId="2094" priority="278">
      <formula>C817="Actual"</formula>
    </cfRule>
    <cfRule type="expression" dxfId="2093" priority="375">
      <formula>C817="Default"</formula>
    </cfRule>
    <cfRule type="expression" dxfId="2092" priority="345">
      <formula>C817="Default"</formula>
    </cfRule>
    <cfRule type="expression" dxfId="2091" priority="344">
      <formula>C817="Actual"</formula>
    </cfRule>
    <cfRule type="expression" dxfId="2090" priority="402">
      <formula>C817="Default"</formula>
    </cfRule>
    <cfRule type="expression" dxfId="2089" priority="401">
      <formula>C817="Actual"</formula>
    </cfRule>
    <cfRule type="expression" dxfId="2088" priority="362">
      <formula>C817="Actual"</formula>
    </cfRule>
    <cfRule type="expression" dxfId="2087" priority="592">
      <formula>C817="Actual"</formula>
    </cfRule>
    <cfRule type="expression" dxfId="2086" priority="374">
      <formula>C817="Actual"</formula>
    </cfRule>
    <cfRule type="expression" dxfId="2085" priority="369">
      <formula>C817="Default"</formula>
    </cfRule>
    <cfRule type="expression" dxfId="2084" priority="593">
      <formula>C817="Default"</formula>
    </cfRule>
    <cfRule type="expression" dxfId="2083" priority="357">
      <formula>C817="Default"</formula>
    </cfRule>
    <cfRule type="expression" dxfId="2082" priority="363">
      <formula>C817="Default"</formula>
    </cfRule>
    <cfRule type="expression" dxfId="2081" priority="368">
      <formula>C817="Actual"</formula>
    </cfRule>
  </conditionalFormatting>
  <conditionalFormatting sqref="E829:E833">
    <cfRule type="cellIs" dxfId="2080" priority="200" operator="equal">
      <formula>"Must insert actual data for fertiliser application"</formula>
    </cfRule>
    <cfRule type="cellIs" dxfId="2079" priority="201" operator="equal">
      <formula>"Insert unit"</formula>
    </cfRule>
    <cfRule type="cellIs" dxfId="2078" priority="202" operator="equal">
      <formula>"Insert data"</formula>
    </cfRule>
  </conditionalFormatting>
  <conditionalFormatting sqref="E917">
    <cfRule type="expression" dxfId="2077" priority="270">
      <formula>C917="Actual"</formula>
    </cfRule>
    <cfRule type="expression" dxfId="2076" priority="271">
      <formula>C917="Default"</formula>
    </cfRule>
  </conditionalFormatting>
  <conditionalFormatting sqref="E929:E933">
    <cfRule type="cellIs" dxfId="2075" priority="198" operator="equal">
      <formula>"Insert unit"</formula>
    </cfRule>
    <cfRule type="cellIs" dxfId="2074" priority="197" operator="equal">
      <formula>"Must insert actual data for fertiliser application"</formula>
    </cfRule>
    <cfRule type="cellIs" dxfId="2073" priority="199" operator="equal">
      <formula>"Insert data"</formula>
    </cfRule>
  </conditionalFormatting>
  <dataValidations count="17">
    <dataValidation type="list" allowBlank="1" showInputMessage="1" showErrorMessage="1" sqref="C521:C523 C421:C423 C621:C623 C821:C823 C721:C723 C21:C23 C121:C123 C321:C323 C221:C223 C921:C923" xr:uid="{00000000-0002-0000-0300-000000000000}">
      <formula1>N_Fertilisers</formula1>
    </dataValidation>
    <dataValidation type="list" allowBlank="1" showInputMessage="1" showErrorMessage="1" sqref="C538:C540 C438:C440 C638:C640 C838:C840 C738:C740 C238:C240 C38:C40 C338:C340 C138:C140 C938:C940" xr:uid="{00000000-0002-0000-0300-000001000000}">
      <formula1>P_fertilisers</formula1>
    </dataValidation>
    <dataValidation type="list" allowBlank="1" showInputMessage="1" showErrorMessage="1" sqref="C545:C548 C445:C448 C645:C648 C45:C48 C745:C748 C145:C148 C845:C848 C345:C348 C245:C248 C945:C948" xr:uid="{00000000-0002-0000-0300-000002000000}">
      <formula1>K_fertilisers</formula1>
    </dataValidation>
    <dataValidation type="list" allowBlank="1" showInputMessage="1" showErrorMessage="1" sqref="C154:C157 C654:C657 C854:C857 C754:C757 C954:C957 C354:C357 C254:C257 C554:C557 C454:C457 C54:C57" xr:uid="{00000000-0002-0000-0300-000003000000}">
      <formula1>Other_fertilisers</formula1>
    </dataValidation>
    <dataValidation type="list" allowBlank="1" showInputMessage="1" showErrorMessage="1" sqref="E721:E726 E521:E526 E821:E826 E621:E626 E21:E26 E121:E126 E221:E226 E421:E426 E321:E326 E921:E926 E35 E135 E235 E335 E435 E535 E635 E735 E835 E935" xr:uid="{00000000-0002-0000-0300-000004000000}">
      <formula1>"kg(Nitrogen)/Ha,kg(fertiliser)/Ha"</formula1>
    </dataValidation>
    <dataValidation type="list" allowBlank="1" showInputMessage="1" showErrorMessage="1" sqref="F538:F543 F838:F843 F738:F743 F638:F643 F238:F243 F38:F43 F138:F143 F438:F443 F338:F343 F938:F943" xr:uid="{00000000-0002-0000-0300-000005000000}">
      <formula1>"kg(P2O5)/Ha,kg(fertiliser)/Ha"</formula1>
    </dataValidation>
    <dataValidation type="list" allowBlank="1" showInputMessage="1" showErrorMessage="1" sqref="F546:F551 F846:F851 F746:F751 F646:F651 F246:F251 F46:F51 F146:F151 F446:F451 F346:F351 F946:F951" xr:uid="{00000000-0002-0000-0300-000006000000}">
      <formula1>"kg(K2O)/Ha,kg(fertiliser)/Ha"</formula1>
    </dataValidation>
    <dataValidation type="list" allowBlank="1" showInputMessage="1" showErrorMessage="1" sqref="F754:F757 F154:F157 F954:F957 F854:F857 F254:F257 F354:F357 F454:F457 F654:F657 F554:F557 F54:F57" xr:uid="{00000000-0002-0000-0300-000007000000}">
      <formula1>"kg(nutrient)/Ha,kg(fertiliser)/Ha"</formula1>
    </dataValidation>
    <dataValidation type="list" allowBlank="1" showInputMessage="1" showErrorMessage="1" sqref="C17 C617 C817 C717 C117 C217 C317 C517 C417 C917" xr:uid="{00000000-0002-0000-0300-000008000000}">
      <formula1>"Default,Actual"</formula1>
    </dataValidation>
    <dataValidation type="list" allowBlank="1" showInputMessage="1" showErrorMessage="1" sqref="E866:E870 E566:E570 E766:E770 E666:E670 E66:E70 E166:E170 E266:E270 E466:E470 E366:E370 E966:E970" xr:uid="{00000000-0002-0000-0300-000009000000}">
      <formula1>"kg(active ingredient)/Ha,kg(pesticide)/Ha"</formula1>
    </dataValidation>
    <dataValidation type="list" allowBlank="1" showInputMessage="1" showErrorMessage="1" sqref="D774 D474 D674 D574 D874 D74 D174 D374 D274 D974" xr:uid="{00000000-0002-0000-0300-00000A000000}">
      <formula1>"kg/Ha"</formula1>
    </dataValidation>
    <dataValidation type="list" allowBlank="1" showInputMessage="1" showErrorMessage="1" sqref="C774 C474 C674 C574 C874 C74 C174 C374 C274 C974" xr:uid="{00000000-0002-0000-0300-00000B000000}">
      <formula1>Seeds</formula1>
    </dataValidation>
    <dataValidation type="list" allowBlank="1" showInputMessage="1" showErrorMessage="1" sqref="C880:C881 C580:C581 C780:C781 C680:C681 C80:C81 C180:C181 C280:C281 C480:C481 C380:C381 C980:C981" xr:uid="{00000000-0002-0000-0300-00000C000000}">
      <formula1>Fuels_for_EF</formula1>
    </dataValidation>
    <dataValidation type="list" allowBlank="1" showInputMessage="1" showErrorMessage="1" sqref="D880:D881 D580:D581 D780:D781 D680:D681 D80:D81 D180:D181 D280:D281 D480:D481 D380:D381 D980:D981" xr:uid="{00000000-0002-0000-0300-00000D000000}">
      <formula1>"litres/Ha,kg/Ha,tonnes/Ha"</formula1>
    </dataValidation>
    <dataValidation type="list" allowBlank="1" showInputMessage="1" showErrorMessage="1" sqref="C829:C831 C729:C731 C29:C31 C129:C131 C229:C231 C329:C331 C429:C431 C529:C531 C629:C631 C929:C931" xr:uid="{00000000-0002-0000-0300-00000F000000}">
      <formula1>Organic_fertilisers</formula1>
    </dataValidation>
    <dataValidation type="list" allowBlank="1" showInputMessage="1" showErrorMessage="1" sqref="D13 D113 D213 D313 D413 D513 D613 D713 D813 D913" xr:uid="{E2CC43F9-4690-4440-BE28-FBCC40E99CD8}">
      <formula1>Default_crops</formula1>
    </dataValidation>
    <dataValidation type="list" allowBlank="1" showInputMessage="1" showErrorMessage="1" sqref="E829:E833 E29:E33 E129:E133 E229:E233 E329:E333 E429:E433 E529:E533 E629:E633 E729:E733 E929:E933" xr:uid="{E705B87C-48BF-49A5-8A2A-F5C3911EFF6E}">
      <formula1>"t(fertiliser)/Ha"</formula1>
    </dataValidation>
  </dataValidations>
  <pageMargins left="0.7" right="0.7" top="0.75" bottom="0.75" header="0.3" footer="0.3"/>
  <pageSetup paperSize="9" orientation="portrait" verticalDpi="300" r:id="rId5"/>
  <headerFooter>
    <oddHeader>&amp;C&amp;"Calibri"&amp;10&amp;K000000 OFFICIAL&amp;1#_x000D_</oddHeader>
    <oddFooter>&amp;C_x000D_&amp;1#&amp;"Calibri"&amp;10&amp;K000000 OFFICIAL</oddFooter>
  </headerFooter>
  <ignoredErrors>
    <ignoredError sqref="K57" formula="1"/>
  </ignoredErrors>
  <drawing r:id="rId6"/>
  <legacyDrawing r:id="rId7"/>
  <mc:AlternateContent xmlns:mc="http://schemas.openxmlformats.org/markup-compatibility/2006">
    <mc:Choice Requires="x14">
      <controls>
        <mc:AlternateContent xmlns:mc="http://schemas.openxmlformats.org/markup-compatibility/2006">
          <mc:Choice Requires="x14">
            <control shapeId="3130" r:id="rId8" name="Button 58">
              <controlPr defaultSize="0" print="0" autoFill="0" autoPict="0" macro="[0]!Delete_CH_data_2">
                <anchor moveWithCells="1" sizeWithCells="1">
                  <from>
                    <xdr:col>4</xdr:col>
                    <xdr:colOff>312420</xdr:colOff>
                    <xdr:row>108</xdr:row>
                    <xdr:rowOff>0</xdr:rowOff>
                  </from>
                  <to>
                    <xdr:col>6</xdr:col>
                    <xdr:colOff>0</xdr:colOff>
                    <xdr:row>108</xdr:row>
                    <xdr:rowOff>0</xdr:rowOff>
                  </to>
                </anchor>
              </controlPr>
            </control>
          </mc:Choice>
        </mc:AlternateContent>
        <mc:AlternateContent xmlns:mc="http://schemas.openxmlformats.org/markup-compatibility/2006">
          <mc:Choice Requires="x14">
            <control shapeId="3131" r:id="rId9" name="Button 59">
              <controlPr defaultSize="0" print="0" autoFill="0" autoPict="0" macro="[0]!Delete_CH_data_3">
                <anchor moveWithCells="1" sizeWithCells="1">
                  <from>
                    <xdr:col>4</xdr:col>
                    <xdr:colOff>312420</xdr:colOff>
                    <xdr:row>208</xdr:row>
                    <xdr:rowOff>0</xdr:rowOff>
                  </from>
                  <to>
                    <xdr:col>6</xdr:col>
                    <xdr:colOff>0</xdr:colOff>
                    <xdr:row>208</xdr:row>
                    <xdr:rowOff>0</xdr:rowOff>
                  </to>
                </anchor>
              </controlPr>
            </control>
          </mc:Choice>
        </mc:AlternateContent>
        <mc:AlternateContent xmlns:mc="http://schemas.openxmlformats.org/markup-compatibility/2006">
          <mc:Choice Requires="x14">
            <control shapeId="3132" r:id="rId10" name="Button 60">
              <controlPr defaultSize="0" print="0" autoFill="0" autoPict="0" macro="[0]!Delete_CH_data_4">
                <anchor moveWithCells="1" sizeWithCells="1">
                  <from>
                    <xdr:col>4</xdr:col>
                    <xdr:colOff>327660</xdr:colOff>
                    <xdr:row>308</xdr:row>
                    <xdr:rowOff>0</xdr:rowOff>
                  </from>
                  <to>
                    <xdr:col>6</xdr:col>
                    <xdr:colOff>7620</xdr:colOff>
                    <xdr:row>308</xdr:row>
                    <xdr:rowOff>0</xdr:rowOff>
                  </to>
                </anchor>
              </controlPr>
            </control>
          </mc:Choice>
        </mc:AlternateContent>
        <mc:AlternateContent xmlns:mc="http://schemas.openxmlformats.org/markup-compatibility/2006">
          <mc:Choice Requires="x14">
            <control shapeId="3133" r:id="rId11" name="Button 61">
              <controlPr defaultSize="0" print="0" autoFill="0" autoPict="0" macro="[0]!Delete_CH_data_5">
                <anchor moveWithCells="1" sizeWithCells="1">
                  <from>
                    <xdr:col>4</xdr:col>
                    <xdr:colOff>327660</xdr:colOff>
                    <xdr:row>408</xdr:row>
                    <xdr:rowOff>0</xdr:rowOff>
                  </from>
                  <to>
                    <xdr:col>6</xdr:col>
                    <xdr:colOff>7620</xdr:colOff>
                    <xdr:row>408</xdr:row>
                    <xdr:rowOff>0</xdr:rowOff>
                  </to>
                </anchor>
              </controlPr>
            </control>
          </mc:Choice>
        </mc:AlternateContent>
        <mc:AlternateContent xmlns:mc="http://schemas.openxmlformats.org/markup-compatibility/2006">
          <mc:Choice Requires="x14">
            <control shapeId="3134" r:id="rId12" name="Button 62">
              <controlPr defaultSize="0" print="0" autoFill="0" autoPict="0" macro="[0]!Delete_CH_data_6">
                <anchor moveWithCells="1" sizeWithCells="1">
                  <from>
                    <xdr:col>4</xdr:col>
                    <xdr:colOff>312420</xdr:colOff>
                    <xdr:row>508</xdr:row>
                    <xdr:rowOff>0</xdr:rowOff>
                  </from>
                  <to>
                    <xdr:col>6</xdr:col>
                    <xdr:colOff>0</xdr:colOff>
                    <xdr:row>508</xdr:row>
                    <xdr:rowOff>0</xdr:rowOff>
                  </to>
                </anchor>
              </controlPr>
            </control>
          </mc:Choice>
        </mc:AlternateContent>
        <mc:AlternateContent xmlns:mc="http://schemas.openxmlformats.org/markup-compatibility/2006">
          <mc:Choice Requires="x14">
            <control shapeId="3135" r:id="rId13" name="Button 63">
              <controlPr defaultSize="0" print="0" autoFill="0" autoPict="0" macro="[0]!Delete_CH_data_7">
                <anchor moveWithCells="1" sizeWithCells="1">
                  <from>
                    <xdr:col>4</xdr:col>
                    <xdr:colOff>312420</xdr:colOff>
                    <xdr:row>608</xdr:row>
                    <xdr:rowOff>0</xdr:rowOff>
                  </from>
                  <to>
                    <xdr:col>6</xdr:col>
                    <xdr:colOff>0</xdr:colOff>
                    <xdr:row>608</xdr:row>
                    <xdr:rowOff>0</xdr:rowOff>
                  </to>
                </anchor>
              </controlPr>
            </control>
          </mc:Choice>
        </mc:AlternateContent>
        <mc:AlternateContent xmlns:mc="http://schemas.openxmlformats.org/markup-compatibility/2006">
          <mc:Choice Requires="x14">
            <control shapeId="3136" r:id="rId14" name="Button 64">
              <controlPr defaultSize="0" print="0" autoFill="0" autoPict="0" macro="[0]!Delete_CH_data_8">
                <anchor moveWithCells="1" sizeWithCells="1">
                  <from>
                    <xdr:col>4</xdr:col>
                    <xdr:colOff>312420</xdr:colOff>
                    <xdr:row>708</xdr:row>
                    <xdr:rowOff>0</xdr:rowOff>
                  </from>
                  <to>
                    <xdr:col>6</xdr:col>
                    <xdr:colOff>0</xdr:colOff>
                    <xdr:row>708</xdr:row>
                    <xdr:rowOff>0</xdr:rowOff>
                  </to>
                </anchor>
              </controlPr>
            </control>
          </mc:Choice>
        </mc:AlternateContent>
        <mc:AlternateContent xmlns:mc="http://schemas.openxmlformats.org/markup-compatibility/2006">
          <mc:Choice Requires="x14">
            <control shapeId="3137" r:id="rId15" name="Button 65">
              <controlPr defaultSize="0" print="0" autoFill="0" autoPict="0" macro="[0]!Delete_CH_data_9">
                <anchor moveWithCells="1" sizeWithCells="1">
                  <from>
                    <xdr:col>4</xdr:col>
                    <xdr:colOff>312420</xdr:colOff>
                    <xdr:row>808</xdr:row>
                    <xdr:rowOff>0</xdr:rowOff>
                  </from>
                  <to>
                    <xdr:col>6</xdr:col>
                    <xdr:colOff>0</xdr:colOff>
                    <xdr:row>808</xdr:row>
                    <xdr:rowOff>0</xdr:rowOff>
                  </to>
                </anchor>
              </controlPr>
            </control>
          </mc:Choice>
        </mc:AlternateContent>
        <mc:AlternateContent xmlns:mc="http://schemas.openxmlformats.org/markup-compatibility/2006">
          <mc:Choice Requires="x14">
            <control shapeId="3138" r:id="rId16" name="Button 66">
              <controlPr defaultSize="0" print="0" autoFill="0" autoPict="0" macro="[0]!Delete_CH_data_10">
                <anchor moveWithCells="1" sizeWithCells="1">
                  <from>
                    <xdr:col>4</xdr:col>
                    <xdr:colOff>312420</xdr:colOff>
                    <xdr:row>908</xdr:row>
                    <xdr:rowOff>0</xdr:rowOff>
                  </from>
                  <to>
                    <xdr:col>6</xdr:col>
                    <xdr:colOff>0</xdr:colOff>
                    <xdr:row>908</xdr:row>
                    <xdr:rowOff>0</xdr:rowOff>
                  </to>
                </anchor>
              </controlPr>
            </control>
          </mc:Choice>
        </mc:AlternateContent>
      </controls>
    </mc:Choice>
  </mc:AlternateContent>
  <tableParts count="10">
    <tablePart r:id="rId17"/>
    <tablePart r:id="rId18"/>
    <tablePart r:id="rId19"/>
    <tablePart r:id="rId20"/>
    <tablePart r:id="rId21"/>
    <tablePart r:id="rId22"/>
    <tablePart r:id="rId23"/>
    <tablePart r:id="rId24"/>
    <tablePart r:id="rId25"/>
    <tablePart r:id="rId26"/>
  </tableParts>
  <extLst>
    <ext xmlns:x14="http://schemas.microsoft.com/office/spreadsheetml/2009/9/main" uri="{CCE6A557-97BC-4b89-ADB6-D9C93CAAB3DF}">
      <x14:dataValidations xmlns:xm="http://schemas.microsoft.com/office/excel/2006/main" count="1">
        <x14:dataValidation type="list" allowBlank="1" showInputMessage="1" showErrorMessage="1" xr:uid="{733352BC-466E-4726-B8EF-580CD180F9A6}">
          <x14:formula1>
            <xm:f>'Reference values'!$C$342</xm:f>
          </x14:formula1>
          <xm:sqref>C35 C135 C235 C335 C435 C535 C635 C735 C835 C935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M488"/>
  <sheetViews>
    <sheetView zoomScale="85" zoomScaleNormal="85" workbookViewId="0">
      <selection activeCell="D13" sqref="D13"/>
    </sheetView>
  </sheetViews>
  <sheetFormatPr defaultColWidth="9.109375" defaultRowHeight="16.8" outlineLevelRow="1" x14ac:dyDescent="0.4"/>
  <cols>
    <col min="1" max="1" width="3.5546875" style="158" customWidth="1"/>
    <col min="2" max="2" width="2.6640625" style="158" customWidth="1"/>
    <col min="3" max="3" width="32.44140625" style="158" customWidth="1"/>
    <col min="4" max="4" width="30" style="158" customWidth="1"/>
    <col min="5" max="5" width="22.44140625" style="158" customWidth="1"/>
    <col min="6" max="6" width="22" style="158" customWidth="1"/>
    <col min="7" max="7" width="5.6640625" style="158" customWidth="1"/>
    <col min="8" max="8" width="2.6640625" style="158" customWidth="1"/>
    <col min="9" max="9" width="21.6640625" style="158" customWidth="1"/>
    <col min="10" max="10" width="20.44140625" style="158" customWidth="1"/>
    <col min="11" max="11" width="2.5546875" style="158" customWidth="1"/>
    <col min="12" max="12" width="2.6640625" style="158" customWidth="1"/>
    <col min="13" max="16384" width="9.109375" style="158"/>
  </cols>
  <sheetData>
    <row r="1" spans="2:13" ht="24.75" customHeight="1" x14ac:dyDescent="0.4"/>
    <row r="2" spans="2:13" ht="24.75" customHeight="1" x14ac:dyDescent="0.4"/>
    <row r="3" spans="2:13" ht="24.75" customHeight="1" x14ac:dyDescent="0.4"/>
    <row r="4" spans="2:13" s="194" customFormat="1" ht="24.75" customHeight="1" x14ac:dyDescent="0.4"/>
    <row r="5" spans="2:13" s="4" customFormat="1" x14ac:dyDescent="0.4"/>
    <row r="6" spans="2:13" s="4" customFormat="1" ht="34.5" customHeight="1" x14ac:dyDescent="0.4">
      <c r="B6" s="728" t="s">
        <v>162</v>
      </c>
      <c r="C6" s="728"/>
      <c r="D6" s="728"/>
      <c r="E6" s="728"/>
      <c r="F6" s="728"/>
      <c r="G6" s="728"/>
      <c r="H6" s="728"/>
      <c r="I6" s="728"/>
      <c r="J6" s="728"/>
      <c r="K6" s="728"/>
      <c r="L6" s="728"/>
    </row>
    <row r="7" spans="2:13" s="4" customFormat="1" x14ac:dyDescent="0.4"/>
    <row r="8" spans="2:13" s="4" customFormat="1" ht="19.2" x14ac:dyDescent="0.45">
      <c r="B8" s="754" t="str">
        <f>"Transport to Processing"&amp;" - "&amp;Feedstocks!C11</f>
        <v xml:space="preserve">Transport to Processing - </v>
      </c>
      <c r="C8" s="755"/>
      <c r="D8" s="755"/>
      <c r="E8" s="755"/>
      <c r="F8" s="755"/>
      <c r="G8" s="755"/>
      <c r="H8" s="755"/>
      <c r="I8" s="755"/>
      <c r="J8" s="755"/>
      <c r="K8" s="755"/>
      <c r="L8" s="756"/>
    </row>
    <row r="9" spans="2:13" s="4" customFormat="1" outlineLevel="1" x14ac:dyDescent="0.4">
      <c r="B9" s="17"/>
      <c r="C9" s="19"/>
      <c r="D9" s="19"/>
      <c r="E9" s="19"/>
      <c r="F9" s="19"/>
      <c r="G9" s="19"/>
      <c r="H9" s="19"/>
      <c r="I9" s="19"/>
      <c r="J9" s="19"/>
      <c r="K9" s="19"/>
      <c r="L9" s="50"/>
    </row>
    <row r="10" spans="2:13" s="4" customFormat="1" outlineLevel="1" x14ac:dyDescent="0.4">
      <c r="B10" s="20"/>
      <c r="C10" s="1"/>
      <c r="D10" s="760"/>
      <c r="E10" s="761"/>
      <c r="F10" s="762"/>
      <c r="G10" s="54"/>
      <c r="H10" s="303" t="s">
        <v>122</v>
      </c>
      <c r="I10" s="47"/>
      <c r="J10" s="47"/>
      <c r="K10" s="61"/>
      <c r="L10" s="35"/>
    </row>
    <row r="11" spans="2:13" s="4" customFormat="1" outlineLevel="1" x14ac:dyDescent="0.4">
      <c r="B11" s="20"/>
      <c r="C11" s="175" t="s">
        <v>123</v>
      </c>
      <c r="D11" s="753" t="str">
        <f>IF(Feedstocks!$H$11&gt;0,Feedstocks!$H$11,"")</f>
        <v/>
      </c>
      <c r="E11" s="753"/>
      <c r="F11" s="753"/>
      <c r="G11" s="76"/>
      <c r="H11" s="43"/>
      <c r="I11" s="36"/>
      <c r="J11" s="164" t="s">
        <v>124</v>
      </c>
      <c r="K11" s="44"/>
      <c r="L11" s="35"/>
    </row>
    <row r="12" spans="2:13" s="12" customFormat="1" ht="15" outlineLevel="1" x14ac:dyDescent="0.35">
      <c r="B12" s="20"/>
      <c r="C12" s="1"/>
      <c r="D12" s="1"/>
      <c r="E12" s="1"/>
      <c r="F12" s="1"/>
      <c r="G12" s="1"/>
      <c r="H12" s="43"/>
      <c r="I12" s="164" t="s">
        <v>125</v>
      </c>
      <c r="J12" s="52" t="str">
        <f>IFERROR(IF('Feedstock conversion'!E13="Yes",(J15/(IF(Feedstocks!I11="default",Feedstocks!J11,IF(Feedstocks!I11="actual",Feedstocks!K11,"Insert data (plant inputs)"))/Feedstocks!E11*'Transport 2'!F19*('Digestion &amp; outputs'!$G$16/1000)))*IF('Feedstock conversion'!E42="Yes",'Feedstock conversion'!J45,1)*'Digestion &amp; outputs'!$K$23,IF('Feedstock conversion'!E13="No",(J15/(IF(Feedstocks!I11="default",Feedstocks!J11,IF(Feedstocks!I11="actual",Feedstocks!K11,"Insert data (plant inputs)"))/Feedstocks!E11*'Transport 2'!F19*('Digestion &amp; outputs'!$G$16/1000)))*'Digestion &amp; outputs'!$K$23,"")),"")</f>
        <v/>
      </c>
      <c r="K12" s="44"/>
      <c r="L12" s="54"/>
    </row>
    <row r="13" spans="2:13" s="4" customFormat="1" outlineLevel="1" x14ac:dyDescent="0.4">
      <c r="B13" s="20"/>
      <c r="C13" s="164" t="s">
        <v>163</v>
      </c>
      <c r="D13" s="134" t="s">
        <v>164</v>
      </c>
      <c r="E13" s="1"/>
      <c r="F13" s="1"/>
      <c r="G13" s="1"/>
      <c r="H13" s="41"/>
      <c r="I13" s="34"/>
      <c r="J13" s="34"/>
      <c r="K13" s="37"/>
      <c r="L13" s="35"/>
    </row>
    <row r="14" spans="2:13" s="4" customFormat="1" outlineLevel="1" x14ac:dyDescent="0.4">
      <c r="B14" s="20"/>
      <c r="C14" s="164" t="s">
        <v>165</v>
      </c>
      <c r="D14" s="143"/>
      <c r="E14" s="1"/>
      <c r="F14" s="1"/>
      <c r="G14" s="1"/>
      <c r="H14" s="41"/>
      <c r="I14" s="36"/>
      <c r="J14" s="164" t="s">
        <v>141</v>
      </c>
      <c r="K14" s="37"/>
      <c r="L14" s="35"/>
    </row>
    <row r="15" spans="2:13" s="4" customFormat="1" outlineLevel="1" x14ac:dyDescent="0.4">
      <c r="B15" s="20"/>
      <c r="C15" s="164" t="s">
        <v>160</v>
      </c>
      <c r="D15" s="134" t="s">
        <v>166</v>
      </c>
      <c r="E15" s="1"/>
      <c r="F15" s="1"/>
      <c r="G15" s="1"/>
      <c r="H15" s="42"/>
      <c r="I15" s="164" t="s">
        <v>167</v>
      </c>
      <c r="J15" s="52">
        <f>IFERROR(J20,"Insert data")</f>
        <v>0</v>
      </c>
      <c r="K15" s="62"/>
      <c r="L15" s="35"/>
    </row>
    <row r="16" spans="2:13" s="4" customFormat="1" outlineLevel="1" x14ac:dyDescent="0.4">
      <c r="B16" s="20"/>
      <c r="C16" s="21"/>
      <c r="D16" s="21"/>
      <c r="E16" s="21"/>
      <c r="F16" s="21"/>
      <c r="G16" s="21"/>
      <c r="H16" s="46"/>
      <c r="I16" s="58"/>
      <c r="J16" s="58"/>
      <c r="K16" s="59"/>
      <c r="L16" s="35"/>
      <c r="M16" s="14"/>
    </row>
    <row r="17" spans="2:12" s="4" customFormat="1" outlineLevel="1" x14ac:dyDescent="0.4">
      <c r="B17" s="20"/>
      <c r="C17" s="25" t="s">
        <v>168</v>
      </c>
      <c r="D17" s="21"/>
      <c r="E17" s="21"/>
      <c r="F17" s="21"/>
      <c r="G17" s="21"/>
      <c r="H17" s="21"/>
      <c r="I17" s="21"/>
      <c r="J17" s="21"/>
      <c r="K17" s="21"/>
      <c r="L17" s="35"/>
    </row>
    <row r="18" spans="2:12" s="14" customFormat="1" ht="30.6" outlineLevel="1" x14ac:dyDescent="0.4">
      <c r="B18" s="23"/>
      <c r="C18" s="166" t="s">
        <v>131</v>
      </c>
      <c r="D18" s="166" t="s">
        <v>169</v>
      </c>
      <c r="E18" s="166" t="s">
        <v>170</v>
      </c>
      <c r="F18" s="166" t="s">
        <v>171</v>
      </c>
      <c r="G18" s="24"/>
      <c r="H18" s="303" t="s">
        <v>136</v>
      </c>
      <c r="I18" s="47"/>
      <c r="J18" s="47"/>
      <c r="K18" s="45"/>
      <c r="L18" s="63"/>
    </row>
    <row r="19" spans="2:12" s="4" customFormat="1" outlineLevel="1" x14ac:dyDescent="0.4">
      <c r="B19" s="20"/>
      <c r="C19" s="138" t="s">
        <v>96</v>
      </c>
      <c r="D19" s="93">
        <v>1</v>
      </c>
      <c r="E19" s="135"/>
      <c r="F19" s="31">
        <f>IFERROR(IF(OR(C19="Default",D13="No transport required"),D19,IF(ISBLANK(E19),"Insert data",E19)),"")</f>
        <v>1</v>
      </c>
      <c r="G19" s="21"/>
      <c r="H19" s="41"/>
      <c r="I19" s="36"/>
      <c r="J19" s="164" t="s">
        <v>141</v>
      </c>
      <c r="K19" s="37"/>
      <c r="L19" s="35"/>
    </row>
    <row r="20" spans="2:12" s="4" customFormat="1" outlineLevel="1" x14ac:dyDescent="0.4">
      <c r="B20" s="20"/>
      <c r="C20" s="21"/>
      <c r="D20" s="21"/>
      <c r="E20" s="692" t="str">
        <f>IF(E19&gt;1, "value should not be above 1", "")</f>
        <v/>
      </c>
      <c r="F20" s="21"/>
      <c r="G20" s="21"/>
      <c r="H20" s="42"/>
      <c r="I20" s="164" t="s">
        <v>172</v>
      </c>
      <c r="J20" s="52">
        <f>IF(D13="No transport required",0,IFERROR(E23*INDEX(Fuel_EFs,MATCH(D15,Fuels_for_EF,0))*D14/1000,"Insert data"))</f>
        <v>0</v>
      </c>
      <c r="K20" s="62"/>
      <c r="L20" s="35"/>
    </row>
    <row r="21" spans="2:12" s="4" customFormat="1" outlineLevel="1" x14ac:dyDescent="0.4">
      <c r="B21" s="20"/>
      <c r="C21" s="25" t="s">
        <v>173</v>
      </c>
      <c r="D21" s="21"/>
      <c r="E21" s="21"/>
      <c r="F21" s="21"/>
      <c r="G21" s="21"/>
      <c r="H21" s="46"/>
      <c r="I21" s="58"/>
      <c r="J21" s="58"/>
      <c r="K21" s="59"/>
      <c r="L21" s="35"/>
    </row>
    <row r="22" spans="2:12" s="14" customFormat="1" outlineLevel="1" x14ac:dyDescent="0.4">
      <c r="B22" s="23"/>
      <c r="C22" s="176" t="s">
        <v>174</v>
      </c>
      <c r="D22" s="166" t="s">
        <v>175</v>
      </c>
      <c r="E22" s="166" t="s">
        <v>176</v>
      </c>
      <c r="F22" s="24"/>
      <c r="G22" s="24"/>
      <c r="H22" s="4"/>
      <c r="I22" s="4"/>
      <c r="J22" s="4"/>
      <c r="K22" s="4"/>
      <c r="L22" s="63"/>
    </row>
    <row r="23" spans="2:12" s="4" customFormat="1" outlineLevel="1" x14ac:dyDescent="0.4">
      <c r="B23" s="20"/>
      <c r="C23" s="138" t="s">
        <v>96</v>
      </c>
      <c r="D23" s="93">
        <f>INDEX(Transport_Fuel_Efficiencies,MATCH(D13,Transport_Modes,0))</f>
        <v>0</v>
      </c>
      <c r="E23" s="31">
        <f>IFERROR(IF(C23="Default",D23,IF(OR(ISBLANK(E25),ISBLANK(D29),ISBLANK(D33)),"Insert data",(IF(C29="litres",(D29*(INDEX(Fuel_Densities,MATCH(D15,Fuels_for_Densities,0))/1000)*INDEX(Fuel_LHV,MATCH(D15,Fuels_for_LHV,0)))/(D33*D14),(IF(C29="m3",(D29*(INDEX(Fuel_Densities,MATCH(D15,Fuels_for_Densities,0)))*INDEX(Fuel_LHV,MATCH(D15,Fuels_for_LHV,0)))/(D33*D14),IF(C29="kg",(D29*INDEX(Fuel_LHV,MATCH(D15,Fuels_for_LHV,0)))/(D33*D14),IF(C29="tonnes",(D29*INDEX(Fuel_LHV,MATCH(D15,Fuels_for_LHV,0))*1000)/(D33*D14),IF(C29="MWh",(D29*'Reference values'!$D$47)/(D33*D14),IF(C29="kWh",(D29*'Reference values'!$D$47/1000)/(D33*D14),"Insert unit")))))))))),"")</f>
        <v>0</v>
      </c>
      <c r="F23" s="21"/>
      <c r="G23" s="21"/>
      <c r="L23" s="35"/>
    </row>
    <row r="24" spans="2:12" s="4" customFormat="1" outlineLevel="1" x14ac:dyDescent="0.4">
      <c r="B24" s="20"/>
      <c r="C24" s="21"/>
      <c r="D24" s="21"/>
      <c r="E24" s="21"/>
      <c r="F24" s="21"/>
      <c r="G24" s="21"/>
      <c r="H24" s="21"/>
      <c r="I24" s="21"/>
      <c r="J24" s="21"/>
      <c r="K24" s="21"/>
      <c r="L24" s="35"/>
    </row>
    <row r="25" spans="2:12" s="4" customFormat="1" outlineLevel="1" x14ac:dyDescent="0.4">
      <c r="B25" s="20"/>
      <c r="C25" s="759" t="s">
        <v>177</v>
      </c>
      <c r="D25" s="759"/>
      <c r="E25" s="135" t="s">
        <v>178</v>
      </c>
      <c r="F25" s="21"/>
      <c r="G25" s="21"/>
      <c r="L25" s="35"/>
    </row>
    <row r="26" spans="2:12" s="4" customFormat="1" ht="12.75" customHeight="1" outlineLevel="1" x14ac:dyDescent="0.4">
      <c r="B26" s="20"/>
      <c r="C26" s="21"/>
      <c r="D26" s="21"/>
      <c r="E26" s="21"/>
      <c r="F26" s="21"/>
      <c r="G26" s="21"/>
      <c r="L26" s="35"/>
    </row>
    <row r="27" spans="2:12" s="4" customFormat="1" outlineLevel="1" x14ac:dyDescent="0.4">
      <c r="B27" s="20"/>
      <c r="C27" s="25" t="str">
        <f>IF(E25="yes", "Fuel demand for outward journey",IF(E25="No","Fuel demand for full journey (outward and return)",""))</f>
        <v>Fuel demand for full journey (outward and return)</v>
      </c>
      <c r="D27" s="21"/>
      <c r="E27" s="21"/>
      <c r="F27" s="21"/>
      <c r="G27" s="21"/>
      <c r="H27" s="21"/>
      <c r="I27" s="21"/>
      <c r="J27" s="21"/>
      <c r="K27" s="21"/>
      <c r="L27" s="35"/>
    </row>
    <row r="28" spans="2:12" s="4" customFormat="1" outlineLevel="1" x14ac:dyDescent="0.4">
      <c r="B28" s="20"/>
      <c r="C28" s="164" t="s">
        <v>151</v>
      </c>
      <c r="D28" s="164" t="s">
        <v>140</v>
      </c>
      <c r="E28" s="21"/>
      <c r="F28" s="21"/>
      <c r="G28" s="21"/>
      <c r="H28" s="21"/>
      <c r="I28" s="21"/>
      <c r="J28" s="21"/>
      <c r="K28" s="21"/>
      <c r="L28" s="35"/>
    </row>
    <row r="29" spans="2:12" s="4" customFormat="1" outlineLevel="1" x14ac:dyDescent="0.4">
      <c r="B29" s="20"/>
      <c r="C29" s="138" t="s">
        <v>179</v>
      </c>
      <c r="D29" s="135"/>
      <c r="E29" s="21"/>
      <c r="F29" s="21"/>
      <c r="G29" s="21"/>
      <c r="H29" s="21"/>
      <c r="I29" s="21"/>
      <c r="J29" s="21"/>
      <c r="K29" s="21"/>
      <c r="L29" s="35"/>
    </row>
    <row r="30" spans="2:12" s="4" customFormat="1" outlineLevel="1" x14ac:dyDescent="0.4">
      <c r="B30" s="20"/>
      <c r="C30" s="21"/>
      <c r="D30" s="21"/>
      <c r="E30" s="21"/>
      <c r="F30" s="21"/>
      <c r="G30" s="21"/>
      <c r="H30" s="21"/>
      <c r="I30" s="21"/>
      <c r="J30" s="21"/>
      <c r="K30" s="21"/>
      <c r="L30" s="35"/>
    </row>
    <row r="31" spans="2:12" s="4" customFormat="1" outlineLevel="1" x14ac:dyDescent="0.4">
      <c r="B31" s="20"/>
      <c r="C31" s="25" t="s">
        <v>180</v>
      </c>
      <c r="D31" s="21"/>
      <c r="E31" s="21"/>
      <c r="F31" s="21"/>
      <c r="G31" s="21"/>
      <c r="H31" s="21"/>
      <c r="I31" s="21"/>
      <c r="J31" s="21"/>
      <c r="K31" s="21"/>
      <c r="L31" s="35"/>
    </row>
    <row r="32" spans="2:12" s="4" customFormat="1" outlineLevel="1" x14ac:dyDescent="0.4">
      <c r="B32" s="20"/>
      <c r="C32" s="164" t="s">
        <v>151</v>
      </c>
      <c r="D32" s="164" t="s">
        <v>140</v>
      </c>
      <c r="E32" s="21"/>
      <c r="F32" s="21"/>
      <c r="G32" s="21"/>
      <c r="H32" s="21"/>
      <c r="I32" s="21"/>
      <c r="J32" s="21"/>
      <c r="K32" s="21"/>
      <c r="L32" s="35"/>
    </row>
    <row r="33" spans="2:12" s="4" customFormat="1" outlineLevel="1" x14ac:dyDescent="0.4">
      <c r="B33" s="20"/>
      <c r="C33" s="138" t="s">
        <v>181</v>
      </c>
      <c r="D33" s="135"/>
      <c r="E33" s="21"/>
      <c r="F33" s="21"/>
      <c r="G33" s="21"/>
      <c r="H33" s="21"/>
      <c r="I33" s="21"/>
      <c r="J33" s="21"/>
      <c r="K33" s="21"/>
      <c r="L33" s="35"/>
    </row>
    <row r="34" spans="2:12" s="4" customFormat="1" ht="12.75" customHeight="1" outlineLevel="1" x14ac:dyDescent="0.4">
      <c r="B34" s="28"/>
      <c r="C34" s="29"/>
      <c r="D34" s="29"/>
      <c r="E34" s="29"/>
      <c r="F34" s="29"/>
      <c r="G34" s="29"/>
      <c r="H34" s="29"/>
      <c r="I34" s="29"/>
      <c r="J34" s="29"/>
      <c r="K34" s="29"/>
      <c r="L34" s="60"/>
    </row>
    <row r="35" spans="2:12" s="4" customFormat="1" x14ac:dyDescent="0.4"/>
    <row r="36" spans="2:12" s="4" customFormat="1" hidden="1" x14ac:dyDescent="0.4"/>
    <row r="37" spans="2:12" s="4" customFormat="1" hidden="1" x14ac:dyDescent="0.4">
      <c r="I37" s="32"/>
    </row>
    <row r="38" spans="2:12" s="4" customFormat="1" hidden="1" x14ac:dyDescent="0.4"/>
    <row r="39" spans="2:12" s="4" customFormat="1" hidden="1" x14ac:dyDescent="0.4"/>
    <row r="40" spans="2:12" s="4" customFormat="1" hidden="1" x14ac:dyDescent="0.4"/>
    <row r="41" spans="2:12" s="4" customFormat="1" hidden="1" x14ac:dyDescent="0.4"/>
    <row r="42" spans="2:12" s="4" customFormat="1" hidden="1" x14ac:dyDescent="0.4"/>
    <row r="43" spans="2:12" s="4" customFormat="1" hidden="1" x14ac:dyDescent="0.4"/>
    <row r="44" spans="2:12" s="4" customFormat="1" hidden="1" x14ac:dyDescent="0.4"/>
    <row r="45" spans="2:12" s="4" customFormat="1" hidden="1" x14ac:dyDescent="0.4"/>
    <row r="46" spans="2:12" s="4" customFormat="1" hidden="1" x14ac:dyDescent="0.4"/>
    <row r="47" spans="2:12" s="4" customFormat="1" hidden="1" x14ac:dyDescent="0.4"/>
    <row r="48" spans="2:12" s="4" customFormat="1" hidden="1" x14ac:dyDescent="0.4"/>
    <row r="49" spans="2:12" s="4" customFormat="1" hidden="1" x14ac:dyDescent="0.4"/>
    <row r="50" spans="2:12" s="4" customFormat="1" hidden="1" x14ac:dyDescent="0.4"/>
    <row r="51" spans="2:12" s="4" customFormat="1" hidden="1" x14ac:dyDescent="0.4"/>
    <row r="52" spans="2:12" s="4" customFormat="1" hidden="1" x14ac:dyDescent="0.4"/>
    <row r="53" spans="2:12" s="4" customFormat="1" hidden="1" x14ac:dyDescent="0.4"/>
    <row r="54" spans="2:12" s="4" customFormat="1" hidden="1" x14ac:dyDescent="0.4"/>
    <row r="55" spans="2:12" s="4" customFormat="1" hidden="1" x14ac:dyDescent="0.4"/>
    <row r="56" spans="2:12" s="4" customFormat="1" hidden="1" x14ac:dyDescent="0.4"/>
    <row r="57" spans="2:12" s="4" customFormat="1" hidden="1" x14ac:dyDescent="0.4"/>
    <row r="58" spans="2:12" s="4" customFormat="1" ht="19.2" x14ac:dyDescent="0.45">
      <c r="B58" s="754" t="str">
        <f>"Transport to Processing"&amp;" - "&amp;Feedstocks!C12</f>
        <v xml:space="preserve">Transport to Processing - </v>
      </c>
      <c r="C58" s="755"/>
      <c r="D58" s="755"/>
      <c r="E58" s="755"/>
      <c r="F58" s="755"/>
      <c r="G58" s="755"/>
      <c r="H58" s="755"/>
      <c r="I58" s="755"/>
      <c r="J58" s="755"/>
      <c r="K58" s="755"/>
      <c r="L58" s="756"/>
    </row>
    <row r="59" spans="2:12" s="4" customFormat="1" outlineLevel="1" x14ac:dyDescent="0.4">
      <c r="B59" s="17"/>
      <c r="C59" s="522"/>
      <c r="D59" s="19"/>
      <c r="E59" s="19"/>
      <c r="F59" s="19"/>
      <c r="G59" s="19"/>
      <c r="H59" s="19"/>
      <c r="I59" s="19"/>
      <c r="J59" s="19"/>
      <c r="K59" s="19"/>
      <c r="L59" s="50"/>
    </row>
    <row r="60" spans="2:12" s="4" customFormat="1" outlineLevel="1" x14ac:dyDescent="0.4">
      <c r="B60" s="20"/>
      <c r="C60" s="1"/>
      <c r="D60" s="760"/>
      <c r="E60" s="761"/>
      <c r="F60" s="762"/>
      <c r="G60" s="1"/>
      <c r="H60" s="303" t="s">
        <v>122</v>
      </c>
      <c r="I60" s="47"/>
      <c r="J60" s="47"/>
      <c r="K60" s="61"/>
      <c r="L60" s="35"/>
    </row>
    <row r="61" spans="2:12" s="4" customFormat="1" outlineLevel="1" x14ac:dyDescent="0.4">
      <c r="B61" s="20"/>
      <c r="C61" s="175" t="s">
        <v>123</v>
      </c>
      <c r="D61" s="753" t="str">
        <f>IF(Feedstocks!$H$12&gt;0,Feedstocks!$H$12,"")</f>
        <v/>
      </c>
      <c r="E61" s="753"/>
      <c r="F61" s="753"/>
      <c r="G61" s="76"/>
      <c r="H61" s="43"/>
      <c r="I61" s="36"/>
      <c r="J61" s="164" t="s">
        <v>124</v>
      </c>
      <c r="K61" s="44"/>
      <c r="L61" s="35"/>
    </row>
    <row r="62" spans="2:12" s="12" customFormat="1" ht="15" outlineLevel="1" x14ac:dyDescent="0.35">
      <c r="B62" s="20"/>
      <c r="C62" s="1"/>
      <c r="D62" s="1"/>
      <c r="E62" s="1"/>
      <c r="F62" s="1"/>
      <c r="G62" s="1"/>
      <c r="H62" s="43"/>
      <c r="I62" s="164" t="s">
        <v>125</v>
      </c>
      <c r="J62" s="52" t="str">
        <f>IFERROR(IF('Feedstock conversion'!E63="Yes",(J65/(IF(Feedstocks!I12="default",Feedstocks!J12,IF(Feedstocks!I12="actual",Feedstocks!K12,"Insert data (plant inputs)"))/Feedstocks!E12*'Feedstock conversion'!D67*'Transport 2'!F69*('Digestion &amp; outputs'!$G$17/1000)))*IF('Feedstock conversion'!E92="Yes",'Feedstock conversion'!J95,1)*'Digestion &amp; outputs'!$K$23,IF('Feedstock conversion'!E63="No",(J65/(IF(Feedstocks!I12="default",Feedstocks!J12,IF(Feedstocks!I12="actual",Feedstocks!K12,"Insert data (plant inputs)"))/Feedstocks!E12*'Transport 2'!F69*('Digestion &amp; outputs'!$G$17/1000)))*'Digestion &amp; outputs'!$K$23,"")),"")</f>
        <v/>
      </c>
      <c r="K62" s="44"/>
      <c r="L62" s="54"/>
    </row>
    <row r="63" spans="2:12" s="4" customFormat="1" outlineLevel="1" x14ac:dyDescent="0.4">
      <c r="B63" s="20"/>
      <c r="C63" s="164" t="s">
        <v>163</v>
      </c>
      <c r="D63" s="134" t="s">
        <v>164</v>
      </c>
      <c r="E63" s="1"/>
      <c r="F63" s="1"/>
      <c r="G63" s="1"/>
      <c r="H63" s="41"/>
      <c r="I63" s="34"/>
      <c r="J63" s="34"/>
      <c r="K63" s="37"/>
      <c r="L63" s="35"/>
    </row>
    <row r="64" spans="2:12" s="4" customFormat="1" outlineLevel="1" x14ac:dyDescent="0.4">
      <c r="B64" s="20"/>
      <c r="C64" s="164" t="s">
        <v>165</v>
      </c>
      <c r="D64" s="143"/>
      <c r="E64" s="1"/>
      <c r="F64" s="1"/>
      <c r="G64" s="1"/>
      <c r="H64" s="41"/>
      <c r="I64" s="36"/>
      <c r="J64" s="164" t="s">
        <v>141</v>
      </c>
      <c r="K64" s="37"/>
      <c r="L64" s="35"/>
    </row>
    <row r="65" spans="2:12" s="4" customFormat="1" outlineLevel="1" x14ac:dyDescent="0.4">
      <c r="B65" s="20"/>
      <c r="C65" s="164" t="s">
        <v>160</v>
      </c>
      <c r="D65" s="134" t="s">
        <v>166</v>
      </c>
      <c r="E65" s="1"/>
      <c r="F65" s="1"/>
      <c r="G65" s="1"/>
      <c r="H65" s="42"/>
      <c r="I65" s="164" t="s">
        <v>167</v>
      </c>
      <c r="J65" s="52">
        <f>IFERROR(J70,"Insert data")</f>
        <v>0</v>
      </c>
      <c r="K65" s="62"/>
      <c r="L65" s="35"/>
    </row>
    <row r="66" spans="2:12" s="4" customFormat="1" outlineLevel="1" x14ac:dyDescent="0.4">
      <c r="B66" s="20"/>
      <c r="C66" s="21"/>
      <c r="D66" s="21"/>
      <c r="E66" s="21"/>
      <c r="F66" s="21"/>
      <c r="G66" s="21"/>
      <c r="H66" s="46"/>
      <c r="I66" s="58"/>
      <c r="J66" s="58"/>
      <c r="K66" s="59"/>
      <c r="L66" s="35"/>
    </row>
    <row r="67" spans="2:12" s="4" customFormat="1" outlineLevel="1" x14ac:dyDescent="0.4">
      <c r="B67" s="20"/>
      <c r="C67" s="25" t="s">
        <v>168</v>
      </c>
      <c r="D67" s="21"/>
      <c r="E67" s="21"/>
      <c r="F67" s="21"/>
      <c r="G67" s="21"/>
      <c r="H67" s="21"/>
      <c r="I67" s="21"/>
      <c r="J67" s="21"/>
      <c r="K67" s="21"/>
      <c r="L67" s="35"/>
    </row>
    <row r="68" spans="2:12" s="14" customFormat="1" ht="30.6" outlineLevel="1" x14ac:dyDescent="0.4">
      <c r="B68" s="23"/>
      <c r="C68" s="166" t="s">
        <v>131</v>
      </c>
      <c r="D68" s="166" t="s">
        <v>169</v>
      </c>
      <c r="E68" s="166" t="s">
        <v>170</v>
      </c>
      <c r="F68" s="166" t="s">
        <v>171</v>
      </c>
      <c r="G68" s="24"/>
      <c r="H68" s="303" t="s">
        <v>136</v>
      </c>
      <c r="I68" s="47"/>
      <c r="J68" s="47"/>
      <c r="K68" s="45"/>
      <c r="L68" s="63"/>
    </row>
    <row r="69" spans="2:12" s="4" customFormat="1" outlineLevel="1" x14ac:dyDescent="0.4">
      <c r="B69" s="20"/>
      <c r="C69" s="138" t="s">
        <v>96</v>
      </c>
      <c r="D69" s="93">
        <v>1</v>
      </c>
      <c r="E69" s="135"/>
      <c r="F69" s="31">
        <f>IFERROR(IF(OR(C69="Default",D63="No transport required"),D69,IF(ISBLANK(E69),"Insert data",E69)),"")</f>
        <v>1</v>
      </c>
      <c r="G69" s="21"/>
      <c r="H69" s="41"/>
      <c r="I69" s="36"/>
      <c r="J69" s="164" t="s">
        <v>141</v>
      </c>
      <c r="K69" s="37"/>
      <c r="L69" s="35"/>
    </row>
    <row r="70" spans="2:12" s="4" customFormat="1" outlineLevel="1" x14ac:dyDescent="0.4">
      <c r="B70" s="20"/>
      <c r="C70" s="21"/>
      <c r="D70" s="21"/>
      <c r="E70" s="692" t="str">
        <f>IF(E69&gt;1, "value should not be above 1", "")</f>
        <v/>
      </c>
      <c r="F70" s="21"/>
      <c r="G70" s="21"/>
      <c r="H70" s="42"/>
      <c r="I70" s="164" t="s">
        <v>172</v>
      </c>
      <c r="J70" s="52">
        <f>IF(D63="No transport required",0,IFERROR(E73*INDEX(Fuel_EFs,MATCH(D65,Fuels_for_EF,0))*D64/1000,"Insert data"))</f>
        <v>0</v>
      </c>
      <c r="K70" s="62"/>
      <c r="L70" s="35"/>
    </row>
    <row r="71" spans="2:12" s="4" customFormat="1" outlineLevel="1" x14ac:dyDescent="0.4">
      <c r="B71" s="20"/>
      <c r="C71" s="25" t="s">
        <v>173</v>
      </c>
      <c r="D71" s="21"/>
      <c r="E71" s="21"/>
      <c r="F71" s="21"/>
      <c r="G71" s="21"/>
      <c r="H71" s="46"/>
      <c r="I71" s="58"/>
      <c r="J71" s="58"/>
      <c r="K71" s="59"/>
      <c r="L71" s="35"/>
    </row>
    <row r="72" spans="2:12" s="14" customFormat="1" outlineLevel="1" x14ac:dyDescent="0.4">
      <c r="B72" s="23"/>
      <c r="C72" s="176" t="s">
        <v>174</v>
      </c>
      <c r="D72" s="166" t="s">
        <v>175</v>
      </c>
      <c r="E72" s="166" t="s">
        <v>176</v>
      </c>
      <c r="F72" s="24"/>
      <c r="G72" s="24"/>
      <c r="H72" s="4"/>
      <c r="I72" s="4"/>
      <c r="J72" s="4"/>
      <c r="K72" s="4"/>
      <c r="L72" s="63"/>
    </row>
    <row r="73" spans="2:12" s="4" customFormat="1" outlineLevel="1" x14ac:dyDescent="0.4">
      <c r="B73" s="20"/>
      <c r="C73" s="138" t="s">
        <v>96</v>
      </c>
      <c r="D73" s="93">
        <f>INDEX(Transport_Fuel_Efficiencies,MATCH(D63,Transport_Modes,0))</f>
        <v>0</v>
      </c>
      <c r="E73" s="31">
        <f>IFERROR(IF(C73="Default",D73,IF(OR(ISBLANK(E75),ISBLANK(D79),ISBLANK(D83)),"Insert data",(IF(C79="litres",(D79*(INDEX(Fuel_Densities,MATCH(D65,Fuels_for_Densities,0))/1000)*INDEX(Fuel_LHV,MATCH(D65,Fuels_for_LHV,0)))/(D83*D64),(IF(C79="m3",(D79*(INDEX(Fuel_Densities,MATCH(D65,Fuels_for_Densities,0)))*INDEX(Fuel_LHV,MATCH(D65,Fuels_for_LHV,0)))/(D83*D64),IF(C79="kg",(D79*INDEX(Fuel_LHV,MATCH(D65,Fuels_for_LHV,0)))/(D83*D64),IF(C79="tonnes",(D79*INDEX(Fuel_LHV,MATCH(D65,Fuels_for_LHV,0))*1000)/(D83*D64),IF(C79="MWh",(D79*'Reference values'!$D$47)/(D83*D64),IF(C79="kWh",(D79*'Reference values'!$D$47/1000)/(D83*D64),"Insert unit")))))))))),"")</f>
        <v>0</v>
      </c>
      <c r="F73" s="21"/>
      <c r="G73" s="21"/>
      <c r="L73" s="35"/>
    </row>
    <row r="74" spans="2:12" s="4" customFormat="1" outlineLevel="1" x14ac:dyDescent="0.4">
      <c r="B74" s="20"/>
      <c r="C74" s="21"/>
      <c r="D74" s="21"/>
      <c r="E74" s="21"/>
      <c r="F74" s="21"/>
      <c r="G74" s="21"/>
      <c r="H74" s="21"/>
      <c r="I74" s="21"/>
      <c r="J74" s="21"/>
      <c r="K74" s="21"/>
      <c r="L74" s="35"/>
    </row>
    <row r="75" spans="2:12" s="4" customFormat="1" ht="16.5" customHeight="1" outlineLevel="1" x14ac:dyDescent="0.4">
      <c r="B75" s="20"/>
      <c r="C75" s="759" t="s">
        <v>177</v>
      </c>
      <c r="D75" s="759"/>
      <c r="E75" s="135" t="s">
        <v>178</v>
      </c>
      <c r="F75" s="21"/>
      <c r="G75" s="21"/>
      <c r="L75" s="35"/>
    </row>
    <row r="76" spans="2:12" s="4" customFormat="1" ht="12.75" customHeight="1" outlineLevel="1" x14ac:dyDescent="0.4">
      <c r="B76" s="20"/>
      <c r="C76" s="21"/>
      <c r="D76" s="21"/>
      <c r="E76" s="21"/>
      <c r="F76" s="21"/>
      <c r="G76" s="21"/>
      <c r="L76" s="35"/>
    </row>
    <row r="77" spans="2:12" s="4" customFormat="1" outlineLevel="1" x14ac:dyDescent="0.4">
      <c r="B77" s="20"/>
      <c r="C77" s="25" t="str">
        <f>IF(E75="yes", "Fuel demand for outward journey",IF(E75="No","Fuel demand for full journey (outward and return)",""))</f>
        <v>Fuel demand for full journey (outward and return)</v>
      </c>
      <c r="D77" s="21"/>
      <c r="E77" s="21"/>
      <c r="F77" s="21"/>
      <c r="G77" s="21"/>
      <c r="H77" s="21"/>
      <c r="I77" s="21"/>
      <c r="J77" s="21"/>
      <c r="K77" s="21"/>
      <c r="L77" s="35"/>
    </row>
    <row r="78" spans="2:12" s="4" customFormat="1" outlineLevel="1" x14ac:dyDescent="0.4">
      <c r="B78" s="20"/>
      <c r="C78" s="164" t="s">
        <v>151</v>
      </c>
      <c r="D78" s="164" t="s">
        <v>140</v>
      </c>
      <c r="E78" s="21"/>
      <c r="F78" s="21"/>
      <c r="G78" s="21"/>
      <c r="H78" s="21"/>
      <c r="I78" s="21"/>
      <c r="J78" s="21"/>
      <c r="K78" s="21"/>
      <c r="L78" s="35"/>
    </row>
    <row r="79" spans="2:12" s="4" customFormat="1" outlineLevel="1" x14ac:dyDescent="0.4">
      <c r="B79" s="20"/>
      <c r="C79" s="138"/>
      <c r="D79" s="135"/>
      <c r="E79" s="21"/>
      <c r="F79" s="21"/>
      <c r="G79" s="21"/>
      <c r="H79" s="21"/>
      <c r="I79" s="21"/>
      <c r="J79" s="21"/>
      <c r="K79" s="21"/>
      <c r="L79" s="35"/>
    </row>
    <row r="80" spans="2:12" s="4" customFormat="1" outlineLevel="1" x14ac:dyDescent="0.4">
      <c r="B80" s="20"/>
      <c r="C80" s="21"/>
      <c r="D80" s="21"/>
      <c r="E80" s="21"/>
      <c r="F80" s="21"/>
      <c r="G80" s="21"/>
      <c r="H80" s="21"/>
      <c r="I80" s="21"/>
      <c r="J80" s="21"/>
      <c r="K80" s="21"/>
      <c r="L80" s="35"/>
    </row>
    <row r="81" spans="2:12" s="4" customFormat="1" outlineLevel="1" x14ac:dyDescent="0.4">
      <c r="B81" s="20"/>
      <c r="C81" s="25" t="s">
        <v>180</v>
      </c>
      <c r="D81" s="21"/>
      <c r="E81" s="21"/>
      <c r="F81" s="21"/>
      <c r="G81" s="21"/>
      <c r="H81" s="21"/>
      <c r="I81" s="21"/>
      <c r="J81" s="21"/>
      <c r="K81" s="21"/>
      <c r="L81" s="35"/>
    </row>
    <row r="82" spans="2:12" s="4" customFormat="1" outlineLevel="1" x14ac:dyDescent="0.4">
      <c r="B82" s="20"/>
      <c r="C82" s="164" t="s">
        <v>151</v>
      </c>
      <c r="D82" s="164" t="s">
        <v>140</v>
      </c>
      <c r="E82" s="21"/>
      <c r="F82" s="21"/>
      <c r="G82" s="21"/>
      <c r="H82" s="21"/>
      <c r="I82" s="21"/>
      <c r="J82" s="21"/>
      <c r="K82" s="21"/>
      <c r="L82" s="35"/>
    </row>
    <row r="83" spans="2:12" s="4" customFormat="1" outlineLevel="1" x14ac:dyDescent="0.4">
      <c r="B83" s="20"/>
      <c r="C83" s="138"/>
      <c r="D83" s="135"/>
      <c r="E83" s="21"/>
      <c r="F83" s="21"/>
      <c r="G83" s="21"/>
      <c r="H83" s="21"/>
      <c r="I83" s="21"/>
      <c r="J83" s="21"/>
      <c r="K83" s="21"/>
      <c r="L83" s="35"/>
    </row>
    <row r="84" spans="2:12" s="4" customFormat="1" ht="12.75" customHeight="1" outlineLevel="1" x14ac:dyDescent="0.4">
      <c r="B84" s="28"/>
      <c r="C84" s="29"/>
      <c r="D84" s="29"/>
      <c r="E84" s="29"/>
      <c r="F84" s="29"/>
      <c r="G84" s="29"/>
      <c r="H84" s="29"/>
      <c r="I84" s="29"/>
      <c r="J84" s="29"/>
      <c r="K84" s="29"/>
      <c r="L84" s="60"/>
    </row>
    <row r="85" spans="2:12" s="4" customFormat="1" x14ac:dyDescent="0.4"/>
    <row r="86" spans="2:12" s="4" customFormat="1" hidden="1" x14ac:dyDescent="0.4"/>
    <row r="87" spans="2:12" s="4" customFormat="1" hidden="1" x14ac:dyDescent="0.4"/>
    <row r="88" spans="2:12" s="4" customFormat="1" hidden="1" x14ac:dyDescent="0.4"/>
    <row r="89" spans="2:12" s="4" customFormat="1" hidden="1" x14ac:dyDescent="0.4"/>
    <row r="90" spans="2:12" s="4" customFormat="1" hidden="1" x14ac:dyDescent="0.4"/>
    <row r="91" spans="2:12" s="4" customFormat="1" hidden="1" x14ac:dyDescent="0.4"/>
    <row r="92" spans="2:12" s="4" customFormat="1" hidden="1" x14ac:dyDescent="0.4"/>
    <row r="93" spans="2:12" s="4" customFormat="1" hidden="1" x14ac:dyDescent="0.4"/>
    <row r="94" spans="2:12" s="4" customFormat="1" hidden="1" x14ac:dyDescent="0.4"/>
    <row r="95" spans="2:12" s="4" customFormat="1" hidden="1" x14ac:dyDescent="0.4"/>
    <row r="96" spans="2:12" s="4" customFormat="1" hidden="1" x14ac:dyDescent="0.4"/>
    <row r="97" spans="2:12" s="4" customFormat="1" hidden="1" x14ac:dyDescent="0.4"/>
    <row r="98" spans="2:12" s="4" customFormat="1" hidden="1" x14ac:dyDescent="0.4"/>
    <row r="99" spans="2:12" s="4" customFormat="1" hidden="1" x14ac:dyDescent="0.4"/>
    <row r="100" spans="2:12" s="4" customFormat="1" hidden="1" x14ac:dyDescent="0.4"/>
    <row r="101" spans="2:12" s="4" customFormat="1" hidden="1" x14ac:dyDescent="0.4"/>
    <row r="102" spans="2:12" s="4" customFormat="1" hidden="1" x14ac:dyDescent="0.4"/>
    <row r="103" spans="2:12" s="4" customFormat="1" hidden="1" x14ac:dyDescent="0.4"/>
    <row r="104" spans="2:12" s="4" customFormat="1" hidden="1" x14ac:dyDescent="0.4"/>
    <row r="105" spans="2:12" s="4" customFormat="1" hidden="1" x14ac:dyDescent="0.4"/>
    <row r="106" spans="2:12" s="4" customFormat="1" hidden="1" x14ac:dyDescent="0.4"/>
    <row r="107" spans="2:12" s="4" customFormat="1" hidden="1" x14ac:dyDescent="0.4"/>
    <row r="108" spans="2:12" s="4" customFormat="1" ht="19.2" x14ac:dyDescent="0.45">
      <c r="B108" s="754" t="str">
        <f>"Transport to Processing"&amp;" - "&amp;Feedstocks!C13</f>
        <v xml:space="preserve">Transport to Processing - </v>
      </c>
      <c r="C108" s="755"/>
      <c r="D108" s="755"/>
      <c r="E108" s="755"/>
      <c r="F108" s="755"/>
      <c r="G108" s="755"/>
      <c r="H108" s="755"/>
      <c r="I108" s="755"/>
      <c r="J108" s="755"/>
      <c r="K108" s="755"/>
      <c r="L108" s="756"/>
    </row>
    <row r="109" spans="2:12" s="4" customFormat="1" outlineLevel="1" x14ac:dyDescent="0.4">
      <c r="B109" s="17"/>
      <c r="C109" s="522"/>
      <c r="D109" s="19"/>
      <c r="E109" s="19"/>
      <c r="F109" s="19"/>
      <c r="G109" s="19"/>
      <c r="H109" s="19"/>
      <c r="I109" s="19"/>
      <c r="J109" s="19"/>
      <c r="K109" s="19"/>
      <c r="L109" s="50"/>
    </row>
    <row r="110" spans="2:12" s="4" customFormat="1" outlineLevel="1" x14ac:dyDescent="0.4">
      <c r="B110" s="20"/>
      <c r="C110" s="21"/>
      <c r="D110" s="760"/>
      <c r="E110" s="761"/>
      <c r="F110" s="762"/>
      <c r="G110" s="1"/>
      <c r="H110" s="303" t="s">
        <v>122</v>
      </c>
      <c r="I110" s="47"/>
      <c r="J110" s="47"/>
      <c r="K110" s="61"/>
      <c r="L110" s="35"/>
    </row>
    <row r="111" spans="2:12" s="4" customFormat="1" outlineLevel="1" x14ac:dyDescent="0.4">
      <c r="B111" s="20"/>
      <c r="C111" s="175" t="s">
        <v>123</v>
      </c>
      <c r="D111" s="753" t="str">
        <f>IF(Feedstocks!$H$13&gt;0,Feedstocks!$H$13,"")</f>
        <v/>
      </c>
      <c r="E111" s="753"/>
      <c r="F111" s="753"/>
      <c r="G111" s="76"/>
      <c r="H111" s="43"/>
      <c r="I111" s="36"/>
      <c r="J111" s="164" t="s">
        <v>124</v>
      </c>
      <c r="K111" s="44"/>
      <c r="L111" s="35"/>
    </row>
    <row r="112" spans="2:12" s="12" customFormat="1" ht="15" outlineLevel="1" x14ac:dyDescent="0.35">
      <c r="B112" s="20"/>
      <c r="C112" s="1"/>
      <c r="D112" s="1"/>
      <c r="E112" s="1"/>
      <c r="F112" s="1"/>
      <c r="G112" s="1"/>
      <c r="H112" s="43"/>
      <c r="I112" s="164" t="s">
        <v>125</v>
      </c>
      <c r="J112" s="52" t="str">
        <f>IFERROR(IF('Feedstock conversion'!E113="Yes",(J115/(IF(Feedstocks!I13="default",Feedstocks!J13,IF(Feedstocks!I13="actual",Feedstocks!K13,"Insert data (plant inputs)"))/Feedstocks!E13*'Feedstock conversion'!D117*'Transport 2'!F119*('Digestion &amp; outputs'!$G$18/1000)))*IF('Feedstock conversion'!E142="Yes",'Feedstock conversion'!J145,1)*'Digestion &amp; outputs'!$K$23,IF('Feedstock conversion'!E113="No",(J115/(IF(Feedstocks!I13="default",Feedstocks!J13,IF(Feedstocks!I13="actual",Feedstocks!K13,"Insert data (plant inputs)"))/Feedstocks!E13*'Transport 2'!F119*('Digestion &amp; outputs'!$G$18/1000)))*'Digestion &amp; outputs'!$K$23,"")),"")</f>
        <v/>
      </c>
      <c r="K112" s="44"/>
      <c r="L112" s="54"/>
    </row>
    <row r="113" spans="2:12" s="4" customFormat="1" outlineLevel="1" x14ac:dyDescent="0.4">
      <c r="B113" s="20"/>
      <c r="C113" s="164" t="s">
        <v>163</v>
      </c>
      <c r="D113" s="134" t="s">
        <v>164</v>
      </c>
      <c r="E113" s="1"/>
      <c r="F113" s="1"/>
      <c r="G113" s="1"/>
      <c r="H113" s="41"/>
      <c r="I113" s="34"/>
      <c r="J113" s="34"/>
      <c r="K113" s="37"/>
      <c r="L113" s="35"/>
    </row>
    <row r="114" spans="2:12" s="4" customFormat="1" outlineLevel="1" x14ac:dyDescent="0.4">
      <c r="B114" s="20"/>
      <c r="C114" s="164" t="s">
        <v>165</v>
      </c>
      <c r="D114" s="143"/>
      <c r="E114" s="1"/>
      <c r="F114" s="1"/>
      <c r="G114" s="1"/>
      <c r="H114" s="41"/>
      <c r="I114" s="36"/>
      <c r="J114" s="164" t="s">
        <v>141</v>
      </c>
      <c r="K114" s="37"/>
      <c r="L114" s="35"/>
    </row>
    <row r="115" spans="2:12" s="4" customFormat="1" outlineLevel="1" x14ac:dyDescent="0.4">
      <c r="B115" s="20"/>
      <c r="C115" s="164" t="s">
        <v>160</v>
      </c>
      <c r="D115" s="134" t="s">
        <v>166</v>
      </c>
      <c r="E115" s="1"/>
      <c r="F115" s="1"/>
      <c r="G115" s="1"/>
      <c r="H115" s="42"/>
      <c r="I115" s="164" t="s">
        <v>167</v>
      </c>
      <c r="J115" s="52">
        <f>IFERROR(J120,"Insert data")</f>
        <v>0</v>
      </c>
      <c r="K115" s="62"/>
      <c r="L115" s="35"/>
    </row>
    <row r="116" spans="2:12" s="4" customFormat="1" outlineLevel="1" x14ac:dyDescent="0.4">
      <c r="B116" s="20"/>
      <c r="C116" s="21"/>
      <c r="D116" s="21"/>
      <c r="E116" s="21"/>
      <c r="F116" s="21"/>
      <c r="G116" s="21"/>
      <c r="H116" s="46"/>
      <c r="I116" s="58"/>
      <c r="J116" s="58"/>
      <c r="K116" s="59"/>
      <c r="L116" s="35"/>
    </row>
    <row r="117" spans="2:12" s="4" customFormat="1" outlineLevel="1" x14ac:dyDescent="0.4">
      <c r="B117" s="20"/>
      <c r="C117" s="25" t="s">
        <v>168</v>
      </c>
      <c r="D117" s="21"/>
      <c r="E117" s="21"/>
      <c r="F117" s="21"/>
      <c r="G117" s="21"/>
      <c r="H117" s="21"/>
      <c r="I117" s="21"/>
      <c r="J117" s="21"/>
      <c r="K117" s="21"/>
      <c r="L117" s="35"/>
    </row>
    <row r="118" spans="2:12" s="14" customFormat="1" ht="30.6" outlineLevel="1" x14ac:dyDescent="0.4">
      <c r="B118" s="23"/>
      <c r="C118" s="166" t="s">
        <v>131</v>
      </c>
      <c r="D118" s="166" t="s">
        <v>169</v>
      </c>
      <c r="E118" s="166" t="s">
        <v>170</v>
      </c>
      <c r="F118" s="166" t="s">
        <v>171</v>
      </c>
      <c r="G118" s="24"/>
      <c r="H118" s="303" t="s">
        <v>136</v>
      </c>
      <c r="I118" s="47"/>
      <c r="J118" s="47"/>
      <c r="K118" s="45"/>
      <c r="L118" s="63"/>
    </row>
    <row r="119" spans="2:12" s="4" customFormat="1" outlineLevel="1" x14ac:dyDescent="0.4">
      <c r="B119" s="20"/>
      <c r="C119" s="138" t="s">
        <v>96</v>
      </c>
      <c r="D119" s="93">
        <v>1</v>
      </c>
      <c r="E119" s="135"/>
      <c r="F119" s="31">
        <f>IFERROR(IF(OR(C119="Default",D113="No transport required"),D119,IF(ISBLANK(E119),"Insert data",E119)),"")</f>
        <v>1</v>
      </c>
      <c r="G119" s="21"/>
      <c r="H119" s="41"/>
      <c r="I119" s="36"/>
      <c r="J119" s="164" t="s">
        <v>141</v>
      </c>
      <c r="K119" s="37"/>
      <c r="L119" s="35"/>
    </row>
    <row r="120" spans="2:12" s="4" customFormat="1" outlineLevel="1" x14ac:dyDescent="0.4">
      <c r="B120" s="20"/>
      <c r="C120" s="21"/>
      <c r="D120" s="21"/>
      <c r="E120" s="692" t="str">
        <f>IF(E119&gt;1, "value should not be above 1", "")</f>
        <v/>
      </c>
      <c r="F120" s="21"/>
      <c r="G120" s="21"/>
      <c r="H120" s="42"/>
      <c r="I120" s="164" t="s">
        <v>172</v>
      </c>
      <c r="J120" s="52">
        <f>IF(D113="No transport required",0,IFERROR(E123*INDEX(Fuel_EFs,MATCH(D115,Fuels_for_EF,0))*D114/1000,"Insert data"))</f>
        <v>0</v>
      </c>
      <c r="K120" s="62"/>
      <c r="L120" s="35"/>
    </row>
    <row r="121" spans="2:12" s="4" customFormat="1" outlineLevel="1" x14ac:dyDescent="0.4">
      <c r="B121" s="20"/>
      <c r="C121" s="25" t="s">
        <v>173</v>
      </c>
      <c r="D121" s="21"/>
      <c r="E121" s="21"/>
      <c r="F121" s="21"/>
      <c r="G121" s="21"/>
      <c r="H121" s="46"/>
      <c r="I121" s="58"/>
      <c r="J121" s="58"/>
      <c r="K121" s="59"/>
      <c r="L121" s="35"/>
    </row>
    <row r="122" spans="2:12" s="14" customFormat="1" outlineLevel="1" x14ac:dyDescent="0.4">
      <c r="B122" s="23"/>
      <c r="C122" s="176" t="s">
        <v>174</v>
      </c>
      <c r="D122" s="166" t="s">
        <v>175</v>
      </c>
      <c r="E122" s="166" t="s">
        <v>176</v>
      </c>
      <c r="F122" s="24"/>
      <c r="G122" s="24"/>
      <c r="H122" s="4"/>
      <c r="I122" s="4"/>
      <c r="J122" s="4"/>
      <c r="K122" s="4"/>
      <c r="L122" s="63"/>
    </row>
    <row r="123" spans="2:12" s="4" customFormat="1" outlineLevel="1" x14ac:dyDescent="0.4">
      <c r="B123" s="20"/>
      <c r="C123" s="138" t="s">
        <v>96</v>
      </c>
      <c r="D123" s="93">
        <f>INDEX(Transport_Fuel_Efficiencies,MATCH(D113,Transport_Modes,0))</f>
        <v>0</v>
      </c>
      <c r="E123" s="31">
        <f>IFERROR(IF(C123="Default",D123,IF(OR(ISBLANK(E125),ISBLANK(D129),ISBLANK(D133)),"Insert data",(IF(C129="litres",(D129*(INDEX(Fuel_Densities,MATCH(D115,Fuels_for_Densities,0))/1000)*INDEX(Fuel_LHV,MATCH(D115,Fuels_for_LHV,0)))/(D133*D114),(IF(C129="m3",(D129*(INDEX(Fuel_Densities,MATCH(D115,Fuels_for_Densities,0)))*INDEX(Fuel_LHV,MATCH(D115,Fuels_for_LHV,0)))/(D133*D114),IF(C129="kg",(D129*INDEX(Fuel_LHV,MATCH(D115,Fuels_for_LHV,0)))/(D133*D114),IF(C129="tonnes",(D129*INDEX(Fuel_LHV,MATCH(D115,Fuels_for_LHV,0))*1000)/(D133*D114),IF(C129="MWh",(D129*'Reference values'!$D$47)/(D133*D114),IF(C129="kWh",(D129*'Reference values'!$D$47/1000)/(D133*D114),"Insert unit")))))))))),"")</f>
        <v>0</v>
      </c>
      <c r="F123" s="21"/>
      <c r="G123" s="21"/>
      <c r="L123" s="35"/>
    </row>
    <row r="124" spans="2:12" s="4" customFormat="1" outlineLevel="1" x14ac:dyDescent="0.4">
      <c r="B124" s="20"/>
      <c r="C124" s="21"/>
      <c r="D124" s="21"/>
      <c r="E124" s="21"/>
      <c r="F124" s="21"/>
      <c r="G124" s="21"/>
      <c r="H124" s="21"/>
      <c r="I124" s="21"/>
      <c r="J124" s="21"/>
      <c r="K124" s="21"/>
      <c r="L124" s="35"/>
    </row>
    <row r="125" spans="2:12" s="4" customFormat="1" ht="16.5" customHeight="1" outlineLevel="1" x14ac:dyDescent="0.4">
      <c r="B125" s="20"/>
      <c r="C125" s="759" t="s">
        <v>177</v>
      </c>
      <c r="D125" s="759"/>
      <c r="E125" s="135" t="s">
        <v>178</v>
      </c>
      <c r="F125" s="21"/>
      <c r="G125" s="21"/>
      <c r="L125" s="35"/>
    </row>
    <row r="126" spans="2:12" s="4" customFormat="1" ht="12.75" customHeight="1" outlineLevel="1" x14ac:dyDescent="0.4">
      <c r="B126" s="20"/>
      <c r="C126" s="21"/>
      <c r="D126" s="21"/>
      <c r="E126" s="21"/>
      <c r="F126" s="21"/>
      <c r="G126" s="21"/>
      <c r="L126" s="35"/>
    </row>
    <row r="127" spans="2:12" s="4" customFormat="1" outlineLevel="1" x14ac:dyDescent="0.4">
      <c r="B127" s="20"/>
      <c r="C127" s="25" t="str">
        <f>IF(E125="yes", "Fuel demand for outward journey",IF(E125="No","Fuel demand for full journey (outward and return)",""))</f>
        <v>Fuel demand for full journey (outward and return)</v>
      </c>
      <c r="D127" s="21"/>
      <c r="E127" s="21"/>
      <c r="F127" s="21"/>
      <c r="G127" s="21"/>
      <c r="H127" s="21"/>
      <c r="I127" s="21"/>
      <c r="J127" s="21"/>
      <c r="K127" s="21"/>
      <c r="L127" s="35"/>
    </row>
    <row r="128" spans="2:12" s="4" customFormat="1" outlineLevel="1" x14ac:dyDescent="0.4">
      <c r="B128" s="20"/>
      <c r="C128" s="164" t="s">
        <v>151</v>
      </c>
      <c r="D128" s="164" t="s">
        <v>140</v>
      </c>
      <c r="E128" s="21"/>
      <c r="F128" s="21"/>
      <c r="G128" s="21"/>
      <c r="H128" s="21"/>
      <c r="I128" s="21"/>
      <c r="J128" s="21"/>
      <c r="K128" s="21"/>
      <c r="L128" s="35"/>
    </row>
    <row r="129" spans="2:12" s="4" customFormat="1" outlineLevel="1" x14ac:dyDescent="0.4">
      <c r="B129" s="20"/>
      <c r="C129" s="138"/>
      <c r="D129" s="135"/>
      <c r="E129" s="21"/>
      <c r="F129" s="21"/>
      <c r="G129" s="21"/>
      <c r="H129" s="21"/>
      <c r="I129" s="21"/>
      <c r="J129" s="21"/>
      <c r="K129" s="21"/>
      <c r="L129" s="35"/>
    </row>
    <row r="130" spans="2:12" s="4" customFormat="1" outlineLevel="1" x14ac:dyDescent="0.4">
      <c r="B130" s="20"/>
      <c r="C130" s="21"/>
      <c r="D130" s="21"/>
      <c r="E130" s="21"/>
      <c r="F130" s="21"/>
      <c r="G130" s="21"/>
      <c r="H130" s="21"/>
      <c r="I130" s="21"/>
      <c r="J130" s="21"/>
      <c r="K130" s="21"/>
      <c r="L130" s="35"/>
    </row>
    <row r="131" spans="2:12" s="4" customFormat="1" outlineLevel="1" x14ac:dyDescent="0.4">
      <c r="B131" s="20"/>
      <c r="C131" s="25" t="s">
        <v>180</v>
      </c>
      <c r="D131" s="21"/>
      <c r="E131" s="21"/>
      <c r="F131" s="21"/>
      <c r="G131" s="21"/>
      <c r="H131" s="21"/>
      <c r="I131" s="21"/>
      <c r="J131" s="21"/>
      <c r="K131" s="21"/>
      <c r="L131" s="35"/>
    </row>
    <row r="132" spans="2:12" s="4" customFormat="1" outlineLevel="1" x14ac:dyDescent="0.4">
      <c r="B132" s="20"/>
      <c r="C132" s="164" t="s">
        <v>151</v>
      </c>
      <c r="D132" s="164" t="s">
        <v>140</v>
      </c>
      <c r="E132" s="21"/>
      <c r="F132" s="21"/>
      <c r="G132" s="21"/>
      <c r="H132" s="21"/>
      <c r="I132" s="21"/>
      <c r="J132" s="21"/>
      <c r="K132" s="21"/>
      <c r="L132" s="35"/>
    </row>
    <row r="133" spans="2:12" s="4" customFormat="1" outlineLevel="1" x14ac:dyDescent="0.4">
      <c r="B133" s="20"/>
      <c r="C133" s="138"/>
      <c r="D133" s="135"/>
      <c r="E133" s="21"/>
      <c r="F133" s="21"/>
      <c r="G133" s="21"/>
      <c r="H133" s="21"/>
      <c r="I133" s="21"/>
      <c r="J133" s="21"/>
      <c r="K133" s="21"/>
      <c r="L133" s="35"/>
    </row>
    <row r="134" spans="2:12" s="4" customFormat="1" ht="12.75" customHeight="1" outlineLevel="1" x14ac:dyDescent="0.4">
      <c r="B134" s="28"/>
      <c r="C134" s="29"/>
      <c r="D134" s="29"/>
      <c r="E134" s="29"/>
      <c r="F134" s="29"/>
      <c r="G134" s="29"/>
      <c r="H134" s="29"/>
      <c r="I134" s="29"/>
      <c r="J134" s="29"/>
      <c r="K134" s="29"/>
      <c r="L134" s="60"/>
    </row>
    <row r="135" spans="2:12" s="4" customFormat="1" x14ac:dyDescent="0.4"/>
    <row r="136" spans="2:12" s="4" customFormat="1" hidden="1" x14ac:dyDescent="0.4"/>
    <row r="137" spans="2:12" s="4" customFormat="1" hidden="1" x14ac:dyDescent="0.4"/>
    <row r="138" spans="2:12" s="4" customFormat="1" hidden="1" x14ac:dyDescent="0.4"/>
    <row r="139" spans="2:12" s="4" customFormat="1" hidden="1" x14ac:dyDescent="0.4"/>
    <row r="140" spans="2:12" s="4" customFormat="1" hidden="1" x14ac:dyDescent="0.4"/>
    <row r="141" spans="2:12" s="4" customFormat="1" hidden="1" x14ac:dyDescent="0.4"/>
    <row r="142" spans="2:12" s="4" customFormat="1" hidden="1" x14ac:dyDescent="0.4"/>
    <row r="143" spans="2:12" s="4" customFormat="1" hidden="1" x14ac:dyDescent="0.4"/>
    <row r="144" spans="2:12" s="4" customFormat="1" hidden="1" x14ac:dyDescent="0.4"/>
    <row r="145" spans="2:12" s="4" customFormat="1" hidden="1" x14ac:dyDescent="0.4"/>
    <row r="146" spans="2:12" s="4" customFormat="1" hidden="1" x14ac:dyDescent="0.4"/>
    <row r="147" spans="2:12" s="4" customFormat="1" hidden="1" x14ac:dyDescent="0.4"/>
    <row r="148" spans="2:12" s="4" customFormat="1" hidden="1" x14ac:dyDescent="0.4"/>
    <row r="149" spans="2:12" s="4" customFormat="1" hidden="1" x14ac:dyDescent="0.4"/>
    <row r="150" spans="2:12" s="4" customFormat="1" hidden="1" x14ac:dyDescent="0.4"/>
    <row r="151" spans="2:12" s="4" customFormat="1" hidden="1" x14ac:dyDescent="0.4"/>
    <row r="152" spans="2:12" s="4" customFormat="1" hidden="1" x14ac:dyDescent="0.4"/>
    <row r="153" spans="2:12" s="4" customFormat="1" hidden="1" x14ac:dyDescent="0.4"/>
    <row r="154" spans="2:12" s="4" customFormat="1" hidden="1" x14ac:dyDescent="0.4"/>
    <row r="155" spans="2:12" s="4" customFormat="1" hidden="1" x14ac:dyDescent="0.4"/>
    <row r="156" spans="2:12" s="4" customFormat="1" hidden="1" x14ac:dyDescent="0.4"/>
    <row r="157" spans="2:12" s="4" customFormat="1" hidden="1" x14ac:dyDescent="0.4"/>
    <row r="158" spans="2:12" s="4" customFormat="1" ht="19.2" x14ac:dyDescent="0.45">
      <c r="B158" s="754" t="str">
        <f>"Transport to Processing"&amp;" - "&amp;Feedstocks!C14</f>
        <v xml:space="preserve">Transport to Processing - </v>
      </c>
      <c r="C158" s="755"/>
      <c r="D158" s="755"/>
      <c r="E158" s="755"/>
      <c r="F158" s="755"/>
      <c r="G158" s="755"/>
      <c r="H158" s="755"/>
      <c r="I158" s="755"/>
      <c r="J158" s="755"/>
      <c r="K158" s="755"/>
      <c r="L158" s="756"/>
    </row>
    <row r="159" spans="2:12" s="4" customFormat="1" outlineLevel="1" x14ac:dyDescent="0.4">
      <c r="B159" s="17"/>
      <c r="C159" s="522"/>
      <c r="D159" s="19"/>
      <c r="E159" s="19"/>
      <c r="F159" s="19"/>
      <c r="G159" s="19"/>
      <c r="H159" s="19"/>
      <c r="I159" s="19"/>
      <c r="J159" s="19"/>
      <c r="K159" s="19"/>
      <c r="L159" s="50"/>
    </row>
    <row r="160" spans="2:12" s="4" customFormat="1" outlineLevel="1" x14ac:dyDescent="0.4">
      <c r="B160" s="20"/>
      <c r="C160" s="1"/>
      <c r="D160" s="760"/>
      <c r="E160" s="761"/>
      <c r="F160" s="762"/>
      <c r="G160" s="1"/>
      <c r="H160" s="303" t="s">
        <v>122</v>
      </c>
      <c r="I160" s="47"/>
      <c r="J160" s="47"/>
      <c r="K160" s="61"/>
      <c r="L160" s="35"/>
    </row>
    <row r="161" spans="2:12" s="4" customFormat="1" outlineLevel="1" x14ac:dyDescent="0.4">
      <c r="B161" s="20"/>
      <c r="C161" s="175" t="s">
        <v>123</v>
      </c>
      <c r="D161" s="753" t="str">
        <f>IF(Feedstocks!$H$14&gt;0,Feedstocks!$H$14,"")</f>
        <v/>
      </c>
      <c r="E161" s="753"/>
      <c r="F161" s="753"/>
      <c r="G161" s="76"/>
      <c r="H161" s="43"/>
      <c r="I161" s="36"/>
      <c r="J161" s="164" t="s">
        <v>124</v>
      </c>
      <c r="K161" s="44"/>
      <c r="L161" s="35"/>
    </row>
    <row r="162" spans="2:12" s="12" customFormat="1" ht="15" outlineLevel="1" x14ac:dyDescent="0.35">
      <c r="B162" s="20"/>
      <c r="C162" s="1"/>
      <c r="D162" s="1"/>
      <c r="E162" s="1"/>
      <c r="F162" s="1"/>
      <c r="G162" s="1"/>
      <c r="H162" s="43"/>
      <c r="I162" s="164" t="s">
        <v>125</v>
      </c>
      <c r="J162" s="52" t="str">
        <f>IFERROR(IF('Feedstock conversion'!E163="Yes",(J165/(IF(Feedstocks!I14="default",Feedstocks!J14,IF(Feedstocks!I14="actual",Feedstocks!K14,"Insert data (plant inputs)"))/Feedstocks!E14*'Feedstock conversion'!D167*'Transport 2'!F169*('Digestion &amp; outputs'!$G$19/1000)))*IF('Feedstock conversion'!E192="Yes",'Feedstock conversion'!J195,1)*'Digestion &amp; outputs'!$K$23,IF('Feedstock conversion'!E163="No",(J165/(IF(Feedstocks!I14="default",Feedstocks!J14,IF(Feedstocks!I14="actual",Feedstocks!K14,"Insert data (plant inputs)"))/Feedstocks!E14*'Transport 2'!F169*('Digestion &amp; outputs'!$G$19/1000)))*'Digestion &amp; outputs'!$K$23,"")),"")</f>
        <v/>
      </c>
      <c r="K162" s="44"/>
      <c r="L162" s="54"/>
    </row>
    <row r="163" spans="2:12" s="4" customFormat="1" outlineLevel="1" x14ac:dyDescent="0.4">
      <c r="B163" s="20"/>
      <c r="C163" s="164" t="s">
        <v>163</v>
      </c>
      <c r="D163" s="134" t="s">
        <v>164</v>
      </c>
      <c r="E163" s="1"/>
      <c r="F163" s="1"/>
      <c r="G163" s="1"/>
      <c r="H163" s="41"/>
      <c r="I163" s="34"/>
      <c r="J163" s="34"/>
      <c r="K163" s="37"/>
      <c r="L163" s="35"/>
    </row>
    <row r="164" spans="2:12" s="4" customFormat="1" outlineLevel="1" x14ac:dyDescent="0.4">
      <c r="B164" s="20"/>
      <c r="C164" s="164" t="s">
        <v>165</v>
      </c>
      <c r="D164" s="143"/>
      <c r="E164" s="1"/>
      <c r="F164" s="1"/>
      <c r="G164" s="1"/>
      <c r="H164" s="41"/>
      <c r="I164" s="36"/>
      <c r="J164" s="164" t="s">
        <v>141</v>
      </c>
      <c r="K164" s="37"/>
      <c r="L164" s="35"/>
    </row>
    <row r="165" spans="2:12" s="4" customFormat="1" outlineLevel="1" x14ac:dyDescent="0.4">
      <c r="B165" s="20"/>
      <c r="C165" s="164" t="s">
        <v>160</v>
      </c>
      <c r="D165" s="134" t="s">
        <v>166</v>
      </c>
      <c r="E165" s="1"/>
      <c r="F165" s="1"/>
      <c r="G165" s="1"/>
      <c r="H165" s="42"/>
      <c r="I165" s="164" t="s">
        <v>167</v>
      </c>
      <c r="J165" s="52">
        <f>IFERROR(J170,"Insert data")</f>
        <v>0</v>
      </c>
      <c r="K165" s="62"/>
      <c r="L165" s="35"/>
    </row>
    <row r="166" spans="2:12" s="4" customFormat="1" outlineLevel="1" x14ac:dyDescent="0.4">
      <c r="B166" s="20"/>
      <c r="C166" s="21"/>
      <c r="D166" s="21"/>
      <c r="E166" s="21"/>
      <c r="F166" s="21"/>
      <c r="G166" s="21"/>
      <c r="H166" s="46"/>
      <c r="I166" s="58"/>
      <c r="J166" s="58"/>
      <c r="K166" s="59"/>
      <c r="L166" s="35"/>
    </row>
    <row r="167" spans="2:12" s="4" customFormat="1" outlineLevel="1" x14ac:dyDescent="0.4">
      <c r="B167" s="20"/>
      <c r="C167" s="25" t="s">
        <v>168</v>
      </c>
      <c r="D167" s="21"/>
      <c r="E167" s="21"/>
      <c r="F167" s="21"/>
      <c r="G167" s="21"/>
      <c r="H167" s="21"/>
      <c r="I167" s="21"/>
      <c r="J167" s="21"/>
      <c r="K167" s="21"/>
      <c r="L167" s="35"/>
    </row>
    <row r="168" spans="2:12" s="14" customFormat="1" ht="30.6" outlineLevel="1" x14ac:dyDescent="0.4">
      <c r="B168" s="23"/>
      <c r="C168" s="166" t="s">
        <v>131</v>
      </c>
      <c r="D168" s="166" t="s">
        <v>169</v>
      </c>
      <c r="E168" s="166" t="s">
        <v>170</v>
      </c>
      <c r="F168" s="166" t="s">
        <v>171</v>
      </c>
      <c r="G168" s="24"/>
      <c r="H168" s="303" t="s">
        <v>136</v>
      </c>
      <c r="I168" s="47"/>
      <c r="J168" s="47"/>
      <c r="K168" s="45"/>
      <c r="L168" s="63"/>
    </row>
    <row r="169" spans="2:12" s="4" customFormat="1" outlineLevel="1" x14ac:dyDescent="0.4">
      <c r="B169" s="20"/>
      <c r="C169" s="138" t="s">
        <v>96</v>
      </c>
      <c r="D169" s="93">
        <v>1</v>
      </c>
      <c r="E169" s="135"/>
      <c r="F169" s="31">
        <f>IFERROR(IF(OR(C169="Default",D163="No transport required"),D169,IF(ISBLANK(E169),"Insert data",E169)),"")</f>
        <v>1</v>
      </c>
      <c r="G169" s="21"/>
      <c r="H169" s="41"/>
      <c r="I169" s="36"/>
      <c r="J169" s="164" t="s">
        <v>141</v>
      </c>
      <c r="K169" s="37"/>
      <c r="L169" s="35"/>
    </row>
    <row r="170" spans="2:12" s="4" customFormat="1" outlineLevel="1" x14ac:dyDescent="0.4">
      <c r="B170" s="20"/>
      <c r="C170" s="21"/>
      <c r="D170" s="21"/>
      <c r="E170" s="692" t="str">
        <f>IF(E169&gt;1, "value should not be above 1", "")</f>
        <v/>
      </c>
      <c r="F170" s="21"/>
      <c r="G170" s="21"/>
      <c r="H170" s="42"/>
      <c r="I170" s="164" t="s">
        <v>172</v>
      </c>
      <c r="J170" s="52">
        <f>IF(D163="No transport required",0,IFERROR(E173*INDEX(Fuel_EFs,MATCH(D165,Fuels_for_EF,0))*D164/1000,"Insert data"))</f>
        <v>0</v>
      </c>
      <c r="K170" s="62"/>
      <c r="L170" s="35"/>
    </row>
    <row r="171" spans="2:12" s="4" customFormat="1" outlineLevel="1" x14ac:dyDescent="0.4">
      <c r="B171" s="20"/>
      <c r="C171" s="25" t="s">
        <v>173</v>
      </c>
      <c r="D171" s="21"/>
      <c r="E171" s="21"/>
      <c r="F171" s="21"/>
      <c r="G171" s="21"/>
      <c r="H171" s="46"/>
      <c r="I171" s="58"/>
      <c r="J171" s="58"/>
      <c r="K171" s="59"/>
      <c r="L171" s="35"/>
    </row>
    <row r="172" spans="2:12" s="14" customFormat="1" outlineLevel="1" x14ac:dyDescent="0.4">
      <c r="B172" s="23"/>
      <c r="C172" s="176" t="s">
        <v>174</v>
      </c>
      <c r="D172" s="166" t="s">
        <v>175</v>
      </c>
      <c r="E172" s="166" t="s">
        <v>176</v>
      </c>
      <c r="F172" s="24"/>
      <c r="G172" s="24"/>
      <c r="H172" s="4"/>
      <c r="I172" s="4"/>
      <c r="J172" s="4"/>
      <c r="K172" s="4"/>
      <c r="L172" s="63"/>
    </row>
    <row r="173" spans="2:12" s="4" customFormat="1" outlineLevel="1" x14ac:dyDescent="0.4">
      <c r="B173" s="20"/>
      <c r="C173" s="138" t="s">
        <v>96</v>
      </c>
      <c r="D173" s="93">
        <f>INDEX(Transport_Fuel_Efficiencies,MATCH(D163,Transport_Modes,0))</f>
        <v>0</v>
      </c>
      <c r="E173" s="31">
        <f>IFERROR(IF(C173="Default",D173,IF(OR(ISBLANK(E175),ISBLANK(D179),ISBLANK(D183)),"Insert data",(IF(C179="litres",(D179*(INDEX(Fuel_Densities,MATCH(D165,Fuels_for_Densities,0))/1000)*INDEX(Fuel_LHV,MATCH(D165,Fuels_for_LHV,0)))/(D183*D164),(IF(C179="m3",(D179*(INDEX(Fuel_Densities,MATCH(D165,Fuels_for_Densities,0)))*INDEX(Fuel_LHV,MATCH(D165,Fuels_for_LHV,0)))/(D183*D164),IF(C179="kg",(D179*INDEX(Fuel_LHV,MATCH(D165,Fuels_for_LHV,0)))/(D183*D164),IF(C179="tonnes",(D179*INDEX(Fuel_LHV,MATCH(D165,Fuels_for_LHV,0))*1000)/(D183*D164),IF(C179="MWh",(D179*'Reference values'!$D$47)/(D183*D164),IF(C179="kWh",(D179*'Reference values'!$D$47/1000)/(D183*D164),"Insert unit")))))))))),"")</f>
        <v>0</v>
      </c>
      <c r="F173" s="21"/>
      <c r="G173" s="21"/>
      <c r="L173" s="35"/>
    </row>
    <row r="174" spans="2:12" s="4" customFormat="1" outlineLevel="1" x14ac:dyDescent="0.4">
      <c r="B174" s="20"/>
      <c r="C174" s="21"/>
      <c r="D174" s="21"/>
      <c r="E174" s="21"/>
      <c r="F174" s="21"/>
      <c r="G174" s="21"/>
      <c r="H174" s="21"/>
      <c r="I174" s="21"/>
      <c r="J174" s="21"/>
      <c r="K174" s="21"/>
      <c r="L174" s="35"/>
    </row>
    <row r="175" spans="2:12" s="4" customFormat="1" ht="16.5" customHeight="1" outlineLevel="1" x14ac:dyDescent="0.4">
      <c r="B175" s="20"/>
      <c r="C175" s="759" t="s">
        <v>177</v>
      </c>
      <c r="D175" s="759"/>
      <c r="E175" s="135" t="s">
        <v>178</v>
      </c>
      <c r="F175" s="21"/>
      <c r="G175" s="21"/>
      <c r="L175" s="35"/>
    </row>
    <row r="176" spans="2:12" s="4" customFormat="1" ht="12.75" customHeight="1" outlineLevel="1" x14ac:dyDescent="0.4">
      <c r="B176" s="20"/>
      <c r="C176" s="21"/>
      <c r="D176" s="21"/>
      <c r="E176" s="21"/>
      <c r="F176" s="21"/>
      <c r="G176" s="21"/>
      <c r="L176" s="35"/>
    </row>
    <row r="177" spans="2:12" s="4" customFormat="1" outlineLevel="1" x14ac:dyDescent="0.4">
      <c r="B177" s="20"/>
      <c r="C177" s="25" t="str">
        <f>IF(E175="yes", "Fuel demand for outward journey",IF(E175="No","Fuel demand for full journey (outward and return)",""))</f>
        <v>Fuel demand for full journey (outward and return)</v>
      </c>
      <c r="D177" s="21"/>
      <c r="E177" s="21"/>
      <c r="F177" s="21"/>
      <c r="G177" s="21"/>
      <c r="H177" s="21"/>
      <c r="I177" s="21"/>
      <c r="J177" s="21"/>
      <c r="K177" s="21"/>
      <c r="L177" s="35"/>
    </row>
    <row r="178" spans="2:12" s="4" customFormat="1" outlineLevel="1" x14ac:dyDescent="0.4">
      <c r="B178" s="20"/>
      <c r="C178" s="164" t="s">
        <v>151</v>
      </c>
      <c r="D178" s="164" t="s">
        <v>140</v>
      </c>
      <c r="E178" s="21"/>
      <c r="F178" s="21"/>
      <c r="G178" s="21"/>
      <c r="H178" s="21"/>
      <c r="I178" s="21"/>
      <c r="J178" s="21"/>
      <c r="K178" s="21"/>
      <c r="L178" s="35"/>
    </row>
    <row r="179" spans="2:12" s="4" customFormat="1" outlineLevel="1" x14ac:dyDescent="0.4">
      <c r="B179" s="20"/>
      <c r="C179" s="138"/>
      <c r="D179" s="135"/>
      <c r="E179" s="21"/>
      <c r="F179" s="21"/>
      <c r="G179" s="21"/>
      <c r="H179" s="21"/>
      <c r="I179" s="21"/>
      <c r="J179" s="21"/>
      <c r="K179" s="21"/>
      <c r="L179" s="35"/>
    </row>
    <row r="180" spans="2:12" s="4" customFormat="1" outlineLevel="1" x14ac:dyDescent="0.4">
      <c r="B180" s="20"/>
      <c r="C180" s="21"/>
      <c r="D180" s="21"/>
      <c r="E180" s="21"/>
      <c r="F180" s="21"/>
      <c r="G180" s="21"/>
      <c r="H180" s="21"/>
      <c r="I180" s="21"/>
      <c r="J180" s="21"/>
      <c r="K180" s="21"/>
      <c r="L180" s="35"/>
    </row>
    <row r="181" spans="2:12" s="4" customFormat="1" outlineLevel="1" x14ac:dyDescent="0.4">
      <c r="B181" s="20"/>
      <c r="C181" s="25" t="s">
        <v>180</v>
      </c>
      <c r="D181" s="21"/>
      <c r="E181" s="21"/>
      <c r="F181" s="21"/>
      <c r="G181" s="21"/>
      <c r="H181" s="21"/>
      <c r="I181" s="21"/>
      <c r="J181" s="21"/>
      <c r="K181" s="21"/>
      <c r="L181" s="35"/>
    </row>
    <row r="182" spans="2:12" s="4" customFormat="1" outlineLevel="1" x14ac:dyDescent="0.4">
      <c r="B182" s="20"/>
      <c r="C182" s="164" t="s">
        <v>151</v>
      </c>
      <c r="D182" s="164" t="s">
        <v>140</v>
      </c>
      <c r="E182" s="21"/>
      <c r="F182" s="21"/>
      <c r="G182" s="21"/>
      <c r="H182" s="21"/>
      <c r="I182" s="21"/>
      <c r="J182" s="21"/>
      <c r="K182" s="21"/>
      <c r="L182" s="35"/>
    </row>
    <row r="183" spans="2:12" s="4" customFormat="1" outlineLevel="1" x14ac:dyDescent="0.4">
      <c r="B183" s="20"/>
      <c r="C183" s="138"/>
      <c r="D183" s="135"/>
      <c r="E183" s="21"/>
      <c r="F183" s="21"/>
      <c r="G183" s="21"/>
      <c r="H183" s="21"/>
      <c r="I183" s="21"/>
      <c r="J183" s="21"/>
      <c r="K183" s="21"/>
      <c r="L183" s="35"/>
    </row>
    <row r="184" spans="2:12" s="4" customFormat="1" ht="12.75" customHeight="1" outlineLevel="1" x14ac:dyDescent="0.4">
      <c r="B184" s="28"/>
      <c r="C184" s="29"/>
      <c r="D184" s="29"/>
      <c r="E184" s="29"/>
      <c r="F184" s="29"/>
      <c r="G184" s="29"/>
      <c r="H184" s="29"/>
      <c r="I184" s="29"/>
      <c r="J184" s="29"/>
      <c r="K184" s="29"/>
      <c r="L184" s="60"/>
    </row>
    <row r="185" spans="2:12" s="4" customFormat="1" x14ac:dyDescent="0.4"/>
    <row r="186" spans="2:12" s="4" customFormat="1" hidden="1" x14ac:dyDescent="0.4"/>
    <row r="187" spans="2:12" s="4" customFormat="1" hidden="1" x14ac:dyDescent="0.4"/>
    <row r="188" spans="2:12" s="4" customFormat="1" hidden="1" x14ac:dyDescent="0.4"/>
    <row r="189" spans="2:12" s="4" customFormat="1" hidden="1" x14ac:dyDescent="0.4"/>
    <row r="190" spans="2:12" s="4" customFormat="1" hidden="1" x14ac:dyDescent="0.4"/>
    <row r="191" spans="2:12" s="4" customFormat="1" hidden="1" x14ac:dyDescent="0.4"/>
    <row r="192" spans="2:12" s="4" customFormat="1" hidden="1" x14ac:dyDescent="0.4"/>
    <row r="193" spans="2:12" s="4" customFormat="1" hidden="1" x14ac:dyDescent="0.4"/>
    <row r="194" spans="2:12" s="4" customFormat="1" hidden="1" x14ac:dyDescent="0.4"/>
    <row r="195" spans="2:12" s="4" customFormat="1" hidden="1" x14ac:dyDescent="0.4"/>
    <row r="196" spans="2:12" s="4" customFormat="1" hidden="1" x14ac:dyDescent="0.4"/>
    <row r="197" spans="2:12" s="4" customFormat="1" hidden="1" x14ac:dyDescent="0.4"/>
    <row r="198" spans="2:12" s="4" customFormat="1" hidden="1" x14ac:dyDescent="0.4"/>
    <row r="199" spans="2:12" s="4" customFormat="1" hidden="1" x14ac:dyDescent="0.4"/>
    <row r="200" spans="2:12" s="4" customFormat="1" hidden="1" x14ac:dyDescent="0.4"/>
    <row r="201" spans="2:12" s="4" customFormat="1" hidden="1" x14ac:dyDescent="0.4"/>
    <row r="202" spans="2:12" s="4" customFormat="1" hidden="1" x14ac:dyDescent="0.4"/>
    <row r="203" spans="2:12" s="4" customFormat="1" hidden="1" x14ac:dyDescent="0.4"/>
    <row r="204" spans="2:12" s="4" customFormat="1" hidden="1" x14ac:dyDescent="0.4"/>
    <row r="205" spans="2:12" s="4" customFormat="1" hidden="1" x14ac:dyDescent="0.4"/>
    <row r="206" spans="2:12" s="4" customFormat="1" hidden="1" x14ac:dyDescent="0.4"/>
    <row r="207" spans="2:12" s="4" customFormat="1" hidden="1" x14ac:dyDescent="0.4"/>
    <row r="208" spans="2:12" s="4" customFormat="1" ht="19.2" x14ac:dyDescent="0.45">
      <c r="B208" s="754" t="str">
        <f>"Transport to Processing"&amp;" - "&amp;Feedstocks!C15</f>
        <v xml:space="preserve">Transport to Processing - </v>
      </c>
      <c r="C208" s="755"/>
      <c r="D208" s="755"/>
      <c r="E208" s="755"/>
      <c r="F208" s="755"/>
      <c r="G208" s="755"/>
      <c r="H208" s="755"/>
      <c r="I208" s="755"/>
      <c r="J208" s="755"/>
      <c r="K208" s="755"/>
      <c r="L208" s="756"/>
    </row>
    <row r="209" spans="2:12" s="4" customFormat="1" outlineLevel="1" x14ac:dyDescent="0.4">
      <c r="B209" s="17"/>
      <c r="C209" s="19"/>
      <c r="D209" s="19"/>
      <c r="E209" s="19"/>
      <c r="F209" s="19"/>
      <c r="G209" s="19"/>
      <c r="H209" s="19"/>
      <c r="I209" s="19"/>
      <c r="J209" s="19"/>
      <c r="K209" s="19"/>
      <c r="L209" s="50"/>
    </row>
    <row r="210" spans="2:12" s="4" customFormat="1" outlineLevel="1" x14ac:dyDescent="0.4">
      <c r="B210" s="20"/>
      <c r="C210" s="1"/>
      <c r="D210" s="760"/>
      <c r="E210" s="761"/>
      <c r="F210" s="762"/>
      <c r="G210" s="1"/>
      <c r="H210" s="303" t="s">
        <v>122</v>
      </c>
      <c r="I210" s="47"/>
      <c r="J210" s="47"/>
      <c r="K210" s="61"/>
      <c r="L210" s="35"/>
    </row>
    <row r="211" spans="2:12" s="4" customFormat="1" outlineLevel="1" x14ac:dyDescent="0.4">
      <c r="B211" s="20"/>
      <c r="C211" s="175" t="s">
        <v>123</v>
      </c>
      <c r="D211" s="753" t="str">
        <f>IF(Feedstocks!$H$15&gt;0,Feedstocks!$H$15,"")</f>
        <v/>
      </c>
      <c r="E211" s="753"/>
      <c r="F211" s="753"/>
      <c r="G211" s="76"/>
      <c r="H211" s="43"/>
      <c r="I211" s="36"/>
      <c r="J211" s="164" t="s">
        <v>124</v>
      </c>
      <c r="K211" s="44"/>
      <c r="L211" s="35"/>
    </row>
    <row r="212" spans="2:12" s="12" customFormat="1" ht="15" outlineLevel="1" x14ac:dyDescent="0.35">
      <c r="B212" s="20"/>
      <c r="C212" s="1"/>
      <c r="D212" s="1"/>
      <c r="E212" s="1"/>
      <c r="F212" s="1"/>
      <c r="G212" s="1"/>
      <c r="H212" s="43"/>
      <c r="I212" s="164" t="s">
        <v>125</v>
      </c>
      <c r="J212" s="52" t="str">
        <f>IFERROR(IF('Feedstock conversion'!E213="Yes",(J215/(IF(Feedstocks!I15="default",Feedstocks!J15,IF(Feedstocks!I15="actual",Feedstocks!K15,"Insert data (plant inputs)"))/Feedstocks!E15*'Feedstock conversion'!D217*'Transport 2'!F219*('Digestion &amp; outputs'!$G$20/1000)))*IF('Feedstock conversion'!E242="Yes",'Feedstock conversion'!J245,1)*'Digestion &amp; outputs'!$K$23,IF('Feedstock conversion'!E213="No",(J215/(IF(Feedstocks!I15="default",Feedstocks!J15,IF(Feedstocks!I15="actual",Feedstocks!K15,"Insert data (plant inputs)"))/Feedstocks!E15*'Transport 2'!F219*('Digestion &amp; outputs'!$G$20/1000)))*'Digestion &amp; outputs'!$K$23,"")),"")</f>
        <v/>
      </c>
      <c r="K212" s="44"/>
      <c r="L212" s="54"/>
    </row>
    <row r="213" spans="2:12" s="4" customFormat="1" outlineLevel="1" x14ac:dyDescent="0.4">
      <c r="B213" s="20"/>
      <c r="C213" s="164" t="s">
        <v>163</v>
      </c>
      <c r="D213" s="134" t="s">
        <v>164</v>
      </c>
      <c r="E213" s="1"/>
      <c r="F213" s="1"/>
      <c r="G213" s="1"/>
      <c r="H213" s="41"/>
      <c r="I213" s="34"/>
      <c r="J213" s="34"/>
      <c r="K213" s="37"/>
      <c r="L213" s="35"/>
    </row>
    <row r="214" spans="2:12" s="4" customFormat="1" outlineLevel="1" x14ac:dyDescent="0.4">
      <c r="B214" s="20"/>
      <c r="C214" s="164" t="s">
        <v>165</v>
      </c>
      <c r="D214" s="143"/>
      <c r="E214" s="1"/>
      <c r="F214" s="1"/>
      <c r="G214" s="1"/>
      <c r="H214" s="41"/>
      <c r="I214" s="36"/>
      <c r="J214" s="164" t="s">
        <v>141</v>
      </c>
      <c r="K214" s="37"/>
      <c r="L214" s="35"/>
    </row>
    <row r="215" spans="2:12" s="4" customFormat="1" outlineLevel="1" x14ac:dyDescent="0.4">
      <c r="B215" s="20"/>
      <c r="C215" s="164" t="s">
        <v>160</v>
      </c>
      <c r="D215" s="134" t="s">
        <v>166</v>
      </c>
      <c r="E215" s="1"/>
      <c r="F215" s="1"/>
      <c r="G215" s="1"/>
      <c r="H215" s="42"/>
      <c r="I215" s="164" t="s">
        <v>167</v>
      </c>
      <c r="J215" s="52">
        <f>IFERROR(J220,"Insert data")</f>
        <v>0</v>
      </c>
      <c r="K215" s="62"/>
      <c r="L215" s="35"/>
    </row>
    <row r="216" spans="2:12" s="4" customFormat="1" outlineLevel="1" x14ac:dyDescent="0.4">
      <c r="B216" s="20"/>
      <c r="C216" s="21"/>
      <c r="D216" s="21"/>
      <c r="E216" s="21"/>
      <c r="F216" s="21"/>
      <c r="G216" s="21"/>
      <c r="H216" s="46"/>
      <c r="I216" s="58"/>
      <c r="J216" s="58"/>
      <c r="K216" s="59"/>
      <c r="L216" s="35"/>
    </row>
    <row r="217" spans="2:12" s="4" customFormat="1" outlineLevel="1" x14ac:dyDescent="0.4">
      <c r="B217" s="20"/>
      <c r="C217" s="25" t="s">
        <v>168</v>
      </c>
      <c r="D217" s="21"/>
      <c r="E217" s="21"/>
      <c r="F217" s="21"/>
      <c r="G217" s="21"/>
      <c r="H217" s="21"/>
      <c r="I217" s="21"/>
      <c r="J217" s="21"/>
      <c r="K217" s="21"/>
      <c r="L217" s="35"/>
    </row>
    <row r="218" spans="2:12" s="14" customFormat="1" ht="30.6" outlineLevel="1" x14ac:dyDescent="0.4">
      <c r="B218" s="23"/>
      <c r="C218" s="166" t="s">
        <v>131</v>
      </c>
      <c r="D218" s="166" t="s">
        <v>169</v>
      </c>
      <c r="E218" s="166" t="s">
        <v>170</v>
      </c>
      <c r="F218" s="166" t="s">
        <v>171</v>
      </c>
      <c r="G218" s="24"/>
      <c r="H218" s="303" t="s">
        <v>136</v>
      </c>
      <c r="I218" s="47"/>
      <c r="J218" s="47"/>
      <c r="K218" s="45"/>
      <c r="L218" s="63"/>
    </row>
    <row r="219" spans="2:12" s="4" customFormat="1" outlineLevel="1" x14ac:dyDescent="0.4">
      <c r="B219" s="20"/>
      <c r="C219" s="138" t="s">
        <v>96</v>
      </c>
      <c r="D219" s="93">
        <v>1</v>
      </c>
      <c r="E219" s="135"/>
      <c r="F219" s="31">
        <f>IFERROR(IF(OR(C219="Default",D213="No transport required"),D219,IF(ISBLANK(E219),"Insert data",E219)),"")</f>
        <v>1</v>
      </c>
      <c r="G219" s="21"/>
      <c r="H219" s="41"/>
      <c r="I219" s="36"/>
      <c r="J219" s="164" t="s">
        <v>141</v>
      </c>
      <c r="K219" s="37"/>
      <c r="L219" s="35"/>
    </row>
    <row r="220" spans="2:12" s="4" customFormat="1" outlineLevel="1" x14ac:dyDescent="0.4">
      <c r="B220" s="20"/>
      <c r="C220" s="21"/>
      <c r="D220" s="21"/>
      <c r="E220" s="692" t="str">
        <f>IF(E219&gt;1, "value should not be above 1", "")</f>
        <v/>
      </c>
      <c r="F220" s="21"/>
      <c r="G220" s="21"/>
      <c r="H220" s="42"/>
      <c r="I220" s="164" t="s">
        <v>172</v>
      </c>
      <c r="J220" s="52">
        <f>IF(D213="No transport required",0,IFERROR(E223*INDEX(Fuel_EFs,MATCH(D215,Fuels_for_EF,0))*D214/1000,"Insert data"))</f>
        <v>0</v>
      </c>
      <c r="K220" s="62"/>
      <c r="L220" s="35"/>
    </row>
    <row r="221" spans="2:12" s="4" customFormat="1" outlineLevel="1" x14ac:dyDescent="0.4">
      <c r="B221" s="20"/>
      <c r="C221" s="25" t="s">
        <v>173</v>
      </c>
      <c r="D221" s="21"/>
      <c r="E221" s="21"/>
      <c r="F221" s="21"/>
      <c r="G221" s="21"/>
      <c r="H221" s="46"/>
      <c r="I221" s="58"/>
      <c r="J221" s="58"/>
      <c r="K221" s="59"/>
      <c r="L221" s="35"/>
    </row>
    <row r="222" spans="2:12" s="14" customFormat="1" outlineLevel="1" x14ac:dyDescent="0.4">
      <c r="B222" s="23"/>
      <c r="C222" s="176" t="s">
        <v>174</v>
      </c>
      <c r="D222" s="166" t="s">
        <v>175</v>
      </c>
      <c r="E222" s="166" t="s">
        <v>176</v>
      </c>
      <c r="F222" s="24"/>
      <c r="G222" s="24"/>
      <c r="H222" s="4"/>
      <c r="I222" s="4"/>
      <c r="J222" s="4"/>
      <c r="K222" s="4"/>
      <c r="L222" s="63"/>
    </row>
    <row r="223" spans="2:12" s="4" customFormat="1" outlineLevel="1" x14ac:dyDescent="0.4">
      <c r="B223" s="20"/>
      <c r="C223" s="138" t="s">
        <v>96</v>
      </c>
      <c r="D223" s="93">
        <f>INDEX(Transport_Fuel_Efficiencies,MATCH(D213,Transport_Modes,0))</f>
        <v>0</v>
      </c>
      <c r="E223" s="31">
        <f>IFERROR(IF(C223="Default",D223,IF(OR(ISBLANK(E225),ISBLANK(D229),ISBLANK(D233)),"Insert data",(IF(C229="litres",(D229*(INDEX(Fuel_Densities,MATCH(D215,Fuels_for_Densities,0))/1000)*INDEX(Fuel_LHV,MATCH(D215,Fuels_for_LHV,0)))/(D233*D214),(IF(C229="m3",(D229*(INDEX(Fuel_Densities,MATCH(D215,Fuels_for_Densities,0)))*INDEX(Fuel_LHV,MATCH(D215,Fuels_for_LHV,0)))/(D233*D214),IF(C229="kg",(D229*INDEX(Fuel_LHV,MATCH(D215,Fuels_for_LHV,0)))/(D233*D214),IF(C229="tonnes",(D229*INDEX(Fuel_LHV,MATCH(D215,Fuels_for_LHV,0))*1000)/(D233*D214),IF(C229="MWh",(D229*'Reference values'!$D$47)/(D233*D214),IF(C229="kWh",(D229*'Reference values'!$D$47/1000)/(D233*D214),"Insert unit")))))))))),"")</f>
        <v>0</v>
      </c>
      <c r="F223" s="21"/>
      <c r="G223" s="21"/>
      <c r="L223" s="35"/>
    </row>
    <row r="224" spans="2:12" s="4" customFormat="1" outlineLevel="1" x14ac:dyDescent="0.4">
      <c r="B224" s="20"/>
      <c r="C224" s="21"/>
      <c r="D224" s="21"/>
      <c r="E224" s="21"/>
      <c r="F224" s="21"/>
      <c r="G224" s="21"/>
      <c r="H224" s="21"/>
      <c r="I224" s="21"/>
      <c r="J224" s="21"/>
      <c r="K224" s="21"/>
      <c r="L224" s="35"/>
    </row>
    <row r="225" spans="2:12" s="4" customFormat="1" ht="16.5" customHeight="1" outlineLevel="1" x14ac:dyDescent="0.4">
      <c r="B225" s="20"/>
      <c r="C225" s="759" t="s">
        <v>177</v>
      </c>
      <c r="D225" s="759"/>
      <c r="E225" s="135" t="s">
        <v>178</v>
      </c>
      <c r="F225" s="21"/>
      <c r="G225" s="21"/>
      <c r="H225" s="21"/>
      <c r="I225" s="21"/>
      <c r="J225" s="21"/>
      <c r="K225" s="21"/>
      <c r="L225" s="35"/>
    </row>
    <row r="226" spans="2:12" s="4" customFormat="1" ht="12.75" customHeight="1" outlineLevel="1" x14ac:dyDescent="0.4">
      <c r="B226" s="20"/>
      <c r="C226" s="21"/>
      <c r="D226" s="21"/>
      <c r="E226" s="21"/>
      <c r="F226" s="21"/>
      <c r="G226" s="21"/>
      <c r="L226" s="35"/>
    </row>
    <row r="227" spans="2:12" s="4" customFormat="1" outlineLevel="1" x14ac:dyDescent="0.4">
      <c r="B227" s="20"/>
      <c r="C227" s="25" t="str">
        <f>IF(E225="yes", "Fuel demand for outward journey",IF(E225="No","Fuel demand for full journey (outward and return)",""))</f>
        <v>Fuel demand for full journey (outward and return)</v>
      </c>
      <c r="D227" s="21"/>
      <c r="E227" s="21"/>
      <c r="F227" s="21"/>
      <c r="G227" s="21"/>
      <c r="H227" s="21"/>
      <c r="I227" s="21"/>
      <c r="J227" s="21"/>
      <c r="K227" s="21"/>
      <c r="L227" s="35"/>
    </row>
    <row r="228" spans="2:12" s="4" customFormat="1" outlineLevel="1" x14ac:dyDescent="0.4">
      <c r="B228" s="20"/>
      <c r="C228" s="164" t="s">
        <v>151</v>
      </c>
      <c r="D228" s="164" t="s">
        <v>140</v>
      </c>
      <c r="E228" s="21"/>
      <c r="F228" s="21"/>
      <c r="G228" s="21"/>
      <c r="H228" s="21"/>
      <c r="I228" s="21"/>
      <c r="J228" s="21"/>
      <c r="K228" s="21"/>
      <c r="L228" s="35"/>
    </row>
    <row r="229" spans="2:12" s="4" customFormat="1" outlineLevel="1" x14ac:dyDescent="0.4">
      <c r="B229" s="20"/>
      <c r="C229" s="138"/>
      <c r="D229" s="135"/>
      <c r="E229" s="21"/>
      <c r="F229" s="21"/>
      <c r="G229" s="21"/>
      <c r="H229" s="21"/>
      <c r="I229" s="21"/>
      <c r="J229" s="21"/>
      <c r="K229" s="21"/>
      <c r="L229" s="35"/>
    </row>
    <row r="230" spans="2:12" s="4" customFormat="1" outlineLevel="1" x14ac:dyDescent="0.4">
      <c r="B230" s="20"/>
      <c r="C230" s="21"/>
      <c r="D230" s="21"/>
      <c r="E230" s="21"/>
      <c r="F230" s="21"/>
      <c r="G230" s="21"/>
      <c r="H230" s="21"/>
      <c r="I230" s="21"/>
      <c r="J230" s="21"/>
      <c r="K230" s="21"/>
      <c r="L230" s="35"/>
    </row>
    <row r="231" spans="2:12" s="4" customFormat="1" outlineLevel="1" x14ac:dyDescent="0.4">
      <c r="B231" s="20"/>
      <c r="C231" s="25" t="s">
        <v>180</v>
      </c>
      <c r="D231" s="21"/>
      <c r="E231" s="21"/>
      <c r="F231" s="21"/>
      <c r="G231" s="21"/>
      <c r="H231" s="21"/>
      <c r="I231" s="21"/>
      <c r="J231" s="21"/>
      <c r="K231" s="21"/>
      <c r="L231" s="35"/>
    </row>
    <row r="232" spans="2:12" s="4" customFormat="1" outlineLevel="1" x14ac:dyDescent="0.4">
      <c r="B232" s="20"/>
      <c r="C232" s="164" t="s">
        <v>151</v>
      </c>
      <c r="D232" s="164" t="s">
        <v>140</v>
      </c>
      <c r="E232" s="21"/>
      <c r="F232" s="21"/>
      <c r="G232" s="21"/>
      <c r="H232" s="21"/>
      <c r="I232" s="21"/>
      <c r="J232" s="21"/>
      <c r="K232" s="21"/>
      <c r="L232" s="35"/>
    </row>
    <row r="233" spans="2:12" s="4" customFormat="1" outlineLevel="1" x14ac:dyDescent="0.4">
      <c r="B233" s="20"/>
      <c r="C233" s="138"/>
      <c r="D233" s="135"/>
      <c r="E233" s="21"/>
      <c r="F233" s="21"/>
      <c r="G233" s="21"/>
      <c r="H233" s="21"/>
      <c r="I233" s="21"/>
      <c r="J233" s="21"/>
      <c r="K233" s="21"/>
      <c r="L233" s="35"/>
    </row>
    <row r="234" spans="2:12" s="4" customFormat="1" ht="12.75" customHeight="1" outlineLevel="1" x14ac:dyDescent="0.4">
      <c r="B234" s="28"/>
      <c r="C234" s="29"/>
      <c r="D234" s="29"/>
      <c r="E234" s="29"/>
      <c r="F234" s="29"/>
      <c r="G234" s="29"/>
      <c r="H234" s="29"/>
      <c r="I234" s="29"/>
      <c r="J234" s="29"/>
      <c r="K234" s="29"/>
      <c r="L234" s="60"/>
    </row>
    <row r="235" spans="2:12" s="4" customFormat="1" x14ac:dyDescent="0.4"/>
    <row r="236" spans="2:12" s="4" customFormat="1" hidden="1" x14ac:dyDescent="0.4"/>
    <row r="237" spans="2:12" s="4" customFormat="1" hidden="1" x14ac:dyDescent="0.4"/>
    <row r="238" spans="2:12" s="4" customFormat="1" hidden="1" x14ac:dyDescent="0.4"/>
    <row r="239" spans="2:12" s="4" customFormat="1" hidden="1" x14ac:dyDescent="0.4"/>
    <row r="240" spans="2:12" s="4" customFormat="1" hidden="1" x14ac:dyDescent="0.4"/>
    <row r="241" s="4" customFormat="1" hidden="1" x14ac:dyDescent="0.4"/>
    <row r="242" s="4" customFormat="1" hidden="1" x14ac:dyDescent="0.4"/>
    <row r="243" s="4" customFormat="1" hidden="1" x14ac:dyDescent="0.4"/>
    <row r="244" s="4" customFormat="1" hidden="1" x14ac:dyDescent="0.4"/>
    <row r="245" s="4" customFormat="1" hidden="1" x14ac:dyDescent="0.4"/>
    <row r="246" s="4" customFormat="1" hidden="1" x14ac:dyDescent="0.4"/>
    <row r="247" s="4" customFormat="1" hidden="1" x14ac:dyDescent="0.4"/>
    <row r="248" s="4" customFormat="1" hidden="1" x14ac:dyDescent="0.4"/>
    <row r="249" s="4" customFormat="1" hidden="1" x14ac:dyDescent="0.4"/>
    <row r="250" s="4" customFormat="1" hidden="1" x14ac:dyDescent="0.4"/>
    <row r="251" s="4" customFormat="1" hidden="1" x14ac:dyDescent="0.4"/>
    <row r="252" s="4" customFormat="1" hidden="1" x14ac:dyDescent="0.4"/>
    <row r="253" s="4" customFormat="1" hidden="1" x14ac:dyDescent="0.4"/>
    <row r="254" s="4" customFormat="1" hidden="1" x14ac:dyDescent="0.4"/>
    <row r="255" s="4" customFormat="1" hidden="1" x14ac:dyDescent="0.4"/>
    <row r="256" s="4" customFormat="1" hidden="1" x14ac:dyDescent="0.4"/>
    <row r="257" spans="2:12" s="4" customFormat="1" hidden="1" x14ac:dyDescent="0.4"/>
    <row r="258" spans="2:12" s="4" customFormat="1" ht="19.2" x14ac:dyDescent="0.45">
      <c r="B258" s="754" t="str">
        <f>"Transport to Processing"&amp;" - "&amp;Feedstocks!C16</f>
        <v xml:space="preserve">Transport to Processing - </v>
      </c>
      <c r="C258" s="755"/>
      <c r="D258" s="755"/>
      <c r="E258" s="755"/>
      <c r="F258" s="755"/>
      <c r="G258" s="755"/>
      <c r="H258" s="755"/>
      <c r="I258" s="755"/>
      <c r="J258" s="755"/>
      <c r="K258" s="755"/>
      <c r="L258" s="756"/>
    </row>
    <row r="259" spans="2:12" s="4" customFormat="1" outlineLevel="1" x14ac:dyDescent="0.4">
      <c r="B259" s="17"/>
      <c r="C259" s="522"/>
      <c r="D259" s="19"/>
      <c r="E259" s="19"/>
      <c r="F259" s="19"/>
      <c r="G259" s="19"/>
      <c r="H259" s="19"/>
      <c r="I259" s="19"/>
      <c r="J259" s="19"/>
      <c r="K259" s="19"/>
      <c r="L259" s="50"/>
    </row>
    <row r="260" spans="2:12" s="4" customFormat="1" outlineLevel="1" x14ac:dyDescent="0.4">
      <c r="B260" s="20"/>
      <c r="C260" s="1"/>
      <c r="D260" s="760"/>
      <c r="E260" s="761"/>
      <c r="F260" s="762"/>
      <c r="G260" s="1"/>
      <c r="H260" s="303" t="s">
        <v>122</v>
      </c>
      <c r="I260" s="47"/>
      <c r="J260" s="47"/>
      <c r="K260" s="61"/>
      <c r="L260" s="35"/>
    </row>
    <row r="261" spans="2:12" s="4" customFormat="1" outlineLevel="1" x14ac:dyDescent="0.4">
      <c r="B261" s="20"/>
      <c r="C261" s="175" t="s">
        <v>123</v>
      </c>
      <c r="D261" s="753" t="str">
        <f>IF(Feedstocks!$H$16&gt;0,Feedstocks!$H$16,"")</f>
        <v/>
      </c>
      <c r="E261" s="753"/>
      <c r="F261" s="753"/>
      <c r="G261" s="76"/>
      <c r="H261" s="43"/>
      <c r="I261" s="36"/>
      <c r="J261" s="164" t="s">
        <v>124</v>
      </c>
      <c r="K261" s="44"/>
      <c r="L261" s="35"/>
    </row>
    <row r="262" spans="2:12" s="12" customFormat="1" ht="15" outlineLevel="1" x14ac:dyDescent="0.35">
      <c r="B262" s="20"/>
      <c r="C262" s="1"/>
      <c r="D262" s="1"/>
      <c r="E262" s="1"/>
      <c r="F262" s="1"/>
      <c r="G262" s="1"/>
      <c r="H262" s="43"/>
      <c r="I262" s="164" t="s">
        <v>125</v>
      </c>
      <c r="J262" s="52" t="str">
        <f>IFERROR(IF('Feedstock conversion'!E263="Yes",(J265/(IF(Feedstocks!I16="default",Feedstocks!J16,IF(Feedstocks!I16="actual",Feedstocks!K16,"Insert data (plant inputs)"))/Feedstocks!E16*'Feedstock conversion'!D267*'Transport 2'!F269*('Digestion &amp; outputs'!$G$21/1000)))*IF('Feedstock conversion'!E292="Yes",'Feedstock conversion'!J295,1)*'Digestion &amp; outputs'!$K$23,IF('Feedstock conversion'!E263="No",(J265/(IF(Feedstocks!I16="default",Feedstocks!J16,IF(Feedstocks!I16="actual",Feedstocks!K16,"Insert data (plant inputs)"))/Feedstocks!E16*'Transport 2'!F269*('Digestion &amp; outputs'!$G$21/1000)))*'Digestion &amp; outputs'!$K$23,"")),"")</f>
        <v/>
      </c>
      <c r="K262" s="44"/>
      <c r="L262" s="54"/>
    </row>
    <row r="263" spans="2:12" s="4" customFormat="1" outlineLevel="1" x14ac:dyDescent="0.4">
      <c r="B263" s="20"/>
      <c r="C263" s="164" t="s">
        <v>163</v>
      </c>
      <c r="D263" s="134" t="s">
        <v>164</v>
      </c>
      <c r="E263" s="1"/>
      <c r="F263" s="1"/>
      <c r="G263" s="1"/>
      <c r="H263" s="41"/>
      <c r="I263" s="34"/>
      <c r="J263" s="34"/>
      <c r="K263" s="37"/>
      <c r="L263" s="35"/>
    </row>
    <row r="264" spans="2:12" s="4" customFormat="1" outlineLevel="1" x14ac:dyDescent="0.4">
      <c r="B264" s="20"/>
      <c r="C264" s="164" t="s">
        <v>165</v>
      </c>
      <c r="D264" s="143"/>
      <c r="E264" s="1"/>
      <c r="F264" s="1"/>
      <c r="G264" s="1"/>
      <c r="H264" s="41"/>
      <c r="I264" s="36"/>
      <c r="J264" s="164" t="s">
        <v>141</v>
      </c>
      <c r="K264" s="37"/>
      <c r="L264" s="35"/>
    </row>
    <row r="265" spans="2:12" s="4" customFormat="1" outlineLevel="1" x14ac:dyDescent="0.4">
      <c r="B265" s="20"/>
      <c r="C265" s="164" t="s">
        <v>160</v>
      </c>
      <c r="D265" s="134"/>
      <c r="E265" s="1"/>
      <c r="F265" s="1"/>
      <c r="G265" s="1"/>
      <c r="H265" s="42"/>
      <c r="I265" s="164" t="s">
        <v>167</v>
      </c>
      <c r="J265" s="52">
        <f>IFERROR(J270,"Insert data")</f>
        <v>0</v>
      </c>
      <c r="K265" s="62"/>
      <c r="L265" s="35"/>
    </row>
    <row r="266" spans="2:12" s="4" customFormat="1" outlineLevel="1" x14ac:dyDescent="0.4">
      <c r="B266" s="20"/>
      <c r="C266" s="21"/>
      <c r="D266" s="21"/>
      <c r="E266" s="21"/>
      <c r="F266" s="21"/>
      <c r="G266" s="21"/>
      <c r="H266" s="46"/>
      <c r="I266" s="58"/>
      <c r="J266" s="58"/>
      <c r="K266" s="59"/>
      <c r="L266" s="35"/>
    </row>
    <row r="267" spans="2:12" s="4" customFormat="1" outlineLevel="1" x14ac:dyDescent="0.4">
      <c r="B267" s="20"/>
      <c r="C267" s="25" t="s">
        <v>168</v>
      </c>
      <c r="D267" s="21"/>
      <c r="E267" s="21"/>
      <c r="F267" s="21"/>
      <c r="G267" s="21"/>
      <c r="H267" s="21"/>
      <c r="I267" s="21"/>
      <c r="J267" s="21"/>
      <c r="K267" s="21"/>
      <c r="L267" s="35"/>
    </row>
    <row r="268" spans="2:12" s="14" customFormat="1" ht="30.6" outlineLevel="1" x14ac:dyDescent="0.4">
      <c r="B268" s="23"/>
      <c r="C268" s="166" t="s">
        <v>131</v>
      </c>
      <c r="D268" s="166" t="s">
        <v>169</v>
      </c>
      <c r="E268" s="166" t="s">
        <v>170</v>
      </c>
      <c r="F268" s="166" t="s">
        <v>171</v>
      </c>
      <c r="G268" s="24"/>
      <c r="H268" s="303" t="s">
        <v>136</v>
      </c>
      <c r="I268" s="47"/>
      <c r="J268" s="47"/>
      <c r="K268" s="45"/>
      <c r="L268" s="63"/>
    </row>
    <row r="269" spans="2:12" s="4" customFormat="1" outlineLevel="1" x14ac:dyDescent="0.4">
      <c r="B269" s="20"/>
      <c r="C269" s="138" t="s">
        <v>96</v>
      </c>
      <c r="D269" s="93">
        <v>1</v>
      </c>
      <c r="E269" s="135"/>
      <c r="F269" s="31">
        <f>IFERROR(IF(OR(C269="Default",D263="No transport required"),D269,IF(ISBLANK(E269),"Insert data",E269)),"")</f>
        <v>1</v>
      </c>
      <c r="G269" s="21"/>
      <c r="H269" s="41"/>
      <c r="I269" s="36"/>
      <c r="J269" s="164" t="s">
        <v>141</v>
      </c>
      <c r="K269" s="37"/>
      <c r="L269" s="35"/>
    </row>
    <row r="270" spans="2:12" s="4" customFormat="1" outlineLevel="1" x14ac:dyDescent="0.4">
      <c r="B270" s="20"/>
      <c r="C270" s="21"/>
      <c r="D270" s="21"/>
      <c r="E270" s="692" t="str">
        <f>IF(E269&gt;1, "value should not be above 1", "")</f>
        <v/>
      </c>
      <c r="F270" s="21"/>
      <c r="G270" s="21"/>
      <c r="H270" s="42"/>
      <c r="I270" s="164" t="s">
        <v>172</v>
      </c>
      <c r="J270" s="52">
        <f>IF(D263="No transport required",0,IFERROR(E273*INDEX(Fuel_EFs,MATCH(D265,Fuels_for_EF,0))*D264/1000,"Insert data"))</f>
        <v>0</v>
      </c>
      <c r="K270" s="62"/>
      <c r="L270" s="35"/>
    </row>
    <row r="271" spans="2:12" s="4" customFormat="1" outlineLevel="1" x14ac:dyDescent="0.4">
      <c r="B271" s="20"/>
      <c r="C271" s="25" t="s">
        <v>173</v>
      </c>
      <c r="D271" s="21"/>
      <c r="E271" s="21"/>
      <c r="F271" s="21"/>
      <c r="G271" s="21"/>
      <c r="H271" s="46"/>
      <c r="I271" s="58"/>
      <c r="J271" s="58"/>
      <c r="K271" s="59"/>
      <c r="L271" s="35"/>
    </row>
    <row r="272" spans="2:12" s="14" customFormat="1" outlineLevel="1" x14ac:dyDescent="0.4">
      <c r="B272" s="23"/>
      <c r="C272" s="176" t="s">
        <v>174</v>
      </c>
      <c r="D272" s="166" t="s">
        <v>175</v>
      </c>
      <c r="E272" s="166" t="s">
        <v>176</v>
      </c>
      <c r="F272" s="24"/>
      <c r="G272" s="24"/>
      <c r="H272" s="4"/>
      <c r="I272" s="4"/>
      <c r="J272" s="4"/>
      <c r="K272" s="4"/>
      <c r="L272" s="63"/>
    </row>
    <row r="273" spans="2:12" s="4" customFormat="1" outlineLevel="1" x14ac:dyDescent="0.4">
      <c r="B273" s="20"/>
      <c r="C273" s="138" t="s">
        <v>96</v>
      </c>
      <c r="D273" s="93">
        <f>INDEX(Transport_Fuel_Efficiencies,MATCH(D263,Transport_Modes,0))</f>
        <v>0</v>
      </c>
      <c r="E273" s="31">
        <f>IFERROR(IF(C273="Default",D273,IF(OR(ISBLANK(E275),ISBLANK(D279),ISBLANK(D283)),"Insert data",(IF(C279="litres",(D279*(INDEX(Fuel_Densities,MATCH(D265,Fuels_for_Densities,0))/1000)*INDEX(Fuel_LHV,MATCH(D265,Fuels_for_LHV,0)))/(D283*D264),(IF(C279="m3",(D279*(INDEX(Fuel_Densities,MATCH(D265,Fuels_for_Densities,0)))*INDEX(Fuel_LHV,MATCH(D265,Fuels_for_LHV,0)))/(D283*D264),IF(C279="kg",(D279*INDEX(Fuel_LHV,MATCH(D265,Fuels_for_LHV,0)))/(D283*D264),IF(C279="tonnes",(D279*INDEX(Fuel_LHV,MATCH(D265,Fuels_for_LHV,0))*1000)/(D283*D264),IF(C279="MWh",(D279*'Reference values'!$D$47)/(D283*D264),IF(C279="kWh",(D279*'Reference values'!$D$47/1000)/(D283*D264),"Insert unit")))))))))),"")</f>
        <v>0</v>
      </c>
      <c r="F273" s="21"/>
      <c r="G273" s="21"/>
      <c r="L273" s="35"/>
    </row>
    <row r="274" spans="2:12" s="4" customFormat="1" outlineLevel="1" x14ac:dyDescent="0.4">
      <c r="B274" s="20"/>
      <c r="C274" s="21"/>
      <c r="D274" s="21"/>
      <c r="E274" s="21"/>
      <c r="F274" s="21"/>
      <c r="G274" s="21"/>
      <c r="H274" s="21"/>
      <c r="I274" s="21"/>
      <c r="J274" s="21"/>
      <c r="K274" s="21"/>
      <c r="L274" s="35"/>
    </row>
    <row r="275" spans="2:12" s="4" customFormat="1" ht="16.5" customHeight="1" outlineLevel="1" x14ac:dyDescent="0.4">
      <c r="B275" s="20"/>
      <c r="C275" s="759" t="s">
        <v>177</v>
      </c>
      <c r="D275" s="759"/>
      <c r="E275" s="135" t="s">
        <v>178</v>
      </c>
      <c r="F275" s="21"/>
      <c r="G275" s="21"/>
      <c r="L275" s="35"/>
    </row>
    <row r="276" spans="2:12" s="4" customFormat="1" ht="12.75" customHeight="1" outlineLevel="1" x14ac:dyDescent="0.4">
      <c r="B276" s="20"/>
      <c r="C276" s="21"/>
      <c r="D276" s="21"/>
      <c r="E276" s="21"/>
      <c r="F276" s="21"/>
      <c r="G276" s="21"/>
      <c r="L276" s="35"/>
    </row>
    <row r="277" spans="2:12" s="4" customFormat="1" outlineLevel="1" x14ac:dyDescent="0.4">
      <c r="B277" s="20"/>
      <c r="C277" s="25" t="str">
        <f>IF(E275="yes", "Fuel demand for outward journey",IF(E275="No","Fuel demand for full journey (outward and return)",""))</f>
        <v>Fuel demand for full journey (outward and return)</v>
      </c>
      <c r="D277" s="21"/>
      <c r="E277" s="21"/>
      <c r="F277" s="21"/>
      <c r="G277" s="21"/>
      <c r="H277" s="21"/>
      <c r="I277" s="21"/>
      <c r="J277" s="21"/>
      <c r="K277" s="21"/>
      <c r="L277" s="35"/>
    </row>
    <row r="278" spans="2:12" s="4" customFormat="1" outlineLevel="1" x14ac:dyDescent="0.4">
      <c r="B278" s="20"/>
      <c r="C278" s="164" t="s">
        <v>151</v>
      </c>
      <c r="D278" s="164" t="s">
        <v>140</v>
      </c>
      <c r="E278" s="21"/>
      <c r="F278" s="21"/>
      <c r="G278" s="21"/>
      <c r="H278" s="21"/>
      <c r="I278" s="21"/>
      <c r="J278" s="21"/>
      <c r="K278" s="21"/>
      <c r="L278" s="35"/>
    </row>
    <row r="279" spans="2:12" s="4" customFormat="1" outlineLevel="1" x14ac:dyDescent="0.4">
      <c r="B279" s="20"/>
      <c r="C279" s="138"/>
      <c r="D279" s="135"/>
      <c r="E279" s="21"/>
      <c r="F279" s="21"/>
      <c r="G279" s="21"/>
      <c r="H279" s="21"/>
      <c r="I279" s="21"/>
      <c r="J279" s="21"/>
      <c r="K279" s="21"/>
      <c r="L279" s="35"/>
    </row>
    <row r="280" spans="2:12" s="4" customFormat="1" outlineLevel="1" x14ac:dyDescent="0.4">
      <c r="B280" s="20"/>
      <c r="C280" s="21"/>
      <c r="D280" s="21"/>
      <c r="E280" s="21"/>
      <c r="F280" s="21"/>
      <c r="G280" s="21"/>
      <c r="H280" s="21"/>
      <c r="I280" s="21"/>
      <c r="J280" s="21"/>
      <c r="K280" s="21"/>
      <c r="L280" s="35"/>
    </row>
    <row r="281" spans="2:12" s="4" customFormat="1" outlineLevel="1" x14ac:dyDescent="0.4">
      <c r="B281" s="20"/>
      <c r="C281" s="25" t="s">
        <v>180</v>
      </c>
      <c r="D281" s="21"/>
      <c r="E281" s="21"/>
      <c r="F281" s="21"/>
      <c r="G281" s="21"/>
      <c r="H281" s="21"/>
      <c r="I281" s="21"/>
      <c r="J281" s="21"/>
      <c r="K281" s="21"/>
      <c r="L281" s="35"/>
    </row>
    <row r="282" spans="2:12" s="4" customFormat="1" outlineLevel="1" x14ac:dyDescent="0.4">
      <c r="B282" s="20"/>
      <c r="C282" s="164" t="s">
        <v>151</v>
      </c>
      <c r="D282" s="164" t="s">
        <v>140</v>
      </c>
      <c r="E282" s="21"/>
      <c r="F282" s="21"/>
      <c r="G282" s="21"/>
      <c r="H282" s="21"/>
      <c r="I282" s="21"/>
      <c r="J282" s="21"/>
      <c r="K282" s="21"/>
      <c r="L282" s="35"/>
    </row>
    <row r="283" spans="2:12" s="4" customFormat="1" outlineLevel="1" x14ac:dyDescent="0.4">
      <c r="B283" s="20"/>
      <c r="C283" s="138"/>
      <c r="D283" s="135"/>
      <c r="E283" s="21"/>
      <c r="F283" s="21"/>
      <c r="G283" s="21"/>
      <c r="H283" s="21"/>
      <c r="I283" s="21"/>
      <c r="J283" s="21"/>
      <c r="K283" s="21"/>
      <c r="L283" s="35"/>
    </row>
    <row r="284" spans="2:12" s="4" customFormat="1" ht="12.75" customHeight="1" outlineLevel="1" x14ac:dyDescent="0.4">
      <c r="B284" s="28"/>
      <c r="C284" s="29"/>
      <c r="D284" s="29"/>
      <c r="E284" s="29"/>
      <c r="F284" s="29"/>
      <c r="G284" s="29"/>
      <c r="H284" s="29"/>
      <c r="I284" s="29"/>
      <c r="J284" s="29"/>
      <c r="K284" s="29"/>
      <c r="L284" s="60"/>
    </row>
    <row r="285" spans="2:12" s="4" customFormat="1" x14ac:dyDescent="0.4"/>
    <row r="286" spans="2:12" s="4" customFormat="1" hidden="1" x14ac:dyDescent="0.4"/>
    <row r="287" spans="2:12" s="4" customFormat="1" hidden="1" x14ac:dyDescent="0.4"/>
    <row r="288" spans="2:12" s="4" customFormat="1" hidden="1" x14ac:dyDescent="0.4"/>
    <row r="289" s="4" customFormat="1" hidden="1" x14ac:dyDescent="0.4"/>
    <row r="290" s="4" customFormat="1" hidden="1" x14ac:dyDescent="0.4"/>
    <row r="291" s="4" customFormat="1" hidden="1" x14ac:dyDescent="0.4"/>
    <row r="292" s="4" customFormat="1" hidden="1" x14ac:dyDescent="0.4"/>
    <row r="293" s="4" customFormat="1" hidden="1" x14ac:dyDescent="0.4"/>
    <row r="294" s="4" customFormat="1" hidden="1" x14ac:dyDescent="0.4"/>
    <row r="295" s="4" customFormat="1" hidden="1" x14ac:dyDescent="0.4"/>
    <row r="296" s="4" customFormat="1" hidden="1" x14ac:dyDescent="0.4"/>
    <row r="297" s="4" customFormat="1" hidden="1" x14ac:dyDescent="0.4"/>
    <row r="298" s="4" customFormat="1" hidden="1" x14ac:dyDescent="0.4"/>
    <row r="299" s="4" customFormat="1" hidden="1" x14ac:dyDescent="0.4"/>
    <row r="300" s="4" customFormat="1" hidden="1" x14ac:dyDescent="0.4"/>
    <row r="301" s="4" customFormat="1" hidden="1" x14ac:dyDescent="0.4"/>
    <row r="302" s="4" customFormat="1" hidden="1" x14ac:dyDescent="0.4"/>
    <row r="303" s="4" customFormat="1" hidden="1" x14ac:dyDescent="0.4"/>
    <row r="304" s="4" customFormat="1" hidden="1" x14ac:dyDescent="0.4"/>
    <row r="305" spans="2:12" s="4" customFormat="1" hidden="1" x14ac:dyDescent="0.4"/>
    <row r="306" spans="2:12" s="4" customFormat="1" hidden="1" x14ac:dyDescent="0.4"/>
    <row r="307" spans="2:12" s="4" customFormat="1" hidden="1" x14ac:dyDescent="0.4"/>
    <row r="308" spans="2:12" s="4" customFormat="1" ht="19.2" x14ac:dyDescent="0.45">
      <c r="B308" s="754" t="str">
        <f>"Transport to Processing"&amp;" - "&amp;Feedstocks!C17</f>
        <v xml:space="preserve">Transport to Processing - </v>
      </c>
      <c r="C308" s="755"/>
      <c r="D308" s="755"/>
      <c r="E308" s="755"/>
      <c r="F308" s="755"/>
      <c r="G308" s="755"/>
      <c r="H308" s="755"/>
      <c r="I308" s="755"/>
      <c r="J308" s="755"/>
      <c r="K308" s="755"/>
      <c r="L308" s="756"/>
    </row>
    <row r="309" spans="2:12" s="4" customFormat="1" outlineLevel="1" x14ac:dyDescent="0.4">
      <c r="B309" s="17"/>
      <c r="C309" s="522"/>
      <c r="D309" s="19"/>
      <c r="E309" s="19"/>
      <c r="F309" s="19"/>
      <c r="G309" s="19"/>
      <c r="H309" s="19"/>
      <c r="I309" s="19"/>
      <c r="J309" s="19"/>
      <c r="K309" s="19"/>
      <c r="L309" s="50"/>
    </row>
    <row r="310" spans="2:12" s="4" customFormat="1" outlineLevel="1" x14ac:dyDescent="0.4">
      <c r="B310" s="20"/>
      <c r="C310" s="1"/>
      <c r="D310" s="760"/>
      <c r="E310" s="761"/>
      <c r="F310" s="762"/>
      <c r="G310" s="1"/>
      <c r="H310" s="303" t="s">
        <v>122</v>
      </c>
      <c r="I310" s="47"/>
      <c r="J310" s="47"/>
      <c r="K310" s="61"/>
      <c r="L310" s="35"/>
    </row>
    <row r="311" spans="2:12" s="4" customFormat="1" outlineLevel="1" x14ac:dyDescent="0.4">
      <c r="B311" s="20"/>
      <c r="C311" s="175" t="s">
        <v>123</v>
      </c>
      <c r="D311" s="753" t="str">
        <f>IF(Feedstocks!$H$17&gt;0,Feedstocks!$H$17,"")</f>
        <v/>
      </c>
      <c r="E311" s="753"/>
      <c r="F311" s="753"/>
      <c r="G311" s="76"/>
      <c r="H311" s="43"/>
      <c r="I311" s="36"/>
      <c r="J311" s="164" t="s">
        <v>124</v>
      </c>
      <c r="K311" s="44"/>
      <c r="L311" s="35"/>
    </row>
    <row r="312" spans="2:12" s="12" customFormat="1" ht="15" outlineLevel="1" x14ac:dyDescent="0.35">
      <c r="B312" s="20"/>
      <c r="C312" s="1"/>
      <c r="D312" s="1"/>
      <c r="E312" s="1"/>
      <c r="F312" s="1"/>
      <c r="G312" s="1"/>
      <c r="H312" s="43"/>
      <c r="I312" s="164" t="s">
        <v>125</v>
      </c>
      <c r="J312" s="52" t="str">
        <f>IFERROR(IF('Feedstock conversion'!E313="Yes",(J315/(IF(Feedstocks!I17="default",Feedstocks!J17,IF(Feedstocks!I17="actual",Feedstocks!K17,"Insert data (plant inputs)"))/Feedstocks!E17*'Feedstock conversion'!D317*'Transport 2'!F319*('Digestion &amp; outputs'!$G$22/1000)))*IF('Feedstock conversion'!E342="Yes",'Feedstock conversion'!J345,1)*'Digestion &amp; outputs'!$K$23,IF('Feedstock conversion'!E313="No",(J315/(IF(Feedstocks!I17="default",Feedstocks!J17,IF(Feedstocks!I17="actual",Feedstocks!K17,"Insert data (plant inputs)"))/Feedstocks!E17*'Transport 2'!F319*('Digestion &amp; outputs'!$G$22/1000)))*'Digestion &amp; outputs'!$K$23,"")),"")</f>
        <v/>
      </c>
      <c r="K312" s="44"/>
      <c r="L312" s="54"/>
    </row>
    <row r="313" spans="2:12" s="4" customFormat="1" outlineLevel="1" x14ac:dyDescent="0.4">
      <c r="B313" s="20"/>
      <c r="C313" s="164" t="s">
        <v>163</v>
      </c>
      <c r="D313" s="134" t="s">
        <v>164</v>
      </c>
      <c r="E313" s="1"/>
      <c r="F313" s="1"/>
      <c r="G313" s="1"/>
      <c r="H313" s="41"/>
      <c r="I313" s="34"/>
      <c r="J313" s="34"/>
      <c r="K313" s="37"/>
      <c r="L313" s="35"/>
    </row>
    <row r="314" spans="2:12" s="4" customFormat="1" outlineLevel="1" x14ac:dyDescent="0.4">
      <c r="B314" s="20"/>
      <c r="C314" s="164" t="s">
        <v>165</v>
      </c>
      <c r="D314" s="143"/>
      <c r="E314" s="1"/>
      <c r="F314" s="1"/>
      <c r="G314" s="1"/>
      <c r="H314" s="41"/>
      <c r="I314" s="36"/>
      <c r="J314" s="164" t="s">
        <v>141</v>
      </c>
      <c r="K314" s="37"/>
      <c r="L314" s="35"/>
    </row>
    <row r="315" spans="2:12" s="4" customFormat="1" outlineLevel="1" x14ac:dyDescent="0.4">
      <c r="B315" s="20"/>
      <c r="C315" s="164" t="s">
        <v>160</v>
      </c>
      <c r="D315" s="134" t="s">
        <v>166</v>
      </c>
      <c r="E315" s="1"/>
      <c r="F315" s="1"/>
      <c r="G315" s="1"/>
      <c r="H315" s="42"/>
      <c r="I315" s="164" t="s">
        <v>167</v>
      </c>
      <c r="J315" s="52">
        <f>IFERROR(J320,"Insert data")</f>
        <v>0</v>
      </c>
      <c r="K315" s="62"/>
      <c r="L315" s="35"/>
    </row>
    <row r="316" spans="2:12" s="4" customFormat="1" outlineLevel="1" x14ac:dyDescent="0.4">
      <c r="B316" s="20"/>
      <c r="C316" s="21"/>
      <c r="D316" s="21"/>
      <c r="E316" s="21"/>
      <c r="F316" s="21"/>
      <c r="G316" s="21"/>
      <c r="H316" s="46"/>
      <c r="I316" s="58"/>
      <c r="J316" s="58"/>
      <c r="K316" s="59"/>
      <c r="L316" s="35"/>
    </row>
    <row r="317" spans="2:12" s="4" customFormat="1" outlineLevel="1" x14ac:dyDescent="0.4">
      <c r="B317" s="20"/>
      <c r="C317" s="25" t="s">
        <v>168</v>
      </c>
      <c r="D317" s="21"/>
      <c r="E317" s="21"/>
      <c r="F317" s="21"/>
      <c r="G317" s="21"/>
      <c r="H317" s="21"/>
      <c r="I317" s="21"/>
      <c r="J317" s="21"/>
      <c r="K317" s="21"/>
      <c r="L317" s="35"/>
    </row>
    <row r="318" spans="2:12" s="14" customFormat="1" ht="30.6" outlineLevel="1" x14ac:dyDescent="0.4">
      <c r="B318" s="23"/>
      <c r="C318" s="166" t="s">
        <v>131</v>
      </c>
      <c r="D318" s="166" t="s">
        <v>169</v>
      </c>
      <c r="E318" s="166" t="s">
        <v>170</v>
      </c>
      <c r="F318" s="166" t="s">
        <v>171</v>
      </c>
      <c r="G318" s="24"/>
      <c r="H318" s="303" t="s">
        <v>136</v>
      </c>
      <c r="I318" s="47"/>
      <c r="J318" s="47"/>
      <c r="K318" s="45"/>
      <c r="L318" s="63"/>
    </row>
    <row r="319" spans="2:12" s="4" customFormat="1" outlineLevel="1" x14ac:dyDescent="0.4">
      <c r="B319" s="20"/>
      <c r="C319" s="138" t="s">
        <v>96</v>
      </c>
      <c r="D319" s="93">
        <v>1</v>
      </c>
      <c r="E319" s="135"/>
      <c r="F319" s="31">
        <f>IFERROR(IF(OR(C319="Default",D313="No transport required"),D319,IF(ISBLANK(E319),"Insert data",E319)),"")</f>
        <v>1</v>
      </c>
      <c r="G319" s="21"/>
      <c r="H319" s="41"/>
      <c r="I319" s="36"/>
      <c r="J319" s="164" t="s">
        <v>141</v>
      </c>
      <c r="K319" s="37"/>
      <c r="L319" s="35"/>
    </row>
    <row r="320" spans="2:12" s="4" customFormat="1" outlineLevel="1" x14ac:dyDescent="0.4">
      <c r="B320" s="20"/>
      <c r="C320" s="21"/>
      <c r="D320" s="21"/>
      <c r="E320" s="692" t="str">
        <f>IF(E319&gt;1, "value should not be above 1", "")</f>
        <v/>
      </c>
      <c r="F320" s="21"/>
      <c r="G320" s="21"/>
      <c r="H320" s="42"/>
      <c r="I320" s="164" t="s">
        <v>172</v>
      </c>
      <c r="J320" s="52">
        <f>IF(D313="No transport required",0,IFERROR(E323*INDEX(Fuel_EFs,MATCH(D315,Fuels_for_EF,0))*D314/1000,"Insert data"))</f>
        <v>0</v>
      </c>
      <c r="K320" s="62"/>
      <c r="L320" s="35"/>
    </row>
    <row r="321" spans="2:12" s="4" customFormat="1" outlineLevel="1" x14ac:dyDescent="0.4">
      <c r="B321" s="20"/>
      <c r="C321" s="25" t="s">
        <v>173</v>
      </c>
      <c r="D321" s="21"/>
      <c r="E321" s="21"/>
      <c r="F321" s="21"/>
      <c r="G321" s="21"/>
      <c r="H321" s="46"/>
      <c r="I321" s="58"/>
      <c r="J321" s="58"/>
      <c r="K321" s="59"/>
      <c r="L321" s="35"/>
    </row>
    <row r="322" spans="2:12" s="14" customFormat="1" outlineLevel="1" x14ac:dyDescent="0.4">
      <c r="B322" s="23"/>
      <c r="C322" s="176" t="s">
        <v>174</v>
      </c>
      <c r="D322" s="166" t="s">
        <v>175</v>
      </c>
      <c r="E322" s="166" t="s">
        <v>176</v>
      </c>
      <c r="F322" s="24"/>
      <c r="G322" s="24"/>
      <c r="H322" s="4"/>
      <c r="I322" s="4"/>
      <c r="J322" s="4"/>
      <c r="K322" s="4"/>
      <c r="L322" s="63"/>
    </row>
    <row r="323" spans="2:12" s="4" customFormat="1" outlineLevel="1" x14ac:dyDescent="0.4">
      <c r="B323" s="20"/>
      <c r="C323" s="138" t="s">
        <v>96</v>
      </c>
      <c r="D323" s="93">
        <f>INDEX(Transport_Fuel_Efficiencies,MATCH(D313,Transport_Modes,0))</f>
        <v>0</v>
      </c>
      <c r="E323" s="31">
        <f>IFERROR(IF(C323="Default",D323,IF(OR(ISBLANK(E325),ISBLANK(D329),ISBLANK(D333)),"Insert data",(IF(C329="litres",(D329*(INDEX(Fuel_Densities,MATCH(D315,Fuels_for_Densities,0))/1000)*INDEX(Fuel_LHV,MATCH(D315,Fuels_for_LHV,0)))/(D333*D314),(IF(C329="m3",(D329*(INDEX(Fuel_Densities,MATCH(D315,Fuels_for_Densities,0)))*INDEX(Fuel_LHV,MATCH(D315,Fuels_for_LHV,0)))/(D333*D314),IF(C329="kg",(D329*INDEX(Fuel_LHV,MATCH(D315,Fuels_for_LHV,0)))/(D333*D314),IF(C329="tonnes",(D329*INDEX(Fuel_LHV,MATCH(D315,Fuels_for_LHV,0))*1000)/(D333*D314),IF(C329="MWh",(D329*'Reference values'!$D$47)/(D333*D314),IF(C329="kWh",(D329*'Reference values'!$D$47/1000)/(D333*D314),"Insert unit")))))))))),"")</f>
        <v>0</v>
      </c>
      <c r="F323" s="21"/>
      <c r="G323" s="21"/>
      <c r="L323" s="35"/>
    </row>
    <row r="324" spans="2:12" s="4" customFormat="1" outlineLevel="1" x14ac:dyDescent="0.4">
      <c r="B324" s="20"/>
      <c r="C324" s="21"/>
      <c r="D324" s="21"/>
      <c r="E324" s="21"/>
      <c r="F324" s="21"/>
      <c r="G324" s="21"/>
      <c r="H324" s="46"/>
      <c r="I324" s="58"/>
      <c r="J324" s="58"/>
      <c r="K324" s="59"/>
      <c r="L324" s="35"/>
    </row>
    <row r="325" spans="2:12" s="4" customFormat="1" ht="16.5" customHeight="1" outlineLevel="1" x14ac:dyDescent="0.4">
      <c r="B325" s="20"/>
      <c r="C325" s="759" t="s">
        <v>177</v>
      </c>
      <c r="D325" s="759"/>
      <c r="E325" s="135" t="s">
        <v>178</v>
      </c>
      <c r="F325" s="21"/>
      <c r="G325" s="21"/>
      <c r="L325" s="35"/>
    </row>
    <row r="326" spans="2:12" s="4" customFormat="1" ht="12.75" customHeight="1" outlineLevel="1" x14ac:dyDescent="0.4">
      <c r="B326" s="20"/>
      <c r="C326" s="21"/>
      <c r="D326" s="21"/>
      <c r="E326" s="21"/>
      <c r="F326" s="21"/>
      <c r="G326" s="21"/>
      <c r="L326" s="35"/>
    </row>
    <row r="327" spans="2:12" s="4" customFormat="1" outlineLevel="1" x14ac:dyDescent="0.4">
      <c r="B327" s="20"/>
      <c r="C327" s="25" t="str">
        <f>IF(E325="yes", "Fuel demand for outward journey",IF(E325="No","Fuel demand for full journey (outward and return)",""))</f>
        <v>Fuel demand for full journey (outward and return)</v>
      </c>
      <c r="D327" s="21"/>
      <c r="E327" s="21"/>
      <c r="F327" s="21"/>
      <c r="G327" s="21"/>
      <c r="H327" s="21"/>
      <c r="I327" s="21"/>
      <c r="J327" s="21"/>
      <c r="K327" s="21"/>
      <c r="L327" s="35"/>
    </row>
    <row r="328" spans="2:12" s="4" customFormat="1" outlineLevel="1" x14ac:dyDescent="0.4">
      <c r="B328" s="20"/>
      <c r="C328" s="164" t="s">
        <v>151</v>
      </c>
      <c r="D328" s="164" t="s">
        <v>140</v>
      </c>
      <c r="E328" s="21"/>
      <c r="F328" s="21"/>
      <c r="G328" s="21"/>
      <c r="H328" s="21"/>
      <c r="I328" s="21"/>
      <c r="J328" s="21"/>
      <c r="K328" s="21"/>
      <c r="L328" s="35"/>
    </row>
    <row r="329" spans="2:12" s="4" customFormat="1" outlineLevel="1" x14ac:dyDescent="0.4">
      <c r="B329" s="20"/>
      <c r="C329" s="138"/>
      <c r="D329" s="135"/>
      <c r="E329" s="21"/>
      <c r="F329" s="21"/>
      <c r="G329" s="21"/>
      <c r="H329" s="21"/>
      <c r="I329" s="21"/>
      <c r="J329" s="21"/>
      <c r="K329" s="21"/>
      <c r="L329" s="35"/>
    </row>
    <row r="330" spans="2:12" s="4" customFormat="1" outlineLevel="1" x14ac:dyDescent="0.4">
      <c r="B330" s="20"/>
      <c r="C330" s="21"/>
      <c r="D330" s="21"/>
      <c r="E330" s="21"/>
      <c r="F330" s="21"/>
      <c r="G330" s="21"/>
      <c r="H330" s="21"/>
      <c r="I330" s="21"/>
      <c r="J330" s="21"/>
      <c r="K330" s="21"/>
      <c r="L330" s="35"/>
    </row>
    <row r="331" spans="2:12" s="4" customFormat="1" outlineLevel="1" x14ac:dyDescent="0.4">
      <c r="B331" s="20"/>
      <c r="C331" s="25" t="s">
        <v>180</v>
      </c>
      <c r="D331" s="21"/>
      <c r="E331" s="21"/>
      <c r="F331" s="21"/>
      <c r="G331" s="21"/>
      <c r="H331" s="21"/>
      <c r="I331" s="21"/>
      <c r="J331" s="21"/>
      <c r="K331" s="21"/>
      <c r="L331" s="35"/>
    </row>
    <row r="332" spans="2:12" s="4" customFormat="1" outlineLevel="1" x14ac:dyDescent="0.4">
      <c r="B332" s="20"/>
      <c r="C332" s="164" t="s">
        <v>151</v>
      </c>
      <c r="D332" s="164" t="s">
        <v>140</v>
      </c>
      <c r="E332" s="21"/>
      <c r="F332" s="21"/>
      <c r="G332" s="21"/>
      <c r="H332" s="21"/>
      <c r="I332" s="21"/>
      <c r="J332" s="21"/>
      <c r="K332" s="21"/>
      <c r="L332" s="35"/>
    </row>
    <row r="333" spans="2:12" s="4" customFormat="1" outlineLevel="1" x14ac:dyDescent="0.4">
      <c r="B333" s="20"/>
      <c r="C333" s="138"/>
      <c r="D333" s="135"/>
      <c r="E333" s="21"/>
      <c r="F333" s="21"/>
      <c r="G333" s="21"/>
      <c r="H333" s="21"/>
      <c r="I333" s="21"/>
      <c r="J333" s="21"/>
      <c r="K333" s="21"/>
      <c r="L333" s="35"/>
    </row>
    <row r="334" spans="2:12" s="4" customFormat="1" ht="12.75" customHeight="1" outlineLevel="1" x14ac:dyDescent="0.4">
      <c r="B334" s="28"/>
      <c r="C334" s="29"/>
      <c r="D334" s="29"/>
      <c r="E334" s="29"/>
      <c r="F334" s="29"/>
      <c r="G334" s="29"/>
      <c r="H334" s="29"/>
      <c r="I334" s="29"/>
      <c r="J334" s="29"/>
      <c r="K334" s="29"/>
      <c r="L334" s="60"/>
    </row>
    <row r="335" spans="2:12" s="4" customFormat="1" x14ac:dyDescent="0.4"/>
    <row r="336" spans="2:12" s="4" customFormat="1" hidden="1" x14ac:dyDescent="0.4"/>
    <row r="337" s="4" customFormat="1" hidden="1" x14ac:dyDescent="0.4"/>
    <row r="338" s="4" customFormat="1" hidden="1" x14ac:dyDescent="0.4"/>
    <row r="339" s="4" customFormat="1" hidden="1" x14ac:dyDescent="0.4"/>
    <row r="340" s="4" customFormat="1" hidden="1" x14ac:dyDescent="0.4"/>
    <row r="341" s="4" customFormat="1" hidden="1" x14ac:dyDescent="0.4"/>
    <row r="342" s="4" customFormat="1" hidden="1" x14ac:dyDescent="0.4"/>
    <row r="343" s="4" customFormat="1" hidden="1" x14ac:dyDescent="0.4"/>
    <row r="344" s="4" customFormat="1" hidden="1" x14ac:dyDescent="0.4"/>
    <row r="345" s="4" customFormat="1" hidden="1" x14ac:dyDescent="0.4"/>
    <row r="346" s="4" customFormat="1" hidden="1" x14ac:dyDescent="0.4"/>
    <row r="347" s="4" customFormat="1" hidden="1" x14ac:dyDescent="0.4"/>
    <row r="348" s="4" customFormat="1" hidden="1" x14ac:dyDescent="0.4"/>
    <row r="349" s="4" customFormat="1" hidden="1" x14ac:dyDescent="0.4"/>
    <row r="350" s="4" customFormat="1" hidden="1" x14ac:dyDescent="0.4"/>
    <row r="351" s="4" customFormat="1" hidden="1" x14ac:dyDescent="0.4"/>
    <row r="352" s="4" customFormat="1" hidden="1" x14ac:dyDescent="0.4"/>
    <row r="353" spans="2:12" s="4" customFormat="1" hidden="1" x14ac:dyDescent="0.4"/>
    <row r="354" spans="2:12" s="4" customFormat="1" hidden="1" x14ac:dyDescent="0.4"/>
    <row r="355" spans="2:12" s="4" customFormat="1" hidden="1" x14ac:dyDescent="0.4"/>
    <row r="356" spans="2:12" s="4" customFormat="1" hidden="1" x14ac:dyDescent="0.4"/>
    <row r="357" spans="2:12" s="4" customFormat="1" hidden="1" x14ac:dyDescent="0.4"/>
    <row r="358" spans="2:12" s="4" customFormat="1" ht="19.2" x14ac:dyDescent="0.45">
      <c r="B358" s="754" t="str">
        <f>"Transport to Processing"&amp;" - "&amp;Feedstocks!C18</f>
        <v xml:space="preserve">Transport to Processing - </v>
      </c>
      <c r="C358" s="755"/>
      <c r="D358" s="755"/>
      <c r="E358" s="755"/>
      <c r="F358" s="755"/>
      <c r="G358" s="755"/>
      <c r="H358" s="755"/>
      <c r="I358" s="755"/>
      <c r="J358" s="755"/>
      <c r="K358" s="755"/>
      <c r="L358" s="756"/>
    </row>
    <row r="359" spans="2:12" s="4" customFormat="1" outlineLevel="1" x14ac:dyDescent="0.4">
      <c r="B359" s="17"/>
      <c r="C359" s="19"/>
      <c r="D359" s="19"/>
      <c r="E359" s="19"/>
      <c r="F359" s="19"/>
      <c r="G359" s="19"/>
      <c r="H359" s="19"/>
      <c r="I359" s="19"/>
      <c r="J359" s="19"/>
      <c r="K359" s="19"/>
      <c r="L359" s="50"/>
    </row>
    <row r="360" spans="2:12" s="4" customFormat="1" outlineLevel="1" x14ac:dyDescent="0.4">
      <c r="B360" s="20"/>
      <c r="C360" s="85"/>
      <c r="D360" s="760"/>
      <c r="E360" s="761"/>
      <c r="F360" s="762"/>
      <c r="G360" s="1"/>
      <c r="H360" s="303" t="s">
        <v>122</v>
      </c>
      <c r="I360" s="47"/>
      <c r="J360" s="47"/>
      <c r="K360" s="61"/>
      <c r="L360" s="35"/>
    </row>
    <row r="361" spans="2:12" s="4" customFormat="1" outlineLevel="1" x14ac:dyDescent="0.4">
      <c r="B361" s="20"/>
      <c r="C361" s="175" t="s">
        <v>123</v>
      </c>
      <c r="D361" s="753" t="str">
        <f>IF(Feedstocks!$H$18&gt;0,Feedstocks!$H$18,"")</f>
        <v/>
      </c>
      <c r="E361" s="753"/>
      <c r="F361" s="753"/>
      <c r="G361" s="76"/>
      <c r="H361" s="43"/>
      <c r="I361" s="36"/>
      <c r="J361" s="164" t="s">
        <v>124</v>
      </c>
      <c r="K361" s="44"/>
      <c r="L361" s="35"/>
    </row>
    <row r="362" spans="2:12" s="12" customFormat="1" ht="15" outlineLevel="1" x14ac:dyDescent="0.35">
      <c r="B362" s="20"/>
      <c r="C362" s="1"/>
      <c r="D362" s="1"/>
      <c r="E362" s="1"/>
      <c r="F362" s="1"/>
      <c r="G362" s="1"/>
      <c r="H362" s="43"/>
      <c r="I362" s="164" t="s">
        <v>125</v>
      </c>
      <c r="J362" s="52" t="str">
        <f>IFERROR(IF('Feedstock conversion'!E363="Yes",(J365/(IF(Feedstocks!I18="default",Feedstocks!J18,IF(Feedstocks!I18="actual",Feedstocks!K18,"Insert data (plant inputs)"))/Feedstocks!E18*'Feedstock conversion'!D367*'Transport 2'!F369*('Digestion &amp; outputs'!$G$23/1000)))*IF('Feedstock conversion'!E392="Yes",'Feedstock conversion'!J395,1)*'Digestion &amp; outputs'!$K$23,IF('Feedstock conversion'!E363="No",(J365/(IF(Feedstocks!I18="default",Feedstocks!J18,IF(Feedstocks!I18="actual",Feedstocks!K18,"Insert data (plant inputs)"))/Feedstocks!E18*'Transport 2'!F369*('Digestion &amp; outputs'!$G$23/1000)))*'Digestion &amp; outputs'!$K$23,"")),"")</f>
        <v/>
      </c>
      <c r="K362" s="44"/>
      <c r="L362" s="54"/>
    </row>
    <row r="363" spans="2:12" s="4" customFormat="1" outlineLevel="1" x14ac:dyDescent="0.4">
      <c r="B363" s="20"/>
      <c r="C363" s="164" t="s">
        <v>163</v>
      </c>
      <c r="D363" s="134" t="s">
        <v>164</v>
      </c>
      <c r="E363" s="1"/>
      <c r="F363" s="1"/>
      <c r="G363" s="1"/>
      <c r="H363" s="41"/>
      <c r="I363" s="34"/>
      <c r="J363" s="34"/>
      <c r="K363" s="37"/>
      <c r="L363" s="35"/>
    </row>
    <row r="364" spans="2:12" s="4" customFormat="1" outlineLevel="1" x14ac:dyDescent="0.4">
      <c r="B364" s="20"/>
      <c r="C364" s="164" t="s">
        <v>165</v>
      </c>
      <c r="D364" s="143"/>
      <c r="E364" s="1"/>
      <c r="F364" s="1"/>
      <c r="G364" s="1"/>
      <c r="H364" s="41"/>
      <c r="I364" s="36"/>
      <c r="J364" s="164" t="s">
        <v>141</v>
      </c>
      <c r="K364" s="37"/>
      <c r="L364" s="35"/>
    </row>
    <row r="365" spans="2:12" s="4" customFormat="1" outlineLevel="1" x14ac:dyDescent="0.4">
      <c r="B365" s="20"/>
      <c r="C365" s="164" t="s">
        <v>160</v>
      </c>
      <c r="D365" s="134"/>
      <c r="E365" s="1"/>
      <c r="F365" s="1"/>
      <c r="G365" s="1"/>
      <c r="H365" s="42"/>
      <c r="I365" s="164" t="s">
        <v>167</v>
      </c>
      <c r="J365" s="52">
        <f>IFERROR(J370,"Insert data")</f>
        <v>0</v>
      </c>
      <c r="K365" s="62"/>
      <c r="L365" s="35"/>
    </row>
    <row r="366" spans="2:12" s="4" customFormat="1" outlineLevel="1" x14ac:dyDescent="0.4">
      <c r="B366" s="20"/>
      <c r="C366" s="21"/>
      <c r="D366" s="21"/>
      <c r="E366" s="21"/>
      <c r="F366" s="21"/>
      <c r="G366" s="21"/>
      <c r="H366" s="46"/>
      <c r="I366" s="58"/>
      <c r="J366" s="58"/>
      <c r="K366" s="59"/>
      <c r="L366" s="35"/>
    </row>
    <row r="367" spans="2:12" s="4" customFormat="1" outlineLevel="1" x14ac:dyDescent="0.4">
      <c r="B367" s="20"/>
      <c r="C367" s="25" t="s">
        <v>168</v>
      </c>
      <c r="D367" s="21"/>
      <c r="E367" s="21"/>
      <c r="F367" s="21"/>
      <c r="G367" s="21"/>
      <c r="H367" s="21"/>
      <c r="I367" s="21"/>
      <c r="J367" s="21"/>
      <c r="K367" s="21"/>
      <c r="L367" s="35"/>
    </row>
    <row r="368" spans="2:12" s="14" customFormat="1" ht="30.6" outlineLevel="1" x14ac:dyDescent="0.4">
      <c r="B368" s="23"/>
      <c r="C368" s="166" t="s">
        <v>131</v>
      </c>
      <c r="D368" s="166" t="s">
        <v>169</v>
      </c>
      <c r="E368" s="166" t="s">
        <v>170</v>
      </c>
      <c r="F368" s="166" t="s">
        <v>171</v>
      </c>
      <c r="G368" s="24"/>
      <c r="H368" s="303" t="s">
        <v>136</v>
      </c>
      <c r="I368" s="47"/>
      <c r="J368" s="47"/>
      <c r="K368" s="45"/>
      <c r="L368" s="63"/>
    </row>
    <row r="369" spans="2:12" s="4" customFormat="1" outlineLevel="1" x14ac:dyDescent="0.4">
      <c r="B369" s="20"/>
      <c r="C369" s="138" t="s">
        <v>96</v>
      </c>
      <c r="D369" s="93">
        <v>1</v>
      </c>
      <c r="E369" s="135"/>
      <c r="F369" s="31">
        <f>IFERROR(IF(OR(C369="Default",D363="No transport required"),D369,IF(ISBLANK(E369),"Insert data",E369)),"")</f>
        <v>1</v>
      </c>
      <c r="G369" s="21"/>
      <c r="H369" s="41"/>
      <c r="I369" s="36"/>
      <c r="J369" s="164" t="s">
        <v>141</v>
      </c>
      <c r="K369" s="37"/>
      <c r="L369" s="35"/>
    </row>
    <row r="370" spans="2:12" s="4" customFormat="1" outlineLevel="1" x14ac:dyDescent="0.4">
      <c r="B370" s="20"/>
      <c r="C370" s="21"/>
      <c r="D370" s="21"/>
      <c r="E370" s="692" t="str">
        <f>IF(E369&gt;1, "value should not be above 1", "")</f>
        <v/>
      </c>
      <c r="F370" s="21"/>
      <c r="G370" s="21"/>
      <c r="H370" s="42"/>
      <c r="I370" s="164" t="s">
        <v>172</v>
      </c>
      <c r="J370" s="52">
        <f>IF(D363="No transport required",0,IFERROR(E373*INDEX(Fuel_EFs,MATCH(D365,Fuels_for_EF,0))*D364/1000,"Insert data"))</f>
        <v>0</v>
      </c>
      <c r="K370" s="62"/>
      <c r="L370" s="35"/>
    </row>
    <row r="371" spans="2:12" s="4" customFormat="1" outlineLevel="1" x14ac:dyDescent="0.4">
      <c r="B371" s="20"/>
      <c r="C371" s="25" t="s">
        <v>173</v>
      </c>
      <c r="D371" s="21"/>
      <c r="E371" s="21"/>
      <c r="F371" s="21"/>
      <c r="G371" s="21"/>
      <c r="H371" s="46"/>
      <c r="I371" s="58"/>
      <c r="J371" s="58"/>
      <c r="K371" s="59"/>
      <c r="L371" s="35"/>
    </row>
    <row r="372" spans="2:12" s="14" customFormat="1" outlineLevel="1" x14ac:dyDescent="0.4">
      <c r="B372" s="23"/>
      <c r="C372" s="176" t="s">
        <v>174</v>
      </c>
      <c r="D372" s="166" t="s">
        <v>175</v>
      </c>
      <c r="E372" s="166" t="s">
        <v>176</v>
      </c>
      <c r="F372" s="24"/>
      <c r="G372" s="24"/>
      <c r="H372" s="4"/>
      <c r="I372" s="4"/>
      <c r="J372" s="4"/>
      <c r="K372" s="4"/>
      <c r="L372" s="63"/>
    </row>
    <row r="373" spans="2:12" s="4" customFormat="1" outlineLevel="1" x14ac:dyDescent="0.4">
      <c r="B373" s="20"/>
      <c r="C373" s="138" t="s">
        <v>96</v>
      </c>
      <c r="D373" s="93">
        <f>INDEX(Transport_Fuel_Efficiencies,MATCH(D363,Transport_Modes,0))</f>
        <v>0</v>
      </c>
      <c r="E373" s="31">
        <f>IFERROR(IF(C373="Default",D373,IF(OR(ISBLANK(E375),ISBLANK(D379),ISBLANK(D383)),"Insert data",(IF(C379="litres",(D379*(INDEX(Fuel_Densities,MATCH(D365,Fuels_for_Densities,0))/1000)*INDEX(Fuel_LHV,MATCH(D365,Fuels_for_LHV,0)))/(D383*D364),(IF(C379="m3",(D379*(INDEX(Fuel_Densities,MATCH(D365,Fuels_for_Densities,0)))*INDEX(Fuel_LHV,MATCH(D365,Fuels_for_LHV,0)))/(D383*D364),IF(C379="kg",(D379*INDEX(Fuel_LHV,MATCH(D365,Fuels_for_LHV,0)))/(D383*D364),IF(C379="tonnes",(D379*INDEX(Fuel_LHV,MATCH(D365,Fuels_for_LHV,0))*1000)/(D383*D364),IF(C379="MWh",(D379*'Reference values'!$D$47)/(D383*D364),IF(C379="kWh",(D379*'Reference values'!$D$47/1000)/(D383*D364),"Insert unit")))))))))),"")</f>
        <v>0</v>
      </c>
      <c r="F373" s="21"/>
      <c r="G373" s="21"/>
      <c r="L373" s="35"/>
    </row>
    <row r="374" spans="2:12" s="4" customFormat="1" outlineLevel="1" x14ac:dyDescent="0.4">
      <c r="B374" s="20"/>
      <c r="C374" s="21"/>
      <c r="D374" s="21"/>
      <c r="E374" s="21"/>
      <c r="F374" s="21"/>
      <c r="G374" s="21"/>
      <c r="H374" s="21"/>
      <c r="I374" s="21"/>
      <c r="J374" s="21"/>
      <c r="K374" s="21"/>
      <c r="L374" s="35"/>
    </row>
    <row r="375" spans="2:12" s="4" customFormat="1" ht="16.5" customHeight="1" outlineLevel="1" x14ac:dyDescent="0.4">
      <c r="B375" s="20"/>
      <c r="C375" s="759" t="s">
        <v>177</v>
      </c>
      <c r="D375" s="759"/>
      <c r="E375" s="135" t="s">
        <v>178</v>
      </c>
      <c r="F375" s="21"/>
      <c r="G375" s="21"/>
      <c r="L375" s="35"/>
    </row>
    <row r="376" spans="2:12" s="4" customFormat="1" ht="12.75" customHeight="1" outlineLevel="1" x14ac:dyDescent="0.4">
      <c r="B376" s="20"/>
      <c r="C376" s="21"/>
      <c r="D376" s="21"/>
      <c r="E376" s="21"/>
      <c r="F376" s="21"/>
      <c r="G376" s="21"/>
      <c r="L376" s="35"/>
    </row>
    <row r="377" spans="2:12" s="4" customFormat="1" outlineLevel="1" x14ac:dyDescent="0.4">
      <c r="B377" s="20"/>
      <c r="C377" s="25" t="str">
        <f>IF(E375="yes", "Fuel demand for outward journey",IF(E375="No","Fuel demand for full journey (outward and return)",""))</f>
        <v>Fuel demand for full journey (outward and return)</v>
      </c>
      <c r="D377" s="21"/>
      <c r="E377" s="21"/>
      <c r="F377" s="21"/>
      <c r="G377" s="21"/>
      <c r="H377" s="21"/>
      <c r="I377" s="21"/>
      <c r="J377" s="21"/>
      <c r="K377" s="21"/>
      <c r="L377" s="35"/>
    </row>
    <row r="378" spans="2:12" s="4" customFormat="1" outlineLevel="1" x14ac:dyDescent="0.4">
      <c r="B378" s="20"/>
      <c r="C378" s="164" t="s">
        <v>151</v>
      </c>
      <c r="D378" s="164" t="s">
        <v>140</v>
      </c>
      <c r="E378" s="21"/>
      <c r="F378" s="21"/>
      <c r="G378" s="21"/>
      <c r="H378" s="21"/>
      <c r="I378" s="21"/>
      <c r="J378" s="21"/>
      <c r="K378" s="21"/>
      <c r="L378" s="35"/>
    </row>
    <row r="379" spans="2:12" s="4" customFormat="1" outlineLevel="1" x14ac:dyDescent="0.4">
      <c r="B379" s="20"/>
      <c r="C379" s="138"/>
      <c r="D379" s="135"/>
      <c r="E379" s="21"/>
      <c r="F379" s="21"/>
      <c r="G379" s="21"/>
      <c r="H379" s="21"/>
      <c r="I379" s="21"/>
      <c r="J379" s="21"/>
      <c r="K379" s="21"/>
      <c r="L379" s="35"/>
    </row>
    <row r="380" spans="2:12" s="4" customFormat="1" outlineLevel="1" x14ac:dyDescent="0.4">
      <c r="B380" s="20"/>
      <c r="C380" s="21"/>
      <c r="D380" s="21"/>
      <c r="E380" s="21"/>
      <c r="F380" s="21"/>
      <c r="G380" s="21"/>
      <c r="H380" s="21"/>
      <c r="I380" s="21"/>
      <c r="J380" s="21"/>
      <c r="K380" s="21"/>
      <c r="L380" s="35"/>
    </row>
    <row r="381" spans="2:12" s="4" customFormat="1" outlineLevel="1" x14ac:dyDescent="0.4">
      <c r="B381" s="20"/>
      <c r="C381" s="25" t="s">
        <v>180</v>
      </c>
      <c r="D381" s="21"/>
      <c r="E381" s="21"/>
      <c r="F381" s="21"/>
      <c r="G381" s="21"/>
      <c r="H381" s="21"/>
      <c r="I381" s="21"/>
      <c r="J381" s="21"/>
      <c r="K381" s="21"/>
      <c r="L381" s="35"/>
    </row>
    <row r="382" spans="2:12" s="4" customFormat="1" outlineLevel="1" x14ac:dyDescent="0.4">
      <c r="B382" s="20"/>
      <c r="C382" s="164" t="s">
        <v>151</v>
      </c>
      <c r="D382" s="164" t="s">
        <v>140</v>
      </c>
      <c r="E382" s="21"/>
      <c r="F382" s="21"/>
      <c r="G382" s="21"/>
      <c r="H382" s="21"/>
      <c r="I382" s="21"/>
      <c r="J382" s="21"/>
      <c r="K382" s="21"/>
      <c r="L382" s="35"/>
    </row>
    <row r="383" spans="2:12" s="4" customFormat="1" outlineLevel="1" x14ac:dyDescent="0.4">
      <c r="B383" s="20"/>
      <c r="C383" s="138"/>
      <c r="D383" s="135"/>
      <c r="E383" s="21"/>
      <c r="F383" s="21"/>
      <c r="G383" s="21"/>
      <c r="H383" s="21"/>
      <c r="I383" s="21"/>
      <c r="J383" s="21"/>
      <c r="K383" s="21"/>
      <c r="L383" s="35"/>
    </row>
    <row r="384" spans="2:12" s="4" customFormat="1" ht="12.75" customHeight="1" outlineLevel="1" x14ac:dyDescent="0.4">
      <c r="B384" s="28"/>
      <c r="C384" s="29"/>
      <c r="D384" s="29"/>
      <c r="E384" s="29"/>
      <c r="F384" s="29"/>
      <c r="G384" s="29"/>
      <c r="H384" s="29"/>
      <c r="I384" s="29"/>
      <c r="J384" s="29"/>
      <c r="K384" s="29"/>
      <c r="L384" s="60"/>
    </row>
    <row r="385" s="4" customFormat="1" x14ac:dyDescent="0.4"/>
    <row r="386" s="4" customFormat="1" hidden="1" x14ac:dyDescent="0.4"/>
    <row r="387" s="4" customFormat="1" hidden="1" x14ac:dyDescent="0.4"/>
    <row r="388" s="4" customFormat="1" hidden="1" x14ac:dyDescent="0.4"/>
    <row r="389" s="4" customFormat="1" hidden="1" x14ac:dyDescent="0.4"/>
    <row r="390" s="4" customFormat="1" hidden="1" x14ac:dyDescent="0.4"/>
    <row r="391" s="4" customFormat="1" hidden="1" x14ac:dyDescent="0.4"/>
    <row r="392" s="4" customFormat="1" hidden="1" x14ac:dyDescent="0.4"/>
    <row r="393" s="4" customFormat="1" hidden="1" x14ac:dyDescent="0.4"/>
    <row r="394" s="4" customFormat="1" hidden="1" x14ac:dyDescent="0.4"/>
    <row r="395" s="4" customFormat="1" hidden="1" x14ac:dyDescent="0.4"/>
    <row r="396" s="4" customFormat="1" hidden="1" x14ac:dyDescent="0.4"/>
    <row r="397" s="4" customFormat="1" hidden="1" x14ac:dyDescent="0.4"/>
    <row r="398" s="4" customFormat="1" hidden="1" x14ac:dyDescent="0.4"/>
    <row r="399" s="4" customFormat="1" hidden="1" x14ac:dyDescent="0.4"/>
    <row r="400" s="4" customFormat="1" hidden="1" x14ac:dyDescent="0.4"/>
    <row r="401" spans="2:12" s="4" customFormat="1" hidden="1" x14ac:dyDescent="0.4"/>
    <row r="402" spans="2:12" s="4" customFormat="1" hidden="1" x14ac:dyDescent="0.4"/>
    <row r="403" spans="2:12" s="4" customFormat="1" hidden="1" x14ac:dyDescent="0.4"/>
    <row r="404" spans="2:12" s="4" customFormat="1" hidden="1" x14ac:dyDescent="0.4"/>
    <row r="405" spans="2:12" s="4" customFormat="1" hidden="1" x14ac:dyDescent="0.4"/>
    <row r="406" spans="2:12" s="4" customFormat="1" hidden="1" x14ac:dyDescent="0.4"/>
    <row r="407" spans="2:12" s="4" customFormat="1" hidden="1" x14ac:dyDescent="0.4"/>
    <row r="408" spans="2:12" s="4" customFormat="1" ht="19.2" x14ac:dyDescent="0.45">
      <c r="B408" s="754" t="str">
        <f>"Transport to Processing"&amp;" - "&amp;Feedstocks!C19</f>
        <v xml:space="preserve">Transport to Processing - </v>
      </c>
      <c r="C408" s="755"/>
      <c r="D408" s="755"/>
      <c r="E408" s="755"/>
      <c r="F408" s="755"/>
      <c r="G408" s="755"/>
      <c r="H408" s="755"/>
      <c r="I408" s="755"/>
      <c r="J408" s="755"/>
      <c r="K408" s="755"/>
      <c r="L408" s="756"/>
    </row>
    <row r="409" spans="2:12" s="4" customFormat="1" outlineLevel="1" x14ac:dyDescent="0.4">
      <c r="B409" s="17"/>
      <c r="C409" s="19"/>
      <c r="D409" s="19"/>
      <c r="E409" s="19"/>
      <c r="F409" s="19"/>
      <c r="G409" s="19"/>
      <c r="H409" s="19"/>
      <c r="I409" s="19"/>
      <c r="J409" s="19"/>
      <c r="K409" s="19"/>
      <c r="L409" s="50"/>
    </row>
    <row r="410" spans="2:12" s="4" customFormat="1" outlineLevel="1" x14ac:dyDescent="0.4">
      <c r="B410" s="20"/>
      <c r="C410" s="85"/>
      <c r="D410" s="760"/>
      <c r="E410" s="761"/>
      <c r="F410" s="762"/>
      <c r="G410" s="1"/>
      <c r="H410" s="303" t="s">
        <v>122</v>
      </c>
      <c r="I410" s="47"/>
      <c r="J410" s="47"/>
      <c r="K410" s="61"/>
      <c r="L410" s="35"/>
    </row>
    <row r="411" spans="2:12" s="4" customFormat="1" outlineLevel="1" x14ac:dyDescent="0.4">
      <c r="B411" s="20"/>
      <c r="C411" s="175" t="s">
        <v>123</v>
      </c>
      <c r="D411" s="753" t="str">
        <f>IF(Feedstocks!$H$19&gt;0,Feedstocks!$H$19,"")</f>
        <v/>
      </c>
      <c r="E411" s="753"/>
      <c r="F411" s="753"/>
      <c r="G411" s="76"/>
      <c r="H411" s="43"/>
      <c r="I411" s="36"/>
      <c r="J411" s="164" t="s">
        <v>124</v>
      </c>
      <c r="K411" s="44"/>
      <c r="L411" s="35"/>
    </row>
    <row r="412" spans="2:12" s="12" customFormat="1" ht="15" outlineLevel="1" x14ac:dyDescent="0.35">
      <c r="B412" s="20"/>
      <c r="C412" s="1"/>
      <c r="D412" s="1"/>
      <c r="E412" s="1"/>
      <c r="F412" s="1"/>
      <c r="G412" s="1"/>
      <c r="H412" s="43"/>
      <c r="I412" s="164" t="s">
        <v>125</v>
      </c>
      <c r="J412" s="52" t="str">
        <f>IFERROR(IF('Feedstock conversion'!E413="Yes",(J415/(IF(Feedstocks!I19="default",Feedstocks!J19,IF(Feedstocks!I19="actual",Feedstocks!K19,"Insert data (plant inputs)"))/Feedstocks!E19*'Feedstock conversion'!D417*'Transport 2'!F419*('Digestion &amp; outputs'!$G$24/1000)))*IF('Feedstock conversion'!E442="Yes",'Feedstock conversion'!J445,1)*'Digestion &amp; outputs'!$K$23,IF('Feedstock conversion'!E413="No",(J415/(IF(Feedstocks!I19="default",Feedstocks!J19,IF(Feedstocks!I19="actual",Feedstocks!K19,"Insert data (plant inputs)"))/Feedstocks!E19*'Transport 2'!F419*('Digestion &amp; outputs'!$G$24/1000)))*'Digestion &amp; outputs'!$K$23,"")),"")</f>
        <v/>
      </c>
      <c r="K412" s="44"/>
      <c r="L412" s="54"/>
    </row>
    <row r="413" spans="2:12" s="4" customFormat="1" outlineLevel="1" x14ac:dyDescent="0.4">
      <c r="B413" s="20"/>
      <c r="C413" s="164" t="s">
        <v>163</v>
      </c>
      <c r="D413" s="134" t="s">
        <v>164</v>
      </c>
      <c r="E413" s="1"/>
      <c r="F413" s="1"/>
      <c r="G413" s="1"/>
      <c r="H413" s="41"/>
      <c r="I413" s="34"/>
      <c r="J413" s="34"/>
      <c r="K413" s="37"/>
      <c r="L413" s="35"/>
    </row>
    <row r="414" spans="2:12" s="4" customFormat="1" outlineLevel="1" x14ac:dyDescent="0.4">
      <c r="B414" s="20"/>
      <c r="C414" s="164" t="s">
        <v>165</v>
      </c>
      <c r="D414" s="143"/>
      <c r="E414" s="1"/>
      <c r="F414" s="1"/>
      <c r="G414" s="1"/>
      <c r="H414" s="41"/>
      <c r="I414" s="36"/>
      <c r="J414" s="164" t="s">
        <v>141</v>
      </c>
      <c r="K414" s="37"/>
      <c r="L414" s="35"/>
    </row>
    <row r="415" spans="2:12" s="4" customFormat="1" outlineLevel="1" x14ac:dyDescent="0.4">
      <c r="B415" s="20"/>
      <c r="C415" s="164" t="s">
        <v>160</v>
      </c>
      <c r="D415" s="134"/>
      <c r="E415" s="1"/>
      <c r="F415" s="1"/>
      <c r="G415" s="1"/>
      <c r="H415" s="42"/>
      <c r="I415" s="164" t="s">
        <v>167</v>
      </c>
      <c r="J415" s="52">
        <f>IFERROR(J420,"Insert data")</f>
        <v>0</v>
      </c>
      <c r="K415" s="62"/>
      <c r="L415" s="35"/>
    </row>
    <row r="416" spans="2:12" s="4" customFormat="1" outlineLevel="1" x14ac:dyDescent="0.4">
      <c r="B416" s="20"/>
      <c r="C416" s="21"/>
      <c r="D416" s="21"/>
      <c r="E416" s="21"/>
      <c r="F416" s="21"/>
      <c r="G416" s="21"/>
      <c r="H416" s="46"/>
      <c r="I416" s="58"/>
      <c r="J416" s="58"/>
      <c r="K416" s="59"/>
      <c r="L416" s="35"/>
    </row>
    <row r="417" spans="2:12" s="4" customFormat="1" outlineLevel="1" x14ac:dyDescent="0.4">
      <c r="B417" s="20"/>
      <c r="C417" s="25" t="s">
        <v>168</v>
      </c>
      <c r="D417" s="21"/>
      <c r="E417" s="21"/>
      <c r="F417" s="21"/>
      <c r="G417" s="21"/>
      <c r="H417" s="21"/>
      <c r="I417" s="21"/>
      <c r="J417" s="21"/>
      <c r="K417" s="21"/>
      <c r="L417" s="35"/>
    </row>
    <row r="418" spans="2:12" s="14" customFormat="1" ht="30.6" outlineLevel="1" x14ac:dyDescent="0.4">
      <c r="B418" s="23"/>
      <c r="C418" s="166" t="s">
        <v>131</v>
      </c>
      <c r="D418" s="166" t="s">
        <v>169</v>
      </c>
      <c r="E418" s="166" t="s">
        <v>170</v>
      </c>
      <c r="F418" s="166" t="s">
        <v>171</v>
      </c>
      <c r="G418" s="24"/>
      <c r="H418" s="303" t="s">
        <v>136</v>
      </c>
      <c r="I418" s="47"/>
      <c r="J418" s="47"/>
      <c r="K418" s="45"/>
      <c r="L418" s="63"/>
    </row>
    <row r="419" spans="2:12" s="4" customFormat="1" outlineLevel="1" x14ac:dyDescent="0.4">
      <c r="B419" s="20"/>
      <c r="C419" s="138" t="s">
        <v>96</v>
      </c>
      <c r="D419" s="93">
        <v>1</v>
      </c>
      <c r="E419" s="135"/>
      <c r="F419" s="31">
        <f>IFERROR(IF(OR(C419="Default",D413="No transport required"),D419,IF(ISBLANK(E419),"Insert data",E419)),"")</f>
        <v>1</v>
      </c>
      <c r="G419" s="21"/>
      <c r="H419" s="41"/>
      <c r="I419" s="36"/>
      <c r="J419" s="164" t="s">
        <v>141</v>
      </c>
      <c r="K419" s="37"/>
      <c r="L419" s="35"/>
    </row>
    <row r="420" spans="2:12" s="4" customFormat="1" outlineLevel="1" x14ac:dyDescent="0.4">
      <c r="B420" s="20"/>
      <c r="C420" s="21"/>
      <c r="D420" s="21"/>
      <c r="E420" s="692" t="str">
        <f>IF(E419&gt;1, "value should not be above 1", "")</f>
        <v/>
      </c>
      <c r="F420" s="21"/>
      <c r="G420" s="21"/>
      <c r="H420" s="42"/>
      <c r="I420" s="164" t="s">
        <v>172</v>
      </c>
      <c r="J420" s="52">
        <f>IF(D413="No transport required",0,IFERROR(E423*INDEX(Fuel_EFs,MATCH(D415,Fuels_for_EF,0))*D414/1000,"Insert data"))</f>
        <v>0</v>
      </c>
      <c r="K420" s="62"/>
      <c r="L420" s="35"/>
    </row>
    <row r="421" spans="2:12" s="4" customFormat="1" outlineLevel="1" x14ac:dyDescent="0.4">
      <c r="B421" s="20"/>
      <c r="C421" s="25" t="s">
        <v>173</v>
      </c>
      <c r="D421" s="21"/>
      <c r="E421" s="21"/>
      <c r="F421" s="21"/>
      <c r="G421" s="21"/>
      <c r="H421" s="46"/>
      <c r="I421" s="58"/>
      <c r="J421" s="58"/>
      <c r="K421" s="59"/>
      <c r="L421" s="35"/>
    </row>
    <row r="422" spans="2:12" s="14" customFormat="1" outlineLevel="1" x14ac:dyDescent="0.4">
      <c r="B422" s="23"/>
      <c r="C422" s="176" t="s">
        <v>174</v>
      </c>
      <c r="D422" s="166" t="s">
        <v>175</v>
      </c>
      <c r="E422" s="166" t="s">
        <v>176</v>
      </c>
      <c r="F422" s="24"/>
      <c r="G422" s="24"/>
      <c r="H422" s="4"/>
      <c r="I422" s="4"/>
      <c r="J422" s="4"/>
      <c r="K422" s="4"/>
      <c r="L422" s="63"/>
    </row>
    <row r="423" spans="2:12" s="4" customFormat="1" outlineLevel="1" x14ac:dyDescent="0.4">
      <c r="B423" s="20"/>
      <c r="C423" s="138" t="s">
        <v>96</v>
      </c>
      <c r="D423" s="93">
        <f>INDEX(Transport_Fuel_Efficiencies,MATCH(D413,Transport_Modes,0))</f>
        <v>0</v>
      </c>
      <c r="E423" s="31">
        <f>IFERROR(IF(C423="Default",D423,IF(OR(ISBLANK(E425),ISBLANK(D429),ISBLANK(D433)),"Insert data",(IF(C429="litres",(D429*(INDEX(Fuel_Densities,MATCH(D415,Fuels_for_Densities,0))/1000)*INDEX(Fuel_LHV,MATCH(D415,Fuels_for_LHV,0)))/(D433*D414),(IF(C429="m3",(D429*(INDEX(Fuel_Densities,MATCH(D415,Fuels_for_Densities,0)))*INDEX(Fuel_LHV,MATCH(D415,Fuels_for_LHV,0)))/(D433*D414),IF(C429="kg",(D429*INDEX(Fuel_LHV,MATCH(D415,Fuels_for_LHV,0)))/(D433*D414),IF(C429="tonnes",(D429*INDEX(Fuel_LHV,MATCH(D415,Fuels_for_LHV,0))*1000)/(D433*D414),IF(C429="MWh",(D429*'Reference values'!$D$47)/(D433*D414),IF(C429="kWh",(D429*'Reference values'!$D$47/1000)/(D433*D414),"Insert unit")))))))))),"")</f>
        <v>0</v>
      </c>
      <c r="F423" s="21"/>
      <c r="G423" s="21"/>
      <c r="L423" s="35"/>
    </row>
    <row r="424" spans="2:12" s="4" customFormat="1" outlineLevel="1" x14ac:dyDescent="0.4">
      <c r="B424" s="20"/>
      <c r="C424" s="21"/>
      <c r="D424" s="21"/>
      <c r="E424" s="21"/>
      <c r="F424" s="21"/>
      <c r="G424" s="21"/>
      <c r="H424" s="21"/>
      <c r="I424" s="21"/>
      <c r="J424" s="21"/>
      <c r="K424" s="21"/>
      <c r="L424" s="35"/>
    </row>
    <row r="425" spans="2:12" s="4" customFormat="1" ht="16.5" customHeight="1" outlineLevel="1" x14ac:dyDescent="0.4">
      <c r="B425" s="20"/>
      <c r="C425" s="759" t="s">
        <v>177</v>
      </c>
      <c r="D425" s="759"/>
      <c r="E425" s="135" t="s">
        <v>178</v>
      </c>
      <c r="F425" s="21"/>
      <c r="G425" s="21"/>
      <c r="L425" s="35"/>
    </row>
    <row r="426" spans="2:12" s="4" customFormat="1" ht="12.75" customHeight="1" outlineLevel="1" x14ac:dyDescent="0.4">
      <c r="B426" s="20"/>
      <c r="C426" s="21"/>
      <c r="D426" s="21"/>
      <c r="E426" s="21"/>
      <c r="F426" s="21"/>
      <c r="G426" s="21"/>
      <c r="L426" s="35"/>
    </row>
    <row r="427" spans="2:12" s="4" customFormat="1" outlineLevel="1" x14ac:dyDescent="0.4">
      <c r="B427" s="20"/>
      <c r="C427" s="25" t="str">
        <f>IF(E425="yes", "Fuel demand for outward journey",IF(E425="No","Fuel demand for full journey (outward and return)",""))</f>
        <v>Fuel demand for full journey (outward and return)</v>
      </c>
      <c r="D427" s="21"/>
      <c r="E427" s="21"/>
      <c r="F427" s="21"/>
      <c r="G427" s="21"/>
      <c r="H427" s="21"/>
      <c r="I427" s="21"/>
      <c r="J427" s="21"/>
      <c r="K427" s="21"/>
      <c r="L427" s="35"/>
    </row>
    <row r="428" spans="2:12" s="4" customFormat="1" outlineLevel="1" x14ac:dyDescent="0.4">
      <c r="B428" s="20"/>
      <c r="C428" s="164" t="s">
        <v>151</v>
      </c>
      <c r="D428" s="164" t="s">
        <v>140</v>
      </c>
      <c r="E428" s="21"/>
      <c r="F428" s="21"/>
      <c r="G428" s="21"/>
      <c r="H428" s="21"/>
      <c r="I428" s="21"/>
      <c r="J428" s="21"/>
      <c r="K428" s="21"/>
      <c r="L428" s="35"/>
    </row>
    <row r="429" spans="2:12" s="4" customFormat="1" outlineLevel="1" x14ac:dyDescent="0.4">
      <c r="B429" s="20"/>
      <c r="C429" s="138"/>
      <c r="D429" s="135"/>
      <c r="E429" s="21"/>
      <c r="F429" s="21"/>
      <c r="G429" s="21"/>
      <c r="H429" s="21"/>
      <c r="I429" s="21"/>
      <c r="J429" s="21"/>
      <c r="K429" s="21"/>
      <c r="L429" s="35"/>
    </row>
    <row r="430" spans="2:12" s="4" customFormat="1" outlineLevel="1" x14ac:dyDescent="0.4">
      <c r="B430" s="20"/>
      <c r="C430" s="21"/>
      <c r="D430" s="21"/>
      <c r="E430" s="21"/>
      <c r="F430" s="21"/>
      <c r="G430" s="21"/>
      <c r="H430" s="21"/>
      <c r="I430" s="21"/>
      <c r="J430" s="21"/>
      <c r="K430" s="21"/>
      <c r="L430" s="35"/>
    </row>
    <row r="431" spans="2:12" s="4" customFormat="1" outlineLevel="1" x14ac:dyDescent="0.4">
      <c r="B431" s="20"/>
      <c r="C431" s="25" t="s">
        <v>180</v>
      </c>
      <c r="D431" s="21"/>
      <c r="E431" s="21"/>
      <c r="F431" s="21"/>
      <c r="G431" s="21"/>
      <c r="H431" s="21"/>
      <c r="I431" s="21"/>
      <c r="J431" s="21"/>
      <c r="K431" s="21"/>
      <c r="L431" s="35"/>
    </row>
    <row r="432" spans="2:12" s="4" customFormat="1" outlineLevel="1" x14ac:dyDescent="0.4">
      <c r="B432" s="20"/>
      <c r="C432" s="164" t="s">
        <v>151</v>
      </c>
      <c r="D432" s="164" t="s">
        <v>140</v>
      </c>
      <c r="E432" s="21"/>
      <c r="F432" s="21"/>
      <c r="G432" s="21"/>
      <c r="H432" s="21"/>
      <c r="I432" s="21"/>
      <c r="J432" s="21"/>
      <c r="K432" s="21"/>
      <c r="L432" s="35"/>
    </row>
    <row r="433" spans="2:12" s="4" customFormat="1" outlineLevel="1" x14ac:dyDescent="0.4">
      <c r="B433" s="20"/>
      <c r="C433" s="138"/>
      <c r="D433" s="135"/>
      <c r="E433" s="21"/>
      <c r="F433" s="21"/>
      <c r="G433" s="21"/>
      <c r="H433" s="21"/>
      <c r="I433" s="21"/>
      <c r="J433" s="21"/>
      <c r="K433" s="21"/>
      <c r="L433" s="35"/>
    </row>
    <row r="434" spans="2:12" s="4" customFormat="1" ht="12.75" customHeight="1" outlineLevel="1" x14ac:dyDescent="0.4">
      <c r="B434" s="28"/>
      <c r="C434" s="29"/>
      <c r="D434" s="29"/>
      <c r="E434" s="29"/>
      <c r="F434" s="29"/>
      <c r="G434" s="29"/>
      <c r="H434" s="29"/>
      <c r="I434" s="29"/>
      <c r="J434" s="29"/>
      <c r="K434" s="29"/>
      <c r="L434" s="60"/>
    </row>
    <row r="435" spans="2:12" s="4" customFormat="1" x14ac:dyDescent="0.4"/>
    <row r="436" spans="2:12" s="4" customFormat="1" hidden="1" x14ac:dyDescent="0.4"/>
    <row r="437" spans="2:12" s="4" customFormat="1" hidden="1" x14ac:dyDescent="0.4"/>
    <row r="438" spans="2:12" s="4" customFormat="1" hidden="1" x14ac:dyDescent="0.4"/>
    <row r="439" spans="2:12" s="4" customFormat="1" hidden="1" x14ac:dyDescent="0.4"/>
    <row r="440" spans="2:12" s="4" customFormat="1" hidden="1" x14ac:dyDescent="0.4"/>
    <row r="441" spans="2:12" s="4" customFormat="1" hidden="1" x14ac:dyDescent="0.4"/>
    <row r="442" spans="2:12" s="4" customFormat="1" hidden="1" x14ac:dyDescent="0.4"/>
    <row r="443" spans="2:12" s="4" customFormat="1" hidden="1" x14ac:dyDescent="0.4"/>
    <row r="444" spans="2:12" s="4" customFormat="1" hidden="1" x14ac:dyDescent="0.4"/>
    <row r="445" spans="2:12" s="4" customFormat="1" hidden="1" x14ac:dyDescent="0.4"/>
    <row r="446" spans="2:12" s="4" customFormat="1" hidden="1" x14ac:dyDescent="0.4"/>
    <row r="447" spans="2:12" s="4" customFormat="1" hidden="1" x14ac:dyDescent="0.4"/>
    <row r="448" spans="2:12" s="4" customFormat="1" hidden="1" x14ac:dyDescent="0.4"/>
    <row r="449" spans="2:12" s="4" customFormat="1" hidden="1" x14ac:dyDescent="0.4"/>
    <row r="450" spans="2:12" s="4" customFormat="1" hidden="1" x14ac:dyDescent="0.4"/>
    <row r="451" spans="2:12" s="4" customFormat="1" hidden="1" x14ac:dyDescent="0.4"/>
    <row r="452" spans="2:12" s="4" customFormat="1" hidden="1" x14ac:dyDescent="0.4"/>
    <row r="453" spans="2:12" s="4" customFormat="1" hidden="1" x14ac:dyDescent="0.4"/>
    <row r="454" spans="2:12" s="4" customFormat="1" hidden="1" x14ac:dyDescent="0.4"/>
    <row r="455" spans="2:12" s="4" customFormat="1" hidden="1" x14ac:dyDescent="0.4"/>
    <row r="456" spans="2:12" s="4" customFormat="1" hidden="1" x14ac:dyDescent="0.4"/>
    <row r="457" spans="2:12" s="4" customFormat="1" hidden="1" x14ac:dyDescent="0.4"/>
    <row r="458" spans="2:12" s="4" customFormat="1" ht="19.2" x14ac:dyDescent="0.45">
      <c r="B458" s="754" t="str">
        <f>"Transport to Processing"&amp;" - "&amp;Feedstocks!C20</f>
        <v xml:space="preserve">Transport to Processing - </v>
      </c>
      <c r="C458" s="755"/>
      <c r="D458" s="755"/>
      <c r="E458" s="755"/>
      <c r="F458" s="755"/>
      <c r="G458" s="755"/>
      <c r="H458" s="755"/>
      <c r="I458" s="755"/>
      <c r="J458" s="755"/>
      <c r="K458" s="755"/>
      <c r="L458" s="756"/>
    </row>
    <row r="459" spans="2:12" s="4" customFormat="1" outlineLevel="1" x14ac:dyDescent="0.4">
      <c r="B459" s="17"/>
      <c r="C459" s="522"/>
      <c r="D459" s="19"/>
      <c r="E459" s="19"/>
      <c r="F459" s="19"/>
      <c r="G459" s="19"/>
      <c r="H459" s="19"/>
      <c r="I459" s="19"/>
      <c r="J459" s="19"/>
      <c r="K459" s="19"/>
      <c r="L459" s="50"/>
    </row>
    <row r="460" spans="2:12" s="4" customFormat="1" outlineLevel="1" x14ac:dyDescent="0.4">
      <c r="B460" s="20"/>
      <c r="C460" s="1"/>
      <c r="D460" s="760"/>
      <c r="E460" s="761"/>
      <c r="F460" s="762"/>
      <c r="G460" s="1"/>
      <c r="H460" s="303" t="s">
        <v>122</v>
      </c>
      <c r="I460" s="47"/>
      <c r="J460" s="47"/>
      <c r="K460" s="61"/>
      <c r="L460" s="35"/>
    </row>
    <row r="461" spans="2:12" s="4" customFormat="1" outlineLevel="1" x14ac:dyDescent="0.4">
      <c r="B461" s="20"/>
      <c r="C461" s="175" t="s">
        <v>123</v>
      </c>
      <c r="D461" s="753" t="str">
        <f>IF(Feedstocks!$H$20&gt;0,Feedstocks!$H$20,"")</f>
        <v/>
      </c>
      <c r="E461" s="753"/>
      <c r="F461" s="753"/>
      <c r="G461" s="76"/>
      <c r="H461" s="43"/>
      <c r="I461" s="36"/>
      <c r="J461" s="164" t="s">
        <v>124</v>
      </c>
      <c r="K461" s="44"/>
      <c r="L461" s="35"/>
    </row>
    <row r="462" spans="2:12" s="12" customFormat="1" ht="15" outlineLevel="1" x14ac:dyDescent="0.35">
      <c r="B462" s="20"/>
      <c r="C462" s="1"/>
      <c r="D462" s="1"/>
      <c r="E462" s="1"/>
      <c r="F462" s="1"/>
      <c r="G462" s="1"/>
      <c r="H462" s="43"/>
      <c r="I462" s="164" t="s">
        <v>125</v>
      </c>
      <c r="J462" s="52" t="str">
        <f>IFERROR(IF('Feedstock conversion'!E463="Yes",(J465/(IF(Feedstocks!I20="default",Feedstocks!J20,IF(Feedstocks!I20="actual",Feedstocks!K20,"Insert data (plant inputs)"))/Feedstocks!E20*'Feedstock conversion'!D467*'Transport 2'!F469*('Digestion &amp; outputs'!$G$25/1000)))*IF('Feedstock conversion'!E492="Yes",'Feedstock conversion'!J495,1)*'Digestion &amp; outputs'!$K$23,IF('Feedstock conversion'!E463="No",(J465/(IF(Feedstocks!I20="default",Feedstocks!J20,IF(Feedstocks!I20="actual",Feedstocks!K20,"Insert data (plant inputs)"))/Feedstocks!E20*'Transport 2'!F469*('Digestion &amp; outputs'!$G$25/1000)))*'Digestion &amp; outputs'!$K$23,"")),"")</f>
        <v/>
      </c>
      <c r="K462" s="44"/>
      <c r="L462" s="54"/>
    </row>
    <row r="463" spans="2:12" s="4" customFormat="1" outlineLevel="1" x14ac:dyDescent="0.4">
      <c r="B463" s="20"/>
      <c r="C463" s="164" t="s">
        <v>163</v>
      </c>
      <c r="D463" s="134" t="s">
        <v>164</v>
      </c>
      <c r="E463" s="1"/>
      <c r="F463" s="1"/>
      <c r="G463" s="1"/>
      <c r="H463" s="41"/>
      <c r="I463" s="34"/>
      <c r="J463" s="34"/>
      <c r="K463" s="37"/>
      <c r="L463" s="35"/>
    </row>
    <row r="464" spans="2:12" s="4" customFormat="1" outlineLevel="1" x14ac:dyDescent="0.4">
      <c r="B464" s="20"/>
      <c r="C464" s="164" t="s">
        <v>165</v>
      </c>
      <c r="D464" s="143"/>
      <c r="E464" s="1"/>
      <c r="F464" s="1"/>
      <c r="G464" s="1"/>
      <c r="H464" s="41"/>
      <c r="I464" s="36"/>
      <c r="J464" s="164" t="s">
        <v>141</v>
      </c>
      <c r="K464" s="37"/>
      <c r="L464" s="35"/>
    </row>
    <row r="465" spans="2:12" s="4" customFormat="1" outlineLevel="1" x14ac:dyDescent="0.4">
      <c r="B465" s="20"/>
      <c r="C465" s="164" t="s">
        <v>160</v>
      </c>
      <c r="D465" s="134"/>
      <c r="E465" s="1"/>
      <c r="F465" s="1"/>
      <c r="G465" s="1"/>
      <c r="H465" s="42"/>
      <c r="I465" s="164" t="s">
        <v>167</v>
      </c>
      <c r="J465" s="52">
        <f>IFERROR(J470,"Insert data")</f>
        <v>0</v>
      </c>
      <c r="K465" s="62"/>
      <c r="L465" s="35"/>
    </row>
    <row r="466" spans="2:12" s="4" customFormat="1" outlineLevel="1" x14ac:dyDescent="0.4">
      <c r="B466" s="20"/>
      <c r="C466" s="21"/>
      <c r="D466" s="21"/>
      <c r="E466" s="21"/>
      <c r="F466" s="21"/>
      <c r="G466" s="21"/>
      <c r="H466" s="46"/>
      <c r="I466" s="58"/>
      <c r="J466" s="58"/>
      <c r="K466" s="59"/>
      <c r="L466" s="35"/>
    </row>
    <row r="467" spans="2:12" s="4" customFormat="1" outlineLevel="1" x14ac:dyDescent="0.4">
      <c r="B467" s="20"/>
      <c r="C467" s="25" t="s">
        <v>168</v>
      </c>
      <c r="D467" s="21"/>
      <c r="E467" s="21"/>
      <c r="F467" s="21"/>
      <c r="G467" s="21"/>
      <c r="H467" s="21"/>
      <c r="I467" s="21"/>
      <c r="J467" s="21"/>
      <c r="K467" s="21"/>
      <c r="L467" s="35"/>
    </row>
    <row r="468" spans="2:12" s="14" customFormat="1" ht="30.6" outlineLevel="1" x14ac:dyDescent="0.4">
      <c r="B468" s="23"/>
      <c r="C468" s="166" t="s">
        <v>131</v>
      </c>
      <c r="D468" s="166" t="s">
        <v>169</v>
      </c>
      <c r="E468" s="166" t="s">
        <v>170</v>
      </c>
      <c r="F468" s="166" t="s">
        <v>171</v>
      </c>
      <c r="G468" s="24"/>
      <c r="H468" s="303" t="s">
        <v>136</v>
      </c>
      <c r="I468" s="47"/>
      <c r="J468" s="47"/>
      <c r="K468" s="45"/>
      <c r="L468" s="63"/>
    </row>
    <row r="469" spans="2:12" s="4" customFormat="1" outlineLevel="1" x14ac:dyDescent="0.4">
      <c r="B469" s="20"/>
      <c r="C469" s="138" t="s">
        <v>96</v>
      </c>
      <c r="D469" s="93">
        <v>1</v>
      </c>
      <c r="E469" s="135"/>
      <c r="F469" s="31">
        <f>IFERROR(IF(OR(C469="Default",D463="No transport required"),D469,IF(ISBLANK(E469),"Insert data",E469)),"")</f>
        <v>1</v>
      </c>
      <c r="G469" s="21"/>
      <c r="H469" s="41"/>
      <c r="I469" s="36"/>
      <c r="J469" s="164" t="s">
        <v>141</v>
      </c>
      <c r="K469" s="37"/>
      <c r="L469" s="35"/>
    </row>
    <row r="470" spans="2:12" s="4" customFormat="1" outlineLevel="1" x14ac:dyDescent="0.4">
      <c r="B470" s="20"/>
      <c r="C470" s="21"/>
      <c r="D470" s="21"/>
      <c r="E470" s="692" t="str">
        <f>IF(E469&gt;1, "value should not be above 1", "")</f>
        <v/>
      </c>
      <c r="F470" s="21"/>
      <c r="G470" s="21"/>
      <c r="H470" s="42"/>
      <c r="I470" s="164" t="s">
        <v>172</v>
      </c>
      <c r="J470" s="52">
        <f>IF(D463="No transport required",0,IFERROR(E473*INDEX(Fuel_EFs,MATCH(D465,Fuels_for_EF,0))*D464/1000,"Insert data"))</f>
        <v>0</v>
      </c>
      <c r="K470" s="62"/>
      <c r="L470" s="35"/>
    </row>
    <row r="471" spans="2:12" s="4" customFormat="1" outlineLevel="1" x14ac:dyDescent="0.4">
      <c r="B471" s="20"/>
      <c r="C471" s="25" t="s">
        <v>173</v>
      </c>
      <c r="D471" s="21"/>
      <c r="E471" s="21"/>
      <c r="F471" s="21"/>
      <c r="G471" s="21"/>
      <c r="H471" s="46"/>
      <c r="I471" s="58"/>
      <c r="J471" s="58"/>
      <c r="K471" s="59"/>
      <c r="L471" s="35"/>
    </row>
    <row r="472" spans="2:12" s="14" customFormat="1" outlineLevel="1" x14ac:dyDescent="0.4">
      <c r="B472" s="23"/>
      <c r="C472" s="176" t="s">
        <v>174</v>
      </c>
      <c r="D472" s="166" t="s">
        <v>175</v>
      </c>
      <c r="E472" s="166" t="s">
        <v>176</v>
      </c>
      <c r="F472" s="24"/>
      <c r="G472" s="24"/>
      <c r="H472" s="4"/>
      <c r="I472" s="4"/>
      <c r="J472" s="4"/>
      <c r="K472" s="4"/>
      <c r="L472" s="63"/>
    </row>
    <row r="473" spans="2:12" s="4" customFormat="1" outlineLevel="1" x14ac:dyDescent="0.4">
      <c r="B473" s="20"/>
      <c r="C473" s="138" t="s">
        <v>96</v>
      </c>
      <c r="D473" s="93">
        <f>INDEX(Transport_Fuel_Efficiencies,MATCH(D463,Transport_Modes,0))</f>
        <v>0</v>
      </c>
      <c r="E473" s="31">
        <f>IFERROR(IF(C473="Default",D473,IF(OR(ISBLANK(E475),ISBLANK(D479),ISBLANK(D483)),"Insert data",(IF(C479="litres",(D479*(INDEX(Fuel_Densities,MATCH(D465,Fuels_for_Densities,0))/1000)*INDEX(Fuel_LHV,MATCH(D465,Fuels_for_LHV,0)))/(D483*D464),(IF(C479="m3",(D479*(INDEX(Fuel_Densities,MATCH(D465,Fuels_for_Densities,0)))*INDEX(Fuel_LHV,MATCH(D465,Fuels_for_LHV,0)))/(D483*D464),IF(C479="kg",(D479*INDEX(Fuel_LHV,MATCH(D465,Fuels_for_LHV,0)))/(D483*D464),IF(C479="tonnes",(D479*INDEX(Fuel_LHV,MATCH(D465,Fuels_for_LHV,0))*1000)/(D483*D464),IF(C479="MWh",(D479*'Reference values'!$D$47)/(D483*D464),IF(C479="kWh",(D479*'Reference values'!$D$47/1000)/(D483*D464),"Insert unit")))))))))),"")</f>
        <v>0</v>
      </c>
      <c r="F473" s="21"/>
      <c r="G473" s="21"/>
      <c r="L473" s="35"/>
    </row>
    <row r="474" spans="2:12" s="4" customFormat="1" outlineLevel="1" x14ac:dyDescent="0.4">
      <c r="B474" s="20"/>
      <c r="C474" s="21"/>
      <c r="D474" s="21"/>
      <c r="E474" s="21"/>
      <c r="F474" s="21"/>
      <c r="G474" s="21"/>
      <c r="H474" s="21"/>
      <c r="I474" s="21"/>
      <c r="J474" s="21"/>
      <c r="K474" s="21"/>
      <c r="L474" s="35"/>
    </row>
    <row r="475" spans="2:12" s="4" customFormat="1" ht="16.5" customHeight="1" outlineLevel="1" x14ac:dyDescent="0.4">
      <c r="B475" s="20"/>
      <c r="C475" s="759" t="s">
        <v>177</v>
      </c>
      <c r="D475" s="759"/>
      <c r="E475" s="135" t="s">
        <v>178</v>
      </c>
      <c r="F475" s="21"/>
      <c r="G475" s="21"/>
      <c r="L475" s="35"/>
    </row>
    <row r="476" spans="2:12" s="4" customFormat="1" ht="12.75" customHeight="1" outlineLevel="1" x14ac:dyDescent="0.4">
      <c r="B476" s="20"/>
      <c r="C476" s="21"/>
      <c r="D476" s="21"/>
      <c r="E476" s="21"/>
      <c r="F476" s="21"/>
      <c r="G476" s="21"/>
      <c r="L476" s="35"/>
    </row>
    <row r="477" spans="2:12" s="4" customFormat="1" outlineLevel="1" x14ac:dyDescent="0.4">
      <c r="B477" s="20"/>
      <c r="C477" s="25" t="str">
        <f>IF(E475="yes", "Fuel demand for outward journey",IF(E475="No","Fuel demand for full journey (outward and return)",""))</f>
        <v>Fuel demand for full journey (outward and return)</v>
      </c>
      <c r="D477" s="21"/>
      <c r="E477" s="21"/>
      <c r="F477" s="21"/>
      <c r="G477" s="21"/>
      <c r="H477" s="21"/>
      <c r="I477" s="21"/>
      <c r="J477" s="21"/>
      <c r="K477" s="21"/>
      <c r="L477" s="35"/>
    </row>
    <row r="478" spans="2:12" s="4" customFormat="1" outlineLevel="1" x14ac:dyDescent="0.4">
      <c r="B478" s="20"/>
      <c r="C478" s="164" t="s">
        <v>151</v>
      </c>
      <c r="D478" s="164" t="s">
        <v>140</v>
      </c>
      <c r="E478" s="21"/>
      <c r="F478" s="21"/>
      <c r="G478" s="21"/>
      <c r="H478" s="21"/>
      <c r="I478" s="21"/>
      <c r="J478" s="21"/>
      <c r="K478" s="21"/>
      <c r="L478" s="35"/>
    </row>
    <row r="479" spans="2:12" s="4" customFormat="1" outlineLevel="1" x14ac:dyDescent="0.4">
      <c r="B479" s="20"/>
      <c r="C479" s="138"/>
      <c r="D479" s="135"/>
      <c r="E479" s="21"/>
      <c r="F479" s="21"/>
      <c r="G479" s="21"/>
      <c r="H479" s="21"/>
      <c r="I479" s="21"/>
      <c r="J479" s="21"/>
      <c r="K479" s="21"/>
      <c r="L479" s="35"/>
    </row>
    <row r="480" spans="2:12" s="4" customFormat="1" outlineLevel="1" x14ac:dyDescent="0.4">
      <c r="B480" s="20"/>
      <c r="C480" s="21"/>
      <c r="D480" s="21"/>
      <c r="E480" s="21"/>
      <c r="F480" s="21"/>
      <c r="G480" s="21"/>
      <c r="H480" s="21"/>
      <c r="I480" s="21"/>
      <c r="J480" s="21"/>
      <c r="K480" s="21"/>
      <c r="L480" s="35"/>
    </row>
    <row r="481" spans="2:12" s="4" customFormat="1" outlineLevel="1" x14ac:dyDescent="0.4">
      <c r="B481" s="20"/>
      <c r="C481" s="25" t="s">
        <v>180</v>
      </c>
      <c r="D481" s="21"/>
      <c r="E481" s="21"/>
      <c r="F481" s="21"/>
      <c r="G481" s="21"/>
      <c r="H481" s="21"/>
      <c r="I481" s="21"/>
      <c r="J481" s="21"/>
      <c r="K481" s="21"/>
      <c r="L481" s="35"/>
    </row>
    <row r="482" spans="2:12" s="4" customFormat="1" outlineLevel="1" x14ac:dyDescent="0.4">
      <c r="B482" s="20"/>
      <c r="C482" s="164" t="s">
        <v>151</v>
      </c>
      <c r="D482" s="164" t="s">
        <v>140</v>
      </c>
      <c r="E482" s="21"/>
      <c r="F482" s="21"/>
      <c r="G482" s="21"/>
      <c r="H482" s="21"/>
      <c r="I482" s="21"/>
      <c r="J482" s="21"/>
      <c r="K482" s="21"/>
      <c r="L482" s="35"/>
    </row>
    <row r="483" spans="2:12" s="4" customFormat="1" outlineLevel="1" x14ac:dyDescent="0.4">
      <c r="B483" s="20"/>
      <c r="C483" s="138"/>
      <c r="D483" s="135"/>
      <c r="E483" s="21"/>
      <c r="F483" s="21"/>
      <c r="G483" s="21"/>
      <c r="H483" s="21"/>
      <c r="I483" s="21"/>
      <c r="J483" s="21"/>
      <c r="K483" s="21"/>
      <c r="L483" s="35"/>
    </row>
    <row r="484" spans="2:12" s="4" customFormat="1" ht="12.75" customHeight="1" outlineLevel="1" x14ac:dyDescent="0.4">
      <c r="B484" s="28"/>
      <c r="C484" s="29"/>
      <c r="D484" s="29"/>
      <c r="E484" s="29"/>
      <c r="F484" s="29"/>
      <c r="G484" s="29"/>
      <c r="H484" s="29"/>
      <c r="I484" s="29"/>
      <c r="J484" s="29"/>
      <c r="K484" s="29"/>
      <c r="L484" s="60"/>
    </row>
    <row r="485" spans="2:12" s="4" customFormat="1" x14ac:dyDescent="0.4"/>
    <row r="486" spans="2:12" s="4" customFormat="1" x14ac:dyDescent="0.4"/>
    <row r="487" spans="2:12" s="1" customFormat="1" ht="11.25" customHeight="1" x14ac:dyDescent="0.35">
      <c r="B487" s="2"/>
      <c r="C487" s="3"/>
      <c r="E487" s="2"/>
    </row>
    <row r="488" spans="2:12" s="200" customFormat="1" ht="3.75" customHeight="1" thickBot="1" x14ac:dyDescent="0.45"/>
  </sheetData>
  <sheetProtection algorithmName="SHA-512" hashValue="uUSWILc8ikyTKLVuAAhnVC1Ne0f9y9rgME0ZUV88AD7PzaX5em5pIsIC6w9L1ZAIRLEgnmaMzTwJ3p3BnqBqrQ==" saltValue="+p/fDJuCBzTLhdQKIncRHA==" spinCount="100000" sheet="1" objects="1" scenarios="1"/>
  <mergeCells count="41">
    <mergeCell ref="B6:L6"/>
    <mergeCell ref="B8:L8"/>
    <mergeCell ref="C25:D25"/>
    <mergeCell ref="D10:F10"/>
    <mergeCell ref="D11:F11"/>
    <mergeCell ref="B58:L58"/>
    <mergeCell ref="D60:F60"/>
    <mergeCell ref="D61:F61"/>
    <mergeCell ref="C75:D75"/>
    <mergeCell ref="B108:L108"/>
    <mergeCell ref="D110:F110"/>
    <mergeCell ref="D111:F111"/>
    <mergeCell ref="C125:D125"/>
    <mergeCell ref="B158:L158"/>
    <mergeCell ref="D160:F160"/>
    <mergeCell ref="D161:F161"/>
    <mergeCell ref="C175:D175"/>
    <mergeCell ref="B208:L208"/>
    <mergeCell ref="D210:F210"/>
    <mergeCell ref="D211:F211"/>
    <mergeCell ref="C225:D225"/>
    <mergeCell ref="B258:L258"/>
    <mergeCell ref="D260:F260"/>
    <mergeCell ref="D261:F261"/>
    <mergeCell ref="C275:D275"/>
    <mergeCell ref="B308:L308"/>
    <mergeCell ref="D310:F310"/>
    <mergeCell ref="D311:F311"/>
    <mergeCell ref="C325:D325"/>
    <mergeCell ref="B358:L358"/>
    <mergeCell ref="D360:F360"/>
    <mergeCell ref="D361:F361"/>
    <mergeCell ref="C375:D375"/>
    <mergeCell ref="B408:L408"/>
    <mergeCell ref="D410:F410"/>
    <mergeCell ref="C475:D475"/>
    <mergeCell ref="D411:F411"/>
    <mergeCell ref="C425:D425"/>
    <mergeCell ref="B458:L458"/>
    <mergeCell ref="D460:F460"/>
    <mergeCell ref="D461:F461"/>
  </mergeCells>
  <conditionalFormatting sqref="A7:XFD11 A1:XFD5 A6:B6 M6:XFD6">
    <cfRule type="cellIs" dxfId="2072" priority="49" operator="equal">
      <formula>"Insert data"</formula>
    </cfRule>
  </conditionalFormatting>
  <conditionalFormatting sqref="A7:XFD21 A3:XFD5 A6:B6 M6:XFD6">
    <cfRule type="cellIs" dxfId="2071" priority="48" operator="equal">
      <formula>"Insert unit"</formula>
    </cfRule>
  </conditionalFormatting>
  <conditionalFormatting sqref="A62:XFD71 A73:XFD110 A23:XFD60 A61:I61 H71:K74 A72:B72 D72:XFD72 A112:XFD121 A123:XFD160 A111:I111 H121:K124 A122:B122 D122:XFD122 A162:XFD171 A173:XFD210 A161:I161 H171:K174 A172:B172 D172:XFD172 A212:XFD221 A223:XFD260 A211:I211 H221:K225 A222:B222 D222:XFD222 A262:XFD271 A273:XFD310 A261:I261 H271:K274 A272:B272 D272:XFD272 A312:XFD321 A323:XFD360 A311:I311 H321:K323 A322:B322 D322:XFD322 A362:XFD371 A373:XFD410 A361:I361 H371:K374 A372:B372 D372:XFD372 A412:XFD421 A423:XFD460 A411:I411 H421:K424 A422:B422 D422:XFD422 A462:XFD471 A473:XFD486 A461:I461 H471:K474 A472:B472 D472:XFD472 R1:XFD2 H21:K24 A22:B22 D22:XFD22 A490:XFD1048576">
    <cfRule type="cellIs" dxfId="2070" priority="397" operator="equal">
      <formula>"Insert unit"</formula>
    </cfRule>
  </conditionalFormatting>
  <conditionalFormatting sqref="A62:XFD110 A12:XFD60 A61:I61 A112:XFD160 A111:I111 A162:XFD210 A161:I161 A212:XFD260 A211:I211 A262:XFD310 A261:I261 A312:XFD360 A311:I311 A362:XFD410 A361:I361 A412:XFD460 A411:I411 A462:XFD486 A461:I461 A490:XFD1048576">
    <cfRule type="cellIs" dxfId="2069" priority="398" operator="equal">
      <formula>"Insert data"</formula>
    </cfRule>
  </conditionalFormatting>
  <conditionalFormatting sqref="B12:L12 E13:L13 B13:B15 D14:L15 B16:L16 B17:G17 H17:L24 B18 G18 B19:G21 B22 F22:G22 B23:G24 B25 E25:L25 B26:L27 B28 E28:L28 B29:L31 B32 E32:L32 B33:L34 B9:L9 B10:B11">
    <cfRule type="expression" dxfId="2068" priority="400">
      <formula>$D$13="No transport required"</formula>
    </cfRule>
  </conditionalFormatting>
  <conditionalFormatting sqref="B59:L59 B60:B61 B62:L62 E63:L63 B63:B65 D64:L65 B66:L66 B67:G67 H67:L74 B68 G68 B69:G71 B72 F72:G72 B73:G74 B75 E75:L75 B76:L77 B78 E78:L78 B79:L81 B82 E82:L82 B83:L84">
    <cfRule type="expression" dxfId="2067" priority="209">
      <formula>$D$63="No transport required"</formula>
    </cfRule>
  </conditionalFormatting>
  <conditionalFormatting sqref="B109:L109 B110:B111 B112:L112 E113:L113 B113:B115 D114:L115 B116:L116 B117:G117 H117:L124 B118 G118 B119:G121 B122 F122:G122 B123:G124 B125 E125:L125 B126:L127 B128 E128:L128 B129:L131 B132 E132:L132 B133:L134">
    <cfRule type="expression" dxfId="2066" priority="192">
      <formula>$D$113="No transport required"</formula>
    </cfRule>
  </conditionalFormatting>
  <conditionalFormatting sqref="B159:L159 B160:B161 B162:L162 E163:L163 B163:B165 D164:L165 B166:L166 B167:G167 H167:L174 B168 G168 B169:G171 B172 F172:G172 B173:G174 B175 E175:L175 B176:L177 B178 E178:L178 B179:L181 B182 E182:L182 B183:L184">
    <cfRule type="expression" dxfId="2065" priority="175">
      <formula>$D$163="No transport required"</formula>
    </cfRule>
  </conditionalFormatting>
  <conditionalFormatting sqref="B209:L209 B210:B211 B212:L212 E213:L213 B213:B215 D214:L215 B216:L216 B217:G217 H217:L224 B218 G218 B219:G221 H221:K225 B222 F222:G222 B223:G224 B225 E225:L225 B226:L227 B228 E228:L228 B229:L231 B232 E232:L232 B233:L234">
    <cfRule type="expression" dxfId="2064" priority="158">
      <formula>$D$213="No transport required"</formula>
    </cfRule>
  </conditionalFormatting>
  <conditionalFormatting sqref="B259:L259 B260:B261 B262:L262 E263:L263 B263:B265 D264:L265 B266:L266 B267:G267 H267:L274 B268 G268 B269:G271 B272 F272:G272 B273:G274 B275 E275:L275 B276:L277 B278 E278:L278 B279:L281 B282 E282:L282 B283:L284">
    <cfRule type="expression" dxfId="2063" priority="141">
      <formula>$D$263="No transport required"</formula>
    </cfRule>
  </conditionalFormatting>
  <conditionalFormatting sqref="B309:L309 B310:B311 B312:L312 E313:L313 B313:B315 D314:L315 B316:L316 B317:G317 H317:L324 B318 G318 B319:G321 B322 F322:G322 B323:G324 B325 E325:L325 B326:L327 B328 E328:L328 B329:L331 B332 E332:L332 B333:L334">
    <cfRule type="expression" dxfId="2062" priority="124">
      <formula>$D$313="No transport required"</formula>
    </cfRule>
  </conditionalFormatting>
  <conditionalFormatting sqref="B359:L359 B360:B361 B362:L362 E363:L363 B363:B365 D364:L365 B366:L366 B367:G367 H367:L374 B368 G368 B369:G371 B372 F372:G372 B373:G374 B375 E375:L375 B376:L377 B378 E378:L378 B379:L381 B382 E382:L382 B383:L384">
    <cfRule type="expression" dxfId="2061" priority="107">
      <formula>$D$363="No transport required"</formula>
    </cfRule>
  </conditionalFormatting>
  <conditionalFormatting sqref="B409:L409 B410:B411 B412:L412 E413:L413 B413:B415 D414:L415 B416:L416 B417:G417 H417:L424 B418 G418 B419:G421 B422 F422:G422 B423:G424 B425 E425:L425 B426:L427 B428 E428:L428 B429:L431 B432 E432:L432 B433:L434">
    <cfRule type="expression" dxfId="2060" priority="90">
      <formula>$D$413="No transport required"</formula>
    </cfRule>
  </conditionalFormatting>
  <conditionalFormatting sqref="B459:L459 B460:B461 B462:L462 E463:L463 B463:B465 D464:L465 B466:L466 B467:G467 H467:L474 B468 G468 B469:G471 B472 F472:G472 B473:G474 B475 E475:L475 B476:L477 B478 E478:L478 B479:L481 B482 E482:L482 B483:L484">
    <cfRule type="expression" dxfId="2059" priority="73">
      <formula>$D$463="No transport required"</formula>
    </cfRule>
  </conditionalFormatting>
  <conditionalFormatting sqref="C10">
    <cfRule type="cellIs" dxfId="2058" priority="2" operator="equal">
      <formula>"Insert data"</formula>
    </cfRule>
    <cfRule type="expression" dxfId="2057" priority="3">
      <formula>$D$13="No transport required"</formula>
    </cfRule>
  </conditionalFormatting>
  <conditionalFormatting sqref="C19">
    <cfRule type="cellIs" dxfId="2056" priority="414" operator="equal">
      <formula>"Default"</formula>
    </cfRule>
    <cfRule type="cellIs" dxfId="2055" priority="413" operator="equal">
      <formula>"Actual"</formula>
    </cfRule>
  </conditionalFormatting>
  <conditionalFormatting sqref="C23">
    <cfRule type="cellIs" dxfId="2054" priority="410" operator="equal">
      <formula>"Default"</formula>
    </cfRule>
    <cfRule type="cellIs" dxfId="2053" priority="409" operator="equal">
      <formula>"Actual"</formula>
    </cfRule>
  </conditionalFormatting>
  <conditionalFormatting sqref="C60">
    <cfRule type="expression" dxfId="2052" priority="1">
      <formula>$D$63="No transport required"</formula>
    </cfRule>
  </conditionalFormatting>
  <conditionalFormatting sqref="C69">
    <cfRule type="cellIs" dxfId="2051" priority="223" operator="equal">
      <formula>"Default"</formula>
    </cfRule>
    <cfRule type="cellIs" dxfId="2050" priority="222" operator="equal">
      <formula>"Actual"</formula>
    </cfRule>
  </conditionalFormatting>
  <conditionalFormatting sqref="C73">
    <cfRule type="cellIs" dxfId="2049" priority="219" operator="equal">
      <formula>"Default"</formula>
    </cfRule>
    <cfRule type="cellIs" dxfId="2048" priority="218" operator="equal">
      <formula>"Actual"</formula>
    </cfRule>
  </conditionalFormatting>
  <conditionalFormatting sqref="C110">
    <cfRule type="expression" dxfId="2047" priority="8">
      <formula>$D$113="No transport required"</formula>
    </cfRule>
  </conditionalFormatting>
  <conditionalFormatting sqref="C119">
    <cfRule type="cellIs" dxfId="2046" priority="206" operator="equal">
      <formula>"Default"</formula>
    </cfRule>
    <cfRule type="cellIs" dxfId="2045" priority="205" operator="equal">
      <formula>"Actual"</formula>
    </cfRule>
  </conditionalFormatting>
  <conditionalFormatting sqref="C123">
    <cfRule type="cellIs" dxfId="2044" priority="201" operator="equal">
      <formula>"Actual"</formula>
    </cfRule>
    <cfRule type="cellIs" dxfId="2043" priority="202" operator="equal">
      <formula>"Default"</formula>
    </cfRule>
  </conditionalFormatting>
  <conditionalFormatting sqref="C160">
    <cfRule type="expression" dxfId="2042" priority="9">
      <formula>$D$163="No transport required"</formula>
    </cfRule>
  </conditionalFormatting>
  <conditionalFormatting sqref="C169">
    <cfRule type="cellIs" dxfId="2041" priority="189" operator="equal">
      <formula>"Default"</formula>
    </cfRule>
    <cfRule type="cellIs" dxfId="2040" priority="188" operator="equal">
      <formula>"Actual"</formula>
    </cfRule>
  </conditionalFormatting>
  <conditionalFormatting sqref="C173">
    <cfRule type="cellIs" dxfId="2039" priority="184" operator="equal">
      <formula>"Actual"</formula>
    </cfRule>
    <cfRule type="cellIs" dxfId="2038" priority="185" operator="equal">
      <formula>"Default"</formula>
    </cfRule>
  </conditionalFormatting>
  <conditionalFormatting sqref="C210">
    <cfRule type="expression" dxfId="2037" priority="10">
      <formula>$D$213="No transport required"</formula>
    </cfRule>
  </conditionalFormatting>
  <conditionalFormatting sqref="C219">
    <cfRule type="cellIs" dxfId="2036" priority="171" operator="equal">
      <formula>"Actual"</formula>
    </cfRule>
    <cfRule type="cellIs" dxfId="2035" priority="172" operator="equal">
      <formula>"Default"</formula>
    </cfRule>
  </conditionalFormatting>
  <conditionalFormatting sqref="C223">
    <cfRule type="cellIs" dxfId="2034" priority="168" operator="equal">
      <formula>"Default"</formula>
    </cfRule>
    <cfRule type="cellIs" dxfId="2033" priority="167" operator="equal">
      <formula>"Actual"</formula>
    </cfRule>
  </conditionalFormatting>
  <conditionalFormatting sqref="C260">
    <cfRule type="expression" dxfId="2032" priority="11">
      <formula>$D$263="No transport required"</formula>
    </cfRule>
  </conditionalFormatting>
  <conditionalFormatting sqref="C269">
    <cfRule type="cellIs" dxfId="2031" priority="154" operator="equal">
      <formula>"Actual"</formula>
    </cfRule>
    <cfRule type="cellIs" dxfId="2030" priority="155" operator="equal">
      <formula>"Default"</formula>
    </cfRule>
  </conditionalFormatting>
  <conditionalFormatting sqref="C273">
    <cfRule type="cellIs" dxfId="2029" priority="151" operator="equal">
      <formula>"Default"</formula>
    </cfRule>
    <cfRule type="cellIs" dxfId="2028" priority="150" operator="equal">
      <formula>"Actual"</formula>
    </cfRule>
  </conditionalFormatting>
  <conditionalFormatting sqref="C310">
    <cfRule type="expression" dxfId="2027" priority="7">
      <formula>$D$313="No transport required"</formula>
    </cfRule>
  </conditionalFormatting>
  <conditionalFormatting sqref="C319">
    <cfRule type="cellIs" dxfId="2026" priority="138" operator="equal">
      <formula>"Default"</formula>
    </cfRule>
    <cfRule type="cellIs" dxfId="2025" priority="137" operator="equal">
      <formula>"Actual"</formula>
    </cfRule>
  </conditionalFormatting>
  <conditionalFormatting sqref="C323">
    <cfRule type="cellIs" dxfId="2024" priority="134" operator="equal">
      <formula>"Default"</formula>
    </cfRule>
    <cfRule type="cellIs" dxfId="2023" priority="133" operator="equal">
      <formula>"Actual"</formula>
    </cfRule>
  </conditionalFormatting>
  <conditionalFormatting sqref="C360">
    <cfRule type="expression" dxfId="2022" priority="6">
      <formula>$D$363="No transport required"</formula>
    </cfRule>
  </conditionalFormatting>
  <conditionalFormatting sqref="C369">
    <cfRule type="cellIs" dxfId="2021" priority="120" operator="equal">
      <formula>"Actual"</formula>
    </cfRule>
    <cfRule type="cellIs" dxfId="2020" priority="121" operator="equal">
      <formula>"Default"</formula>
    </cfRule>
  </conditionalFormatting>
  <conditionalFormatting sqref="C373">
    <cfRule type="cellIs" dxfId="2019" priority="116" operator="equal">
      <formula>"Actual"</formula>
    </cfRule>
    <cfRule type="cellIs" dxfId="2018" priority="117" operator="equal">
      <formula>"Default"</formula>
    </cfRule>
  </conditionalFormatting>
  <conditionalFormatting sqref="C410">
    <cfRule type="expression" dxfId="2017" priority="5">
      <formula>$D$413="No transport required"</formula>
    </cfRule>
  </conditionalFormatting>
  <conditionalFormatting sqref="C419">
    <cfRule type="cellIs" dxfId="2016" priority="103" operator="equal">
      <formula>"Actual"</formula>
    </cfRule>
    <cfRule type="cellIs" dxfId="2015" priority="104" operator="equal">
      <formula>"Default"</formula>
    </cfRule>
  </conditionalFormatting>
  <conditionalFormatting sqref="C423">
    <cfRule type="cellIs" dxfId="2014" priority="99" operator="equal">
      <formula>"Actual"</formula>
    </cfRule>
    <cfRule type="cellIs" dxfId="2013" priority="100" operator="equal">
      <formula>"Default"</formula>
    </cfRule>
  </conditionalFormatting>
  <conditionalFormatting sqref="C460">
    <cfRule type="expression" dxfId="2012" priority="4">
      <formula>$D$463="No transport required"</formula>
    </cfRule>
  </conditionalFormatting>
  <conditionalFormatting sqref="C469">
    <cfRule type="cellIs" dxfId="2011" priority="87" operator="equal">
      <formula>"Default"</formula>
    </cfRule>
    <cfRule type="cellIs" dxfId="2010" priority="86" operator="equal">
      <formula>"Actual"</formula>
    </cfRule>
  </conditionalFormatting>
  <conditionalFormatting sqref="C473">
    <cfRule type="cellIs" dxfId="2009" priority="82" operator="equal">
      <formula>"Actual"</formula>
    </cfRule>
    <cfRule type="cellIs" dxfId="2008" priority="83" operator="equal">
      <formula>"Default"</formula>
    </cfRule>
  </conditionalFormatting>
  <conditionalFormatting sqref="D19">
    <cfRule type="expression" dxfId="2007" priority="415">
      <formula>C19="Actual"</formula>
    </cfRule>
    <cfRule type="expression" dxfId="2006" priority="416">
      <formula>C19="Default"</formula>
    </cfRule>
  </conditionalFormatting>
  <conditionalFormatting sqref="D23">
    <cfRule type="expression" dxfId="2005" priority="407">
      <formula>C23="Actual"</formula>
    </cfRule>
    <cfRule type="expression" dxfId="2004" priority="408">
      <formula>C23="Default"</formula>
    </cfRule>
  </conditionalFormatting>
  <conditionalFormatting sqref="D29">
    <cfRule type="expression" dxfId="2003" priority="404">
      <formula>C23="Default"</formula>
    </cfRule>
    <cfRule type="expression" dxfId="2002" priority="403">
      <formula>C23="Actual"</formula>
    </cfRule>
  </conditionalFormatting>
  <conditionalFormatting sqref="D33">
    <cfRule type="expression" dxfId="2001" priority="402">
      <formula>C23="Default"</formula>
    </cfRule>
    <cfRule type="expression" dxfId="2000" priority="401">
      <formula>C23="Actual"</formula>
    </cfRule>
  </conditionalFormatting>
  <conditionalFormatting sqref="D69">
    <cfRule type="expression" dxfId="1999" priority="224">
      <formula>C69="Actual"</formula>
    </cfRule>
    <cfRule type="expression" dxfId="1998" priority="225">
      <formula>C69="Default"</formula>
    </cfRule>
  </conditionalFormatting>
  <conditionalFormatting sqref="D73">
    <cfRule type="expression" dxfId="1997" priority="216">
      <formula>C73="Actual"</formula>
    </cfRule>
    <cfRule type="expression" dxfId="1996" priority="217">
      <formula>C73="Default"</formula>
    </cfRule>
  </conditionalFormatting>
  <conditionalFormatting sqref="D79">
    <cfRule type="expression" dxfId="1995" priority="213">
      <formula>C73="Default"</formula>
    </cfRule>
    <cfRule type="expression" dxfId="1994" priority="212">
      <formula>C73="Actual"</formula>
    </cfRule>
  </conditionalFormatting>
  <conditionalFormatting sqref="D83">
    <cfRule type="expression" dxfId="1993" priority="210">
      <formula>C73="Actual"</formula>
    </cfRule>
    <cfRule type="expression" dxfId="1992" priority="211">
      <formula>C73="Default"</formula>
    </cfRule>
  </conditionalFormatting>
  <conditionalFormatting sqref="D119">
    <cfRule type="expression" dxfId="1991" priority="207">
      <formula>C119="Actual"</formula>
    </cfRule>
    <cfRule type="expression" dxfId="1990" priority="208">
      <formula>C119="Default"</formula>
    </cfRule>
  </conditionalFormatting>
  <conditionalFormatting sqref="D123">
    <cfRule type="expression" dxfId="1989" priority="200">
      <formula>C123="Default"</formula>
    </cfRule>
    <cfRule type="expression" dxfId="1988" priority="199">
      <formula>C123="Actual"</formula>
    </cfRule>
  </conditionalFormatting>
  <conditionalFormatting sqref="D129">
    <cfRule type="expression" dxfId="1987" priority="196">
      <formula>C123="Default"</formula>
    </cfRule>
    <cfRule type="expression" dxfId="1986" priority="195">
      <formula>C123="Actual"</formula>
    </cfRule>
  </conditionalFormatting>
  <conditionalFormatting sqref="D133">
    <cfRule type="expression" dxfId="1985" priority="193">
      <formula>C123="Actual"</formula>
    </cfRule>
    <cfRule type="expression" dxfId="1984" priority="194">
      <formula>C123="Default"</formula>
    </cfRule>
  </conditionalFormatting>
  <conditionalFormatting sqref="D169">
    <cfRule type="expression" dxfId="1983" priority="191">
      <formula>C169="Default"</formula>
    </cfRule>
    <cfRule type="expression" dxfId="1982" priority="190">
      <formula>C169="Actual"</formula>
    </cfRule>
  </conditionalFormatting>
  <conditionalFormatting sqref="D173">
    <cfRule type="expression" dxfId="1981" priority="182">
      <formula>C173="Actual"</formula>
    </cfRule>
    <cfRule type="expression" dxfId="1980" priority="183">
      <formula>C173="Default"</formula>
    </cfRule>
  </conditionalFormatting>
  <conditionalFormatting sqref="D179">
    <cfRule type="expression" dxfId="1979" priority="178">
      <formula>C173="Actual"</formula>
    </cfRule>
    <cfRule type="expression" dxfId="1978" priority="179">
      <formula>C173="Default"</formula>
    </cfRule>
  </conditionalFormatting>
  <conditionalFormatting sqref="D183">
    <cfRule type="expression" dxfId="1977" priority="176">
      <formula>C173="Actual"</formula>
    </cfRule>
    <cfRule type="expression" dxfId="1976" priority="177">
      <formula>C173="Default"</formula>
    </cfRule>
  </conditionalFormatting>
  <conditionalFormatting sqref="D219">
    <cfRule type="expression" dxfId="1975" priority="173">
      <formula>C219="Actual"</formula>
    </cfRule>
    <cfRule type="expression" dxfId="1974" priority="174">
      <formula>C219="Default"</formula>
    </cfRule>
  </conditionalFormatting>
  <conditionalFormatting sqref="D223">
    <cfRule type="expression" dxfId="1973" priority="166">
      <formula>C223="Default"</formula>
    </cfRule>
    <cfRule type="expression" dxfId="1972" priority="165">
      <formula>C223="Actual"</formula>
    </cfRule>
  </conditionalFormatting>
  <conditionalFormatting sqref="D229">
    <cfRule type="expression" dxfId="1971" priority="161">
      <formula>C223="Actual"</formula>
    </cfRule>
    <cfRule type="expression" dxfId="1970" priority="162">
      <formula>C223="Default"</formula>
    </cfRule>
  </conditionalFormatting>
  <conditionalFormatting sqref="D233">
    <cfRule type="expression" dxfId="1969" priority="159">
      <formula>C223="Actual"</formula>
    </cfRule>
    <cfRule type="expression" dxfId="1968" priority="160">
      <formula>C223="Default"</formula>
    </cfRule>
  </conditionalFormatting>
  <conditionalFormatting sqref="D269">
    <cfRule type="expression" dxfId="1967" priority="157">
      <formula>C269="Default"</formula>
    </cfRule>
    <cfRule type="expression" dxfId="1966" priority="156">
      <formula>C269="Actual"</formula>
    </cfRule>
  </conditionalFormatting>
  <conditionalFormatting sqref="D273">
    <cfRule type="expression" dxfId="1965" priority="149">
      <formula>C273="Default"</formula>
    </cfRule>
    <cfRule type="expression" dxfId="1964" priority="148">
      <formula>C273="Actual"</formula>
    </cfRule>
  </conditionalFormatting>
  <conditionalFormatting sqref="D279">
    <cfRule type="expression" dxfId="1963" priority="144">
      <formula>C273="Actual"</formula>
    </cfRule>
    <cfRule type="expression" dxfId="1962" priority="145">
      <formula>C273="Default"</formula>
    </cfRule>
  </conditionalFormatting>
  <conditionalFormatting sqref="D283">
    <cfRule type="expression" dxfId="1961" priority="142">
      <formula>C273="Actual"</formula>
    </cfRule>
    <cfRule type="expression" dxfId="1960" priority="143">
      <formula>C273="Default"</formula>
    </cfRule>
  </conditionalFormatting>
  <conditionalFormatting sqref="D319">
    <cfRule type="expression" dxfId="1959" priority="139">
      <formula>C319="Actual"</formula>
    </cfRule>
    <cfRule type="expression" dxfId="1958" priority="140">
      <formula>C319="Default"</formula>
    </cfRule>
  </conditionalFormatting>
  <conditionalFormatting sqref="D323">
    <cfRule type="expression" dxfId="1957" priority="131">
      <formula>C323="Actual"</formula>
    </cfRule>
    <cfRule type="expression" dxfId="1956" priority="132">
      <formula>C323="Default"</formula>
    </cfRule>
  </conditionalFormatting>
  <conditionalFormatting sqref="D329">
    <cfRule type="expression" dxfId="1955" priority="128">
      <formula>C323="Default"</formula>
    </cfRule>
    <cfRule type="expression" dxfId="1954" priority="127">
      <formula>C323="Actual"</formula>
    </cfRule>
  </conditionalFormatting>
  <conditionalFormatting sqref="D333">
    <cfRule type="expression" dxfId="1953" priority="125">
      <formula>C323="Actual"</formula>
    </cfRule>
    <cfRule type="expression" dxfId="1952" priority="126">
      <formula>C323="Default"</formula>
    </cfRule>
  </conditionalFormatting>
  <conditionalFormatting sqref="D369">
    <cfRule type="expression" dxfId="1951" priority="122">
      <formula>C369="Actual"</formula>
    </cfRule>
    <cfRule type="expression" dxfId="1950" priority="123">
      <formula>C369="Default"</formula>
    </cfRule>
  </conditionalFormatting>
  <conditionalFormatting sqref="D373">
    <cfRule type="expression" dxfId="1949" priority="115">
      <formula>C373="Default"</formula>
    </cfRule>
    <cfRule type="expression" dxfId="1948" priority="114">
      <formula>C373="Actual"</formula>
    </cfRule>
  </conditionalFormatting>
  <conditionalFormatting sqref="D379">
    <cfRule type="expression" dxfId="1947" priority="111">
      <formula>C373="Default"</formula>
    </cfRule>
    <cfRule type="expression" dxfId="1946" priority="110">
      <formula>C373="Actual"</formula>
    </cfRule>
  </conditionalFormatting>
  <conditionalFormatting sqref="D383">
    <cfRule type="expression" dxfId="1945" priority="109">
      <formula>C373="Default"</formula>
    </cfRule>
    <cfRule type="expression" dxfId="1944" priority="108">
      <formula>C373="Actual"</formula>
    </cfRule>
  </conditionalFormatting>
  <conditionalFormatting sqref="D419">
    <cfRule type="expression" dxfId="1943" priority="106">
      <formula>C419="Default"</formula>
    </cfRule>
    <cfRule type="expression" dxfId="1942" priority="105">
      <formula>C419="Actual"</formula>
    </cfRule>
  </conditionalFormatting>
  <conditionalFormatting sqref="D423">
    <cfRule type="expression" dxfId="1941" priority="98">
      <formula>C423="Default"</formula>
    </cfRule>
    <cfRule type="expression" dxfId="1940" priority="97">
      <formula>C423="Actual"</formula>
    </cfRule>
  </conditionalFormatting>
  <conditionalFormatting sqref="D429">
    <cfRule type="expression" dxfId="1939" priority="94">
      <formula>C423="Default"</formula>
    </cfRule>
    <cfRule type="expression" dxfId="1938" priority="93">
      <formula>C423="Actual"</formula>
    </cfRule>
  </conditionalFormatting>
  <conditionalFormatting sqref="D433">
    <cfRule type="expression" dxfId="1937" priority="92">
      <formula>C423="Default"</formula>
    </cfRule>
    <cfRule type="expression" dxfId="1936" priority="91">
      <formula>C423="Actual"</formula>
    </cfRule>
  </conditionalFormatting>
  <conditionalFormatting sqref="D469">
    <cfRule type="expression" dxfId="1935" priority="89">
      <formula>C469="Default"</formula>
    </cfRule>
    <cfRule type="expression" dxfId="1934" priority="88">
      <formula>C469="Actual"</formula>
    </cfRule>
  </conditionalFormatting>
  <conditionalFormatting sqref="D473">
    <cfRule type="expression" dxfId="1933" priority="81">
      <formula>C473="Default"</formula>
    </cfRule>
    <cfRule type="expression" dxfId="1932" priority="80">
      <formula>C473="Actual"</formula>
    </cfRule>
  </conditionalFormatting>
  <conditionalFormatting sqref="D479">
    <cfRule type="expression" dxfId="1931" priority="76">
      <formula>C473="Actual"</formula>
    </cfRule>
    <cfRule type="expression" dxfId="1930" priority="77">
      <formula>C473="Default"</formula>
    </cfRule>
  </conditionalFormatting>
  <conditionalFormatting sqref="D483">
    <cfRule type="expression" dxfId="1929" priority="74">
      <formula>C473="Actual"</formula>
    </cfRule>
    <cfRule type="expression" dxfId="1928" priority="75">
      <formula>C473="Default"</formula>
    </cfRule>
  </conditionalFormatting>
  <conditionalFormatting sqref="D10:L11">
    <cfRule type="expression" dxfId="1927" priority="50">
      <formula>$D$13="No transport required"</formula>
    </cfRule>
  </conditionalFormatting>
  <conditionalFormatting sqref="D60:L61">
    <cfRule type="expression" dxfId="1926" priority="45">
      <formula>$D$63="No transport required"</formula>
    </cfRule>
  </conditionalFormatting>
  <conditionalFormatting sqref="D110:L111">
    <cfRule type="expression" dxfId="1925" priority="42">
      <formula>$D$113="No transport required"</formula>
    </cfRule>
  </conditionalFormatting>
  <conditionalFormatting sqref="D160:L161">
    <cfRule type="expression" dxfId="1924" priority="39">
      <formula>$D$163="No transport required"</formula>
    </cfRule>
  </conditionalFormatting>
  <conditionalFormatting sqref="D210:L211">
    <cfRule type="expression" dxfId="1923" priority="36">
      <formula>$D$213="No transport required"</formula>
    </cfRule>
  </conditionalFormatting>
  <conditionalFormatting sqref="D260:L261">
    <cfRule type="expression" dxfId="1922" priority="33">
      <formula>$D$263="No transport required"</formula>
    </cfRule>
  </conditionalFormatting>
  <conditionalFormatting sqref="D310:L311">
    <cfRule type="expression" dxfId="1921" priority="30">
      <formula>$D$313="No transport required"</formula>
    </cfRule>
  </conditionalFormatting>
  <conditionalFormatting sqref="D360:L361">
    <cfRule type="expression" dxfId="1920" priority="27">
      <formula>$D$363="No transport required"</formula>
    </cfRule>
  </conditionalFormatting>
  <conditionalFormatting sqref="D410:L411">
    <cfRule type="expression" dxfId="1919" priority="24">
      <formula>$D$413="No transport required"</formula>
    </cfRule>
  </conditionalFormatting>
  <conditionalFormatting sqref="D460:L461">
    <cfRule type="expression" dxfId="1918" priority="21">
      <formula>$D$463="No transport required"</formula>
    </cfRule>
  </conditionalFormatting>
  <conditionalFormatting sqref="E19">
    <cfRule type="expression" dxfId="1917" priority="412">
      <formula>C19="Default"</formula>
    </cfRule>
    <cfRule type="expression" dxfId="1916" priority="411">
      <formula>C19="Actual"</formula>
    </cfRule>
  </conditionalFormatting>
  <conditionalFormatting sqref="E25">
    <cfRule type="expression" dxfId="1915" priority="406">
      <formula>C23="Default"</formula>
    </cfRule>
    <cfRule type="expression" dxfId="1914" priority="405">
      <formula>C23="Actual"</formula>
    </cfRule>
  </conditionalFormatting>
  <conditionalFormatting sqref="E69">
    <cfRule type="expression" dxfId="1913" priority="220">
      <formula>C69="Actual"</formula>
    </cfRule>
    <cfRule type="expression" dxfId="1912" priority="221">
      <formula>C69="Default"</formula>
    </cfRule>
  </conditionalFormatting>
  <conditionalFormatting sqref="E75">
    <cfRule type="expression" dxfId="1911" priority="215">
      <formula>C73="Default"</formula>
    </cfRule>
    <cfRule type="expression" dxfId="1910" priority="214">
      <formula>C73="Actual"</formula>
    </cfRule>
  </conditionalFormatting>
  <conditionalFormatting sqref="E119">
    <cfRule type="expression" dxfId="1909" priority="203">
      <formula>C119="Actual"</formula>
    </cfRule>
    <cfRule type="expression" dxfId="1908" priority="204">
      <formula>C119="Default"</formula>
    </cfRule>
  </conditionalFormatting>
  <conditionalFormatting sqref="E125">
    <cfRule type="expression" dxfId="1907" priority="197">
      <formula>C123="Actual"</formula>
    </cfRule>
    <cfRule type="expression" dxfId="1906" priority="198">
      <formula>C123="Default"</formula>
    </cfRule>
  </conditionalFormatting>
  <conditionalFormatting sqref="E169">
    <cfRule type="expression" dxfId="1905" priority="186">
      <formula>C169="Actual"</formula>
    </cfRule>
    <cfRule type="expression" dxfId="1904" priority="187">
      <formula>C169="Default"</formula>
    </cfRule>
  </conditionalFormatting>
  <conditionalFormatting sqref="E175">
    <cfRule type="expression" dxfId="1903" priority="180">
      <formula>C173="Actual"</formula>
    </cfRule>
    <cfRule type="expression" dxfId="1902" priority="181">
      <formula>C173="Default"</formula>
    </cfRule>
  </conditionalFormatting>
  <conditionalFormatting sqref="E219">
    <cfRule type="expression" dxfId="1901" priority="170">
      <formula>C219="Default"</formula>
    </cfRule>
    <cfRule type="expression" dxfId="1900" priority="169">
      <formula>C219="Actual"</formula>
    </cfRule>
  </conditionalFormatting>
  <conditionalFormatting sqref="E225">
    <cfRule type="expression" dxfId="1899" priority="163">
      <formula>C223="Actual"</formula>
    </cfRule>
    <cfRule type="expression" dxfId="1898" priority="164">
      <formula>C223="Default"</formula>
    </cfRule>
  </conditionalFormatting>
  <conditionalFormatting sqref="E269">
    <cfRule type="expression" dxfId="1897" priority="152">
      <formula>C269="Actual"</formula>
    </cfRule>
    <cfRule type="expression" dxfId="1896" priority="153">
      <formula>C269="Default"</formula>
    </cfRule>
  </conditionalFormatting>
  <conditionalFormatting sqref="E275">
    <cfRule type="expression" dxfId="1895" priority="146">
      <formula>C273="Actual"</formula>
    </cfRule>
    <cfRule type="expression" dxfId="1894" priority="147">
      <formula>C273="Default"</formula>
    </cfRule>
  </conditionalFormatting>
  <conditionalFormatting sqref="E319">
    <cfRule type="expression" dxfId="1893" priority="136">
      <formula>C319="Default"</formula>
    </cfRule>
    <cfRule type="expression" dxfId="1892" priority="135">
      <formula>C319="Actual"</formula>
    </cfRule>
  </conditionalFormatting>
  <conditionalFormatting sqref="E325">
    <cfRule type="expression" dxfId="1891" priority="129">
      <formula>C323="Actual"</formula>
    </cfRule>
    <cfRule type="expression" dxfId="1890" priority="130">
      <formula>C323="Default"</formula>
    </cfRule>
  </conditionalFormatting>
  <conditionalFormatting sqref="E369">
    <cfRule type="expression" dxfId="1889" priority="118">
      <formula>C369="Actual"</formula>
    </cfRule>
    <cfRule type="expression" dxfId="1888" priority="119">
      <formula>C369="Default"</formula>
    </cfRule>
  </conditionalFormatting>
  <conditionalFormatting sqref="E375">
    <cfRule type="expression" dxfId="1887" priority="112">
      <formula>C373="Actual"</formula>
    </cfRule>
    <cfRule type="expression" dxfId="1886" priority="113">
      <formula>C373="Default"</formula>
    </cfRule>
  </conditionalFormatting>
  <conditionalFormatting sqref="E419">
    <cfRule type="expression" dxfId="1885" priority="101">
      <formula>C419="Actual"</formula>
    </cfRule>
    <cfRule type="expression" dxfId="1884" priority="102">
      <formula>C419="Default"</formula>
    </cfRule>
  </conditionalFormatting>
  <conditionalFormatting sqref="E425">
    <cfRule type="expression" dxfId="1883" priority="95">
      <formula>C423="Actual"</formula>
    </cfRule>
    <cfRule type="expression" dxfId="1882" priority="96">
      <formula>C423="Default"</formula>
    </cfRule>
  </conditionalFormatting>
  <conditionalFormatting sqref="E469">
    <cfRule type="expression" dxfId="1881" priority="84">
      <formula>C469="Actual"</formula>
    </cfRule>
    <cfRule type="expression" dxfId="1880" priority="85">
      <formula>C469="Default"</formula>
    </cfRule>
  </conditionalFormatting>
  <conditionalFormatting sqref="E475">
    <cfRule type="expression" dxfId="1879" priority="78">
      <formula>C473="Actual"</formula>
    </cfRule>
    <cfRule type="expression" dxfId="1878" priority="79">
      <formula>C473="Default"</formula>
    </cfRule>
  </conditionalFormatting>
  <conditionalFormatting sqref="J61:XFD61">
    <cfRule type="cellIs" dxfId="1877" priority="47" operator="equal">
      <formula>"Insert data"</formula>
    </cfRule>
    <cfRule type="cellIs" dxfId="1876" priority="46" operator="equal">
      <formula>"Insert unit"</formula>
    </cfRule>
  </conditionalFormatting>
  <conditionalFormatting sqref="J111:XFD111">
    <cfRule type="cellIs" dxfId="1875" priority="44" operator="equal">
      <formula>"Insert data"</formula>
    </cfRule>
    <cfRule type="cellIs" dxfId="1874" priority="43" operator="equal">
      <formula>"Insert unit"</formula>
    </cfRule>
  </conditionalFormatting>
  <conditionalFormatting sqref="J161:XFD161">
    <cfRule type="cellIs" dxfId="1873" priority="41" operator="equal">
      <formula>"Insert data"</formula>
    </cfRule>
    <cfRule type="cellIs" dxfId="1872" priority="40" operator="equal">
      <formula>"Insert unit"</formula>
    </cfRule>
  </conditionalFormatting>
  <conditionalFormatting sqref="J211:XFD211">
    <cfRule type="cellIs" dxfId="1871" priority="38" operator="equal">
      <formula>"Insert data"</formula>
    </cfRule>
    <cfRule type="cellIs" dxfId="1870" priority="37" operator="equal">
      <formula>"Insert unit"</formula>
    </cfRule>
  </conditionalFormatting>
  <conditionalFormatting sqref="J261:XFD261">
    <cfRule type="cellIs" dxfId="1869" priority="35" operator="equal">
      <formula>"Insert data"</formula>
    </cfRule>
    <cfRule type="cellIs" dxfId="1868" priority="34" operator="equal">
      <formula>"Insert unit"</formula>
    </cfRule>
  </conditionalFormatting>
  <conditionalFormatting sqref="J311:XFD311">
    <cfRule type="cellIs" dxfId="1867" priority="32" operator="equal">
      <formula>"Insert data"</formula>
    </cfRule>
    <cfRule type="cellIs" dxfId="1866" priority="31" operator="equal">
      <formula>"Insert unit"</formula>
    </cfRule>
  </conditionalFormatting>
  <conditionalFormatting sqref="J361:XFD361">
    <cfRule type="cellIs" dxfId="1865" priority="28" operator="equal">
      <formula>"Insert unit"</formula>
    </cfRule>
    <cfRule type="cellIs" dxfId="1864" priority="29" operator="equal">
      <formula>"Insert data"</formula>
    </cfRule>
  </conditionalFormatting>
  <conditionalFormatting sqref="J411:XFD411">
    <cfRule type="cellIs" dxfId="1863" priority="25" operator="equal">
      <formula>"Insert unit"</formula>
    </cfRule>
    <cfRule type="cellIs" dxfId="1862" priority="26" operator="equal">
      <formula>"Insert data"</formula>
    </cfRule>
  </conditionalFormatting>
  <conditionalFormatting sqref="J461:XFD461">
    <cfRule type="cellIs" dxfId="1861" priority="23" operator="equal">
      <formula>"Insert data"</formula>
    </cfRule>
    <cfRule type="cellIs" dxfId="1860" priority="22" operator="equal">
      <formula>"Insert unit"</formula>
    </cfRule>
  </conditionalFormatting>
  <dataValidations count="6">
    <dataValidation type="list" allowBlank="1" showInputMessage="1" showErrorMessage="1" sqref="D15 D65 D115 D165 D215 D265 D315 D365 D415 D465" xr:uid="{00000000-0002-0000-0400-000000000000}">
      <formula1>Fuels_for_EF</formula1>
    </dataValidation>
    <dataValidation type="list" allowBlank="1" showInputMessage="1" showErrorMessage="1" sqref="D13 D63 D113 D163 D213 D263 D313 D363 D413 D463" xr:uid="{00000000-0002-0000-0400-000001000000}">
      <formula1>Transport_Modes</formula1>
    </dataValidation>
    <dataValidation type="list" allowBlank="1" showInputMessage="1" showErrorMessage="1" sqref="C19 C23 C69 C73 C119 C123 C169 C173 C219 C223 C269 C273 C319 C323 C369 C373 C419 C423 C469 C473" xr:uid="{00000000-0002-0000-0400-000002000000}">
      <formula1>"Default,Actual"</formula1>
    </dataValidation>
    <dataValidation type="list" allowBlank="1" showInputMessage="1" showErrorMessage="1" sqref="E25 E75 E125 E175 E225 E275 E325 E375 E425 E475" xr:uid="{00000000-0002-0000-0400-000003000000}">
      <formula1>"Yes,No"</formula1>
    </dataValidation>
    <dataValidation type="list" allowBlank="1" showInputMessage="1" showErrorMessage="1" sqref="C29 C79 C129 C179 C229 C279 C329 C379 C429 C479" xr:uid="{00000000-0002-0000-0400-000004000000}">
      <formula1>"litres,m3,kg,tonnes,kWh,MWh"</formula1>
    </dataValidation>
    <dataValidation type="list" allowBlank="1" showInputMessage="1" showErrorMessage="1" sqref="C33 C83 C133 C183 C233 C283 C333 C383 C433 C483" xr:uid="{00000000-0002-0000-0400-000005000000}">
      <formula1>"tonnes"</formula1>
    </dataValidation>
  </dataValidations>
  <pageMargins left="0.7" right="0.7" top="0.75" bottom="0.75" header="0.3" footer="0.3"/>
  <pageSetup paperSize="9" orientation="portrait" r:id="rId1"/>
  <headerFooter>
    <oddHeader>&amp;C&amp;"Calibri"&amp;10&amp;K000000 OFFICIAL&amp;1#_x000D_</oddHeader>
    <oddFooter>&amp;C_x000D_&amp;1#&amp;"Calibri"&amp;10&amp;K000000 OFFICIAL</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N1254"/>
  <sheetViews>
    <sheetView zoomScale="85" zoomScaleNormal="85" workbookViewId="0">
      <selection activeCell="E13" sqref="E13"/>
    </sheetView>
  </sheetViews>
  <sheetFormatPr defaultColWidth="9.109375" defaultRowHeight="16.8" outlineLevelRow="1" x14ac:dyDescent="0.4"/>
  <cols>
    <col min="1" max="1" width="3.5546875" style="158" customWidth="1"/>
    <col min="2" max="2" width="2.6640625" style="158" customWidth="1"/>
    <col min="3" max="3" width="32.88671875" style="158" customWidth="1"/>
    <col min="4" max="4" width="23" style="158" customWidth="1"/>
    <col min="5" max="6" width="19.33203125" style="158" customWidth="1"/>
    <col min="7" max="7" width="5.6640625" style="158" customWidth="1"/>
    <col min="8" max="8" width="2.6640625" style="158" customWidth="1"/>
    <col min="9" max="9" width="22.44140625" style="158" customWidth="1"/>
    <col min="10" max="10" width="18.109375" style="158" customWidth="1"/>
    <col min="11" max="12" width="2.6640625" style="158" customWidth="1"/>
    <col min="13" max="13" width="9.109375" style="158"/>
    <col min="14" max="14" width="14.33203125" style="158" customWidth="1"/>
    <col min="15" max="19" width="9.109375" style="158"/>
    <col min="20" max="20" width="11.109375" style="158" bestFit="1" customWidth="1"/>
    <col min="21" max="16384" width="9.109375" style="158"/>
  </cols>
  <sheetData>
    <row r="1" spans="1:12" ht="24.75" customHeight="1" x14ac:dyDescent="0.4"/>
    <row r="2" spans="1:12" ht="24.75" customHeight="1" x14ac:dyDescent="0.4"/>
    <row r="3" spans="1:12" ht="24.75" customHeight="1" x14ac:dyDescent="0.4"/>
    <row r="4" spans="1:12" s="194" customFormat="1" ht="24.75" customHeight="1" x14ac:dyDescent="0.4"/>
    <row r="5" spans="1:12" s="4" customFormat="1" x14ac:dyDescent="0.4"/>
    <row r="6" spans="1:12" s="4" customFormat="1" ht="48" customHeight="1" x14ac:dyDescent="0.4">
      <c r="B6" s="728" t="s">
        <v>182</v>
      </c>
      <c r="C6" s="728"/>
      <c r="D6" s="728"/>
      <c r="E6" s="728"/>
      <c r="F6" s="728"/>
      <c r="G6" s="728"/>
      <c r="H6" s="728"/>
      <c r="I6" s="728"/>
      <c r="J6" s="728"/>
      <c r="K6" s="728"/>
      <c r="L6" s="728"/>
    </row>
    <row r="7" spans="1:12" s="4" customFormat="1" x14ac:dyDescent="0.4"/>
    <row r="8" spans="1:12" s="4" customFormat="1" ht="19.2" x14ac:dyDescent="0.45">
      <c r="B8" s="754" t="str">
        <f>"Feedstock Conversion"&amp;" - "&amp;Feedstocks!C11</f>
        <v xml:space="preserve">Feedstock Conversion - </v>
      </c>
      <c r="C8" s="755"/>
      <c r="D8" s="755"/>
      <c r="E8" s="755"/>
      <c r="F8" s="755"/>
      <c r="G8" s="755"/>
      <c r="H8" s="755"/>
      <c r="I8" s="755"/>
      <c r="J8" s="755"/>
      <c r="K8" s="755"/>
      <c r="L8" s="756"/>
    </row>
    <row r="9" spans="1:12" s="4" customFormat="1" outlineLevel="1" x14ac:dyDescent="0.4">
      <c r="B9" s="17"/>
      <c r="C9" s="19"/>
      <c r="D9" s="19"/>
      <c r="E9" s="19"/>
      <c r="F9" s="19"/>
      <c r="G9" s="19"/>
      <c r="H9" s="19"/>
      <c r="I9" s="19"/>
      <c r="J9" s="19"/>
      <c r="K9" s="19"/>
      <c r="L9" s="50"/>
    </row>
    <row r="10" spans="1:12" s="4" customFormat="1" outlineLevel="1" x14ac:dyDescent="0.4">
      <c r="B10" s="20"/>
      <c r="C10" s="1"/>
      <c r="D10" s="760"/>
      <c r="E10" s="762"/>
      <c r="F10" s="1"/>
      <c r="G10" s="54"/>
      <c r="H10" s="303" t="s">
        <v>122</v>
      </c>
      <c r="I10" s="47"/>
      <c r="J10" s="47"/>
      <c r="K10" s="45"/>
      <c r="L10" s="35"/>
    </row>
    <row r="11" spans="1:12" s="4" customFormat="1" outlineLevel="1" x14ac:dyDescent="0.4">
      <c r="B11" s="20"/>
      <c r="C11" s="160" t="s">
        <v>123</v>
      </c>
      <c r="D11" s="753" t="str">
        <f>IF(Feedstocks!$H$11&gt;0,Feedstocks!$H$11,"")</f>
        <v/>
      </c>
      <c r="E11" s="753"/>
      <c r="F11" s="21"/>
      <c r="G11" s="76"/>
      <c r="H11" s="41"/>
      <c r="I11" s="36"/>
      <c r="J11" s="164" t="s">
        <v>124</v>
      </c>
      <c r="K11" s="37"/>
      <c r="L11" s="35"/>
    </row>
    <row r="12" spans="1:12" s="4" customFormat="1" outlineLevel="1" x14ac:dyDescent="0.4">
      <c r="B12" s="20"/>
      <c r="C12" s="21"/>
      <c r="D12" s="21"/>
      <c r="E12" s="21"/>
      <c r="F12" s="21"/>
      <c r="G12" s="21"/>
      <c r="H12" s="41"/>
      <c r="I12" s="164" t="s">
        <v>125</v>
      </c>
      <c r="J12" s="52" t="str">
        <f>IFERROR((J16*'Digestion &amp; outputs'!$K$23/('Transport 2'!F19*('Digestion &amp; outputs'!$G$16/1000))),"")</f>
        <v/>
      </c>
      <c r="K12" s="37"/>
      <c r="L12" s="35"/>
    </row>
    <row r="13" spans="1:12" s="4" customFormat="1" outlineLevel="1" x14ac:dyDescent="0.4">
      <c r="B13" s="20"/>
      <c r="C13" s="759" t="s">
        <v>183</v>
      </c>
      <c r="D13" s="759"/>
      <c r="E13" s="134" t="s">
        <v>178</v>
      </c>
      <c r="F13" s="21"/>
      <c r="G13" s="21"/>
      <c r="H13" s="41"/>
      <c r="I13" s="36"/>
      <c r="J13" s="36"/>
      <c r="K13" s="37"/>
      <c r="L13" s="35"/>
    </row>
    <row r="14" spans="1:12" s="4" customFormat="1" outlineLevel="1" x14ac:dyDescent="0.4">
      <c r="B14" s="20"/>
      <c r="C14" s="763" t="s">
        <v>184</v>
      </c>
      <c r="D14" s="764"/>
      <c r="E14" s="134" t="s">
        <v>96</v>
      </c>
      <c r="F14" s="21"/>
      <c r="G14" s="21"/>
      <c r="H14" s="41"/>
      <c r="I14" s="36"/>
      <c r="J14" s="36"/>
      <c r="K14" s="37"/>
      <c r="L14" s="35"/>
    </row>
    <row r="15" spans="1:12" s="4" customFormat="1" outlineLevel="1" x14ac:dyDescent="0.4">
      <c r="B15" s="20"/>
      <c r="C15" s="21"/>
      <c r="D15" s="21"/>
      <c r="E15" s="21"/>
      <c r="F15" s="21"/>
      <c r="G15" s="21"/>
      <c r="H15" s="43"/>
      <c r="I15" s="34"/>
      <c r="J15" s="164" t="s">
        <v>141</v>
      </c>
      <c r="K15" s="44"/>
      <c r="L15" s="35"/>
    </row>
    <row r="16" spans="1:12" s="4" customFormat="1" outlineLevel="1" x14ac:dyDescent="0.4">
      <c r="A16" s="765"/>
      <c r="B16" s="51"/>
      <c r="C16" s="164" t="s">
        <v>185</v>
      </c>
      <c r="D16" s="70">
        <f>IFERROR(Feedstocks!D11/'Transport 2'!F19,"Insert data")</f>
        <v>0</v>
      </c>
      <c r="E16" s="21"/>
      <c r="F16" s="21"/>
      <c r="G16" s="21"/>
      <c r="H16" s="43"/>
      <c r="I16" s="164" t="s">
        <v>167</v>
      </c>
      <c r="J16" s="52">
        <f>IFERROR(IF(AND(E13="YES",ISBLANK(F17)),"Insert yield",SUM(J32:J39,J25:J28,J21)*IF(E42="Yes",J45,1)),"Insert data")</f>
        <v>0</v>
      </c>
      <c r="K16" s="44"/>
      <c r="L16" s="35"/>
    </row>
    <row r="17" spans="1:14" s="4" customFormat="1" outlineLevel="1" x14ac:dyDescent="0.4">
      <c r="A17" s="765"/>
      <c r="B17" s="51"/>
      <c r="C17" s="164" t="s">
        <v>186</v>
      </c>
      <c r="D17" s="680">
        <v>0.9</v>
      </c>
      <c r="E17" s="134"/>
      <c r="F17" s="623">
        <f>IF(E13="no", 1, IF(E14="Default",D17, IF(E14="Actual", IF(E17&gt;0, E17, "insert data"), "error")))</f>
        <v>1</v>
      </c>
      <c r="G17" s="21"/>
      <c r="H17" s="49"/>
      <c r="I17" s="65"/>
      <c r="J17" s="65"/>
      <c r="K17" s="66"/>
      <c r="L17" s="35"/>
    </row>
    <row r="18" spans="1:14" s="4" customFormat="1" outlineLevel="1" x14ac:dyDescent="0.4">
      <c r="A18" s="765"/>
      <c r="B18" s="51"/>
      <c r="C18" s="21"/>
      <c r="D18" s="21"/>
      <c r="E18" s="21"/>
      <c r="F18" s="21"/>
      <c r="G18" s="21"/>
      <c r="H18" s="29"/>
      <c r="I18" s="29"/>
      <c r="J18" s="29"/>
      <c r="K18" s="29"/>
      <c r="L18" s="35"/>
    </row>
    <row r="19" spans="1:14" s="4" customFormat="1" outlineLevel="1" x14ac:dyDescent="0.4">
      <c r="A19" s="765"/>
      <c r="B19" s="51"/>
      <c r="C19" s="25" t="s">
        <v>187</v>
      </c>
      <c r="D19" s="1"/>
      <c r="E19" s="1"/>
      <c r="F19" s="1"/>
      <c r="G19" s="1"/>
      <c r="H19" s="303" t="s">
        <v>136</v>
      </c>
      <c r="I19" s="79"/>
      <c r="J19" s="79"/>
      <c r="K19" s="61"/>
      <c r="L19" s="54"/>
      <c r="M19" s="12"/>
      <c r="N19" s="12"/>
    </row>
    <row r="20" spans="1:14" s="4" customFormat="1" outlineLevel="1" x14ac:dyDescent="0.4">
      <c r="A20" s="765"/>
      <c r="B20" s="51"/>
      <c r="C20" s="166" t="s">
        <v>188</v>
      </c>
      <c r="D20" s="164" t="s">
        <v>151</v>
      </c>
      <c r="E20" s="164" t="s">
        <v>140</v>
      </c>
      <c r="F20" s="1"/>
      <c r="G20" s="1"/>
      <c r="H20" s="43"/>
      <c r="I20" s="34"/>
      <c r="J20" s="164" t="s">
        <v>141</v>
      </c>
      <c r="K20" s="44"/>
      <c r="L20" s="54"/>
    </row>
    <row r="21" spans="1:14" s="4" customFormat="1" outlineLevel="1" x14ac:dyDescent="0.4">
      <c r="A21" s="765"/>
      <c r="B21" s="51"/>
      <c r="C21" s="145"/>
      <c r="D21" s="141"/>
      <c r="E21" s="144"/>
      <c r="F21" s="1"/>
      <c r="G21" s="1"/>
      <c r="H21" s="43"/>
      <c r="I21" s="164" t="s">
        <v>189</v>
      </c>
      <c r="J21" s="31">
        <f>IFERROR(IF(E13="No",0,IF(D21="MWh",(E21*'Reference values'!$D$47*INDEX(Electricity_Emission_Factors,MATCH(C21,Electricity_Source,0)))/(D16*1000),IF(D21="kWh",(E21*'Reference values'!$D$47*INDEX(Electricity_Emission_Factors,MATCH(C21,Electricity_Source,0))/1000)/(D16*1000),IF(D21="MWh/tonne(output)",(E21*'Reference values'!$D$47*INDEX(Electricity_Emission_Factors,MATCH(C21,Electricity_Source,0)))/1000,IF(D21="kWh/tonne(output)",(E21*'Reference values'!$D$47*INDEX(Electricity_Emission_Factors,MATCH(C21,Electricity_Source,0))/1000)/1000,""))))),"")</f>
        <v>0</v>
      </c>
      <c r="K21" s="44"/>
      <c r="L21" s="54"/>
    </row>
    <row r="22" spans="1:14" s="4" customFormat="1" outlineLevel="1" x14ac:dyDescent="0.4">
      <c r="A22" s="765"/>
      <c r="B22" s="51"/>
      <c r="C22" s="1"/>
      <c r="D22" s="1"/>
      <c r="E22" s="1"/>
      <c r="F22" s="1"/>
      <c r="G22" s="1"/>
      <c r="H22" s="43"/>
      <c r="I22" s="34"/>
      <c r="J22" s="34"/>
      <c r="K22" s="44"/>
      <c r="L22" s="54"/>
    </row>
    <row r="23" spans="1:14" s="4" customFormat="1" outlineLevel="1" x14ac:dyDescent="0.4">
      <c r="A23" s="765"/>
      <c r="B23" s="51"/>
      <c r="C23" s="25" t="s">
        <v>190</v>
      </c>
      <c r="D23" s="1"/>
      <c r="E23" s="1"/>
      <c r="F23" s="1"/>
      <c r="G23" s="1"/>
      <c r="H23" s="43"/>
      <c r="I23" s="34"/>
      <c r="J23" s="34"/>
      <c r="K23" s="44"/>
      <c r="L23" s="54"/>
    </row>
    <row r="24" spans="1:14" s="4" customFormat="1" outlineLevel="1" x14ac:dyDescent="0.4">
      <c r="A24" s="765"/>
      <c r="B24" s="51"/>
      <c r="C24" s="164" t="s">
        <v>160</v>
      </c>
      <c r="D24" s="164" t="s">
        <v>151</v>
      </c>
      <c r="E24" s="164" t="s">
        <v>140</v>
      </c>
      <c r="F24" s="1"/>
      <c r="G24" s="1"/>
      <c r="H24" s="43"/>
      <c r="I24" s="164" t="s">
        <v>160</v>
      </c>
      <c r="J24" s="182" t="s">
        <v>141</v>
      </c>
      <c r="K24" s="44"/>
      <c r="L24" s="54"/>
    </row>
    <row r="25" spans="1:14" s="4" customFormat="1" outlineLevel="1" x14ac:dyDescent="0.4">
      <c r="A25" s="765"/>
      <c r="B25" s="51"/>
      <c r="C25" s="27" t="str">
        <f>IF(E14="Default", "Diesel", "")</f>
        <v>Diesel</v>
      </c>
      <c r="D25" s="74" t="str">
        <f>IF(E14="Default", "kWh/tonne(output)", "")</f>
        <v>kWh/tonne(output)</v>
      </c>
      <c r="E25" s="669">
        <f>IF(E14="Default", 3.881, "")</f>
        <v>3.8809999999999998</v>
      </c>
      <c r="F25" s="1"/>
      <c r="G25" s="1"/>
      <c r="H25" s="43"/>
      <c r="I25" s="27" t="str">
        <f>IF(C25&gt;0,C25,"")</f>
        <v>Diesel</v>
      </c>
      <c r="J25" s="31">
        <f>IF(E14="Actual","",IFERROR(IF(C25&gt;0,IF(ISBLANK(E25),"Insert data",IF(E13="No",0,(IF(D25="litres",(E25*(INDEX(Fuel_Densities,MATCH(C25,Fuels_for_Densities,0))/1000)*INDEX(Fuel_LHV,MATCH(C25,Fuels_for_LHV,0))*INDEX(Fuel_EFs,MATCH(C25,Fuels_for_EF,0)))/(D16*1000),(IF(D25="m3",(E25*(INDEX(Fuel_Densities,MATCH(C25,Fuels_for_Densities,0)))*INDEX(Fuel_LHV,MATCH(C25,Fuels_for_LHV,0))*INDEX(Fuel_EFs,MATCH(C25,Fuels_for_EF,0)))/(D16*1000),IF(D25="kg",(E25*INDEX(Fuel_LHV,MATCH(C25,Fuels_for_LHV,0))*INDEX(Fuel_EFs,MATCH(C25,Fuels_for_EF,0)))/(D16*1000),IF(D25="tonnes",(E25*INDEX(Fuel_LHV,MATCH(C25,Fuels_for_LHV,0))*1000*INDEX(Fuel_EFs,MATCH(C25,Fuels_for_EF,0)))/(D16*1000),IF(D25="MWh",(E25*'Reference values'!$D$47*INDEX(Fuel_EFs,MATCH(C25,Fuels_for_EF,0)))/(D16*1000),IF(D25="kWh",(E25*'Reference values'!$D$47*INDEX(Fuel_EFs,MATCH(C25,Fuels_for_EF,0))/1000)/(D16*1000),(IF(D25="litres/tonne(output)",(E25*(INDEX(Fuel_Densities,MATCH(C25,Fuels_for_Densities,0))/1000)*INDEX(Fuel_LHV,MATCH(C25,Fuels_for_LHV,0))*INDEX(Fuel_EFs,MATCH(C25,Fuels_for_EF,0)))/1000,(IF(D25="m3/tonne(output)",(E25*(INDEX(Fuel_Densities,MATCH(C25,Fuels_for_Densities,0)))*INDEX(Fuel_LHV,MATCH(C25,Fuels_for_LHV,0))*INDEX(Fuel_EFs,MATCH(C25,Fuels_for_EF,0)))/1000,IF(D25="kg/tonne(output)",(E25*INDEX(Fuel_LHV,MATCH(C25,Fuels_for_LHV,0))*INDEX(Fuel_EFs,MATCH(C25,Fuels_for_EF,0)))/1000,IF(D25="tonnes/tonne(output)",(E25*INDEX(Fuel_LHV,MATCH(C25,Fuels_for_LHV,0))*1000*INDEX(Fuel_EFs,MATCH(C25,Fuels_for_EF,0)))/1000,IF(D25="MWh/tonne(output)",(E25*'Reference values'!$D$47*INDEX(Fuel_EFs,MATCH(C25,Fuels_for_EF,0)))/1000,IF(D25="kWh/tonne(output)",(E25*'Reference values'!$D$47*INDEX(Fuel_EFs,MATCH(C25,Fuels_for_EF,0))/1000)/1000,"Insert unit")))))))))))))))))),""),"Insert data"))</f>
        <v>0</v>
      </c>
      <c r="K25" s="44"/>
      <c r="L25" s="54"/>
    </row>
    <row r="26" spans="1:14" s="4" customFormat="1" outlineLevel="1" x14ac:dyDescent="0.4">
      <c r="A26" s="765"/>
      <c r="B26" s="51"/>
      <c r="C26" s="134"/>
      <c r="D26" s="141"/>
      <c r="E26" s="144"/>
      <c r="F26" s="1"/>
      <c r="G26" s="1"/>
      <c r="H26" s="43"/>
      <c r="I26" s="27" t="str">
        <f>IF(C26&gt;0,C26,"")</f>
        <v/>
      </c>
      <c r="J26" s="31" t="str">
        <f>IFERROR(IF(C26&gt;0,IF(ISBLANK(E26),"Insert data",IF(E13="No",0,(IF(D26="litres",(E26*(INDEX(Fuel_Densities,MATCH(C26,Fuels_for_Densities,0))/1000)*INDEX(Fuel_LHV,MATCH(C26,Fuels_for_LHV,0))*INDEX(Fuel_EFs,MATCH(C26,Fuels_for_EF,0)))/(D16*1000),(IF(D26="m3",(E26*(INDEX(Fuel_Densities,MATCH(C26,Fuels_for_Densities,0)))*INDEX(Fuel_LHV,MATCH(C26,Fuels_for_LHV,0))*INDEX(Fuel_EFs,MATCH(C26,Fuels_for_EF,0)))/(D16*1000),IF(D26="kg",(E26*INDEX(Fuel_LHV,MATCH(C26,Fuels_for_LHV,0))*INDEX(Fuel_EFs,MATCH(C26,Fuels_for_EF,0)))/(D16*1000),IF(D26="tonnes",(E26*INDEX(Fuel_LHV,MATCH(C26,Fuels_for_LHV,0))*1000*INDEX(Fuel_EFs,MATCH(C26,Fuels_for_EF,0)))/(D16*1000),IF(D26="MWh",(E26*'Reference values'!$D$47*INDEX(Fuel_EFs,MATCH(C26,Fuels_for_EF,0)))/(D16*1000),IF(D26="kWh",(E26*'Reference values'!$D$47*INDEX(Fuel_EFs,MATCH(C26,Fuels_for_EF,0))/1000)/(D16*1000),(IF(D26="litres/tonne(output)",(E26*(INDEX(Fuel_Densities,MATCH(C26,Fuels_for_Densities,0))/1000)*INDEX(Fuel_LHV,MATCH(C26,Fuels_for_LHV,0))*INDEX(Fuel_EFs,MATCH(C26,Fuels_for_EF,0)))/1000,(IF(D26="m3/tonne(output)",(E26*(INDEX(Fuel_Densities,MATCH(C26,Fuels_for_Densities,0)))*INDEX(Fuel_LHV,MATCH(C26,Fuels_for_LHV,0))*INDEX(Fuel_EFs,MATCH(C26,Fuels_for_EF,0)))/1000,IF(D26="kg/tonne(output)",(E26*INDEX(Fuel_LHV,MATCH(C26,Fuels_for_LHV,0))*INDEX(Fuel_EFs,MATCH(C26,Fuels_for_EF,0)))/1000,IF(D26="tonnes/tonne(output)",(E26*INDEX(Fuel_LHV,MATCH(C26,Fuels_for_LHV,0))*1000*INDEX(Fuel_EFs,MATCH(C26,Fuels_for_EF,0)))/1000,IF(D26="MWh/tonne(output)",(E26*'Reference values'!$D$47*INDEX(Fuel_EFs,MATCH(C26,Fuels_for_EF,0)))/1000,IF(D26="kWh/tonne(output)",(E26*'Reference values'!$D$47*INDEX(Fuel_EFs,MATCH(C26,Fuels_for_EF,0))/1000)/1000,"Insert unit")))))))))))))))))),""),"Insert data")</f>
        <v/>
      </c>
      <c r="K26" s="44"/>
      <c r="L26" s="54"/>
    </row>
    <row r="27" spans="1:14" s="4" customFormat="1" outlineLevel="1" x14ac:dyDescent="0.4">
      <c r="A27" s="765"/>
      <c r="B27" s="51"/>
      <c r="C27" s="134"/>
      <c r="D27" s="141"/>
      <c r="E27" s="144"/>
      <c r="F27" s="1"/>
      <c r="G27" s="1"/>
      <c r="H27" s="43"/>
      <c r="I27" s="27" t="str">
        <f>IF(C27&gt;0,C27,"")</f>
        <v/>
      </c>
      <c r="J27" s="31" t="str">
        <f>IFERROR(IF(C27&gt;0,IF(ISBLANK(E27),"Insert data",IF(E13="No",0,(IF(D27="litres",(E27*(INDEX(Fuel_Densities,MATCH(C27,Fuels_for_Densities,0))/1000)*INDEX(Fuel_LHV,MATCH(C27,Fuels_for_LHV,0))*INDEX(Fuel_EFs,MATCH(C27,Fuels_for_EF,0)))/(D16*1000),(IF(D27="m3",(E27*(INDEX(Fuel_Densities,MATCH(C27,Fuels_for_Densities,0)))*INDEX(Fuel_LHV,MATCH(C27,Fuels_for_LHV,0))*INDEX(Fuel_EFs,MATCH(C27,Fuels_for_EF,0)))/(D16*1000),IF(D27="kg",(E27*INDEX(Fuel_LHV,MATCH(C27,Fuels_for_LHV,0))*INDEX(Fuel_EFs,MATCH(C27,Fuels_for_EF,0)))/(D16*1000),IF(D27="tonnes",(E27*INDEX(Fuel_LHV,MATCH(C27,Fuels_for_LHV,0))*1000*INDEX(Fuel_EFs,MATCH(C27,Fuels_for_EF,0)))/(D16*1000),IF(D27="MWh",(E27*'Reference values'!$D$47*INDEX(Fuel_EFs,MATCH(C27,Fuels_for_EF,0)))/(D16*1000),IF(D27="kWh",(E27*'Reference values'!$D$47*INDEX(Fuel_EFs,MATCH(C27,Fuels_for_EF,0))/1000)/(D16*1000),(IF(D27="litres/tonne(output)",(E27*(INDEX(Fuel_Densities,MATCH(C27,Fuels_for_Densities,0))/1000)*INDEX(Fuel_LHV,MATCH(C27,Fuels_for_LHV,0))*INDEX(Fuel_EFs,MATCH(C27,Fuels_for_EF,0)))/1000,(IF(D27="m3/tonne(output)",(E27*(INDEX(Fuel_Densities,MATCH(C27,Fuels_for_Densities,0)))*INDEX(Fuel_LHV,MATCH(C27,Fuels_for_LHV,0))*INDEX(Fuel_EFs,MATCH(C27,Fuels_for_EF,0)))/1000,IF(D27="kg/tonne(output)",(E27*INDEX(Fuel_LHV,MATCH(C27,Fuels_for_LHV,0))*INDEX(Fuel_EFs,MATCH(C27,Fuels_for_EF,0)))/1000,IF(D27="tonnes/tonne(output)",(E27*INDEX(Fuel_LHV,MATCH(C27,Fuels_for_LHV,0))*1000*INDEX(Fuel_EFs,MATCH(C27,Fuels_for_EF,0)))/1000,IF(D27="MWh/tonne(output)",(E27*'Reference values'!$D$47*INDEX(Fuel_EFs,MATCH(C27,Fuels_for_EF,0)))/1000,IF(D27="kWh/tonne(output)",(E27*'Reference values'!$D$47*INDEX(Fuel_EFs,MATCH(C27,Fuels_for_EF,0))/1000)/1000,"Insert unit")))))))))))))))))),""),"Insert data")</f>
        <v/>
      </c>
      <c r="K27" s="44"/>
      <c r="L27" s="54"/>
    </row>
    <row r="28" spans="1:14" s="4" customFormat="1" outlineLevel="1" x14ac:dyDescent="0.4">
      <c r="A28" s="765"/>
      <c r="B28" s="51"/>
      <c r="C28" s="134"/>
      <c r="D28" s="141"/>
      <c r="E28" s="144"/>
      <c r="F28" s="1"/>
      <c r="G28" s="1"/>
      <c r="H28" s="43"/>
      <c r="I28" s="27" t="str">
        <f>IF(C28&gt;0,C28,"")</f>
        <v/>
      </c>
      <c r="J28" s="31" t="str">
        <f>IFERROR(IF(C28&gt;0,IF(ISBLANK(E28),"Insert data",IF(E13="No",0,(IF(D28="litres",(E28*(INDEX(Fuel_Densities,MATCH(C28,Fuels_for_Densities,0))/1000)*INDEX(Fuel_LHV,MATCH(C28,Fuels_for_LHV,0))*INDEX(Fuel_EFs,MATCH(C28,Fuels_for_EF,0)))/(D16*1000),(IF(D28="m3",(E28*(INDEX(Fuel_Densities,MATCH(C28,Fuels_for_Densities,0)))*INDEX(Fuel_LHV,MATCH(C28,Fuels_for_LHV,0))*INDEX(Fuel_EFs,MATCH(C28,Fuels_for_EF,0)))/(D16*1000),IF(D28="kg",(E28*INDEX(Fuel_LHV,MATCH(C28,Fuels_for_LHV,0))*INDEX(Fuel_EFs,MATCH(C28,Fuels_for_EF,0)))/(D16*1000),IF(D28="tonnes",(E28*INDEX(Fuel_LHV,MATCH(C28,Fuels_for_LHV,0))*1000*INDEX(Fuel_EFs,MATCH(C28,Fuels_for_EF,0)))/(D16*1000),IF(D28="MWh",(E28*'Reference values'!$D$47*INDEX(Fuel_EFs,MATCH(C28,Fuels_for_EF,0)))/(D16*1000),IF(D28="kWh",(E28*'Reference values'!$D$47*INDEX(Fuel_EFs,MATCH(C28,Fuels_for_EF,0))/1000)/(D16*1000),(IF(D28="litres/tonne(output)",(E28*(INDEX(Fuel_Densities,MATCH(C28,Fuels_for_Densities,0))/1000)*INDEX(Fuel_LHV,MATCH(C28,Fuels_for_LHV,0))*INDEX(Fuel_EFs,MATCH(C28,Fuels_for_EF,0)))/1000,(IF(D28="m3/tonne(output)",(E28*(INDEX(Fuel_Densities,MATCH(C28,Fuels_for_Densities,0)))*INDEX(Fuel_LHV,MATCH(C28,Fuels_for_LHV,0))*INDEX(Fuel_EFs,MATCH(C28,Fuels_for_EF,0)))/1000,IF(D28="kg/tonne(output)",(E28*INDEX(Fuel_LHV,MATCH(C28,Fuels_for_LHV,0))*INDEX(Fuel_EFs,MATCH(C28,Fuels_for_EF,0)))/1000,IF(D28="tonnes/tonne(output)",(E28*INDEX(Fuel_LHV,MATCH(C28,Fuels_for_LHV,0))*1000*INDEX(Fuel_EFs,MATCH(C28,Fuels_for_EF,0)))/1000,IF(D28="MWh/tonne(output)",(E28*'Reference values'!$D$47*INDEX(Fuel_EFs,MATCH(C28,Fuels_for_EF,0)))/1000,IF(D28="kWh/tonne(output)",(E28*'Reference values'!$D$47*INDEX(Fuel_EFs,MATCH(C28,Fuels_for_EF,0))/1000)/1000,"Insert unit")))))))))))))))))),""),"Insert data")</f>
        <v/>
      </c>
      <c r="K28" s="44"/>
      <c r="L28" s="54"/>
    </row>
    <row r="29" spans="1:14" s="4" customFormat="1" outlineLevel="1" x14ac:dyDescent="0.4">
      <c r="A29" s="765"/>
      <c r="B29" s="51"/>
      <c r="C29" s="1"/>
      <c r="D29" s="1"/>
      <c r="E29" s="1"/>
      <c r="F29" s="53"/>
      <c r="G29" s="53"/>
      <c r="H29" s="56"/>
      <c r="I29" s="57"/>
      <c r="J29" s="34"/>
      <c r="K29" s="44"/>
      <c r="L29" s="54"/>
    </row>
    <row r="30" spans="1:14" s="4" customFormat="1" outlineLevel="1" x14ac:dyDescent="0.4">
      <c r="A30" s="765"/>
      <c r="B30" s="51"/>
      <c r="C30" s="25" t="s">
        <v>191</v>
      </c>
      <c r="D30" s="1"/>
      <c r="E30" s="1"/>
      <c r="F30" s="53"/>
      <c r="G30" s="53"/>
      <c r="H30" s="56"/>
      <c r="I30" s="34"/>
      <c r="J30" s="34"/>
      <c r="K30" s="44"/>
      <c r="L30" s="54"/>
    </row>
    <row r="31" spans="1:14" s="4" customFormat="1" outlineLevel="1" x14ac:dyDescent="0.4">
      <c r="A31" s="765"/>
      <c r="B31" s="51"/>
      <c r="C31" s="164" t="s">
        <v>192</v>
      </c>
      <c r="D31" s="164" t="s">
        <v>151</v>
      </c>
      <c r="E31" s="164" t="s">
        <v>140</v>
      </c>
      <c r="F31" s="1"/>
      <c r="G31" s="1"/>
      <c r="H31" s="43"/>
      <c r="I31" s="164" t="s">
        <v>192</v>
      </c>
      <c r="J31" s="182" t="s">
        <v>141</v>
      </c>
      <c r="K31" s="44"/>
      <c r="L31" s="54"/>
    </row>
    <row r="32" spans="1:14" s="4" customFormat="1" outlineLevel="1" x14ac:dyDescent="0.4">
      <c r="A32" s="765"/>
      <c r="B32" s="51"/>
      <c r="C32" s="134"/>
      <c r="D32" s="141"/>
      <c r="E32" s="144"/>
      <c r="F32" s="1"/>
      <c r="G32" s="1"/>
      <c r="H32" s="43"/>
      <c r="I32" s="27" t="str">
        <f t="shared" ref="I32:I39" si="0">IF(C32&gt;0,C32,"")</f>
        <v/>
      </c>
      <c r="J32" s="31" t="str">
        <f>IFERROR(IF(C32&gt;0,IF(ISBLANK(E32),"Insert data",IF(E13="No",0,IF(D32="kg",E32*INDEX(Chemical_Emission_Factors,MATCH(C32,Chemicals,0))/(D16*1000),IF(D32="tonnes",E32*INDEX(Chemical_Emission_Factors,MATCH(C32,Chemicals,0))*1000/(D16*1000),IF(D32="kg/tonne(output)",E32*INDEX(Chemical_Emission_Factors,MATCH(C32,Chemicals,0))/1000,IF(D32="tonnes/tonne(output)",E32*INDEX(Chemical_Emission_Factors,MATCH(C32,Chemicals,0))*1000/1000,"Insert unit")))))),""),"Insert data")</f>
        <v/>
      </c>
      <c r="K32" s="44"/>
      <c r="L32" s="54"/>
    </row>
    <row r="33" spans="1:12" s="4" customFormat="1" outlineLevel="1" x14ac:dyDescent="0.4">
      <c r="A33" s="765"/>
      <c r="B33" s="51"/>
      <c r="C33" s="134"/>
      <c r="D33" s="141"/>
      <c r="E33" s="144"/>
      <c r="F33" s="1"/>
      <c r="G33" s="1"/>
      <c r="H33" s="43"/>
      <c r="I33" s="27" t="str">
        <f t="shared" si="0"/>
        <v/>
      </c>
      <c r="J33" s="31" t="str">
        <f>IFERROR(IF(C33&gt;0,IF(ISBLANK(E33),"Insert data",IF(E13="No",0,IF(D33="kg",E33*INDEX(Chemical_Emission_Factors,MATCH(C33,Chemicals,0))/(D16*1000),IF(D33="tonnes",E33*INDEX(Chemical_Emission_Factors,MATCH(C33,Chemicals,0))*1000/(D16*1000),IF(D33="kg/tonne(output)",E33*INDEX(Chemical_Emission_Factors,MATCH(C33,Chemicals,0))/1000,IF(D33="tonnes/tonne(output)",E33*INDEX(Chemical_Emission_Factors,MATCH(C33,Chemicals,0))*1000/1000,"Insert unit")))))),""),"Insert data")</f>
        <v/>
      </c>
      <c r="K33" s="44"/>
      <c r="L33" s="54"/>
    </row>
    <row r="34" spans="1:12" s="4" customFormat="1" outlineLevel="1" x14ac:dyDescent="0.4">
      <c r="A34" s="765"/>
      <c r="B34" s="51"/>
      <c r="C34" s="134"/>
      <c r="D34" s="141"/>
      <c r="E34" s="144"/>
      <c r="F34" s="1"/>
      <c r="G34" s="1"/>
      <c r="H34" s="43"/>
      <c r="I34" s="27" t="str">
        <f t="shared" si="0"/>
        <v/>
      </c>
      <c r="J34" s="31" t="str">
        <f>IFERROR(IF(C34&gt;0,IF(ISBLANK(E34),"Insert data",IF(E13="No",0,IF(D34="kg",E34*INDEX(Chemical_Emission_Factors,MATCH(C34,Chemicals,0))/(D16*1000),IF(D34="tonnes",E34*INDEX(Chemical_Emission_Factors,MATCH(C34,Chemicals,0))*1000/(D16*1000),IF(D34="kg/tonne(output)",E34*INDEX(Chemical_Emission_Factors,MATCH(C34,Chemicals,0))/1000,IF(D34="tonnes/tonne(output)",E34*INDEX(Chemical_Emission_Factors,MATCH(C34,Chemicals,0))*1000/1000,"Insert unit")))))),""),"Insert data")</f>
        <v/>
      </c>
      <c r="K34" s="44"/>
      <c r="L34" s="54"/>
    </row>
    <row r="35" spans="1:12" s="4" customFormat="1" outlineLevel="1" x14ac:dyDescent="0.4">
      <c r="A35" s="765"/>
      <c r="B35" s="51"/>
      <c r="C35" s="134"/>
      <c r="D35" s="141"/>
      <c r="E35" s="144"/>
      <c r="F35" s="1"/>
      <c r="G35" s="1"/>
      <c r="H35" s="43"/>
      <c r="I35" s="27" t="str">
        <f t="shared" si="0"/>
        <v/>
      </c>
      <c r="J35" s="31" t="str">
        <f>IFERROR(IF(C35&gt;0,IF(ISBLANK(E35),"Insert data",IF(E13="No",0,IF(D35="kg",E35*INDEX(Chemical_Emission_Factors,MATCH(C35,Chemicals,0))/(D16*1000),IF(D35="tonnes",E35*INDEX(Chemical_Emission_Factors,MATCH(C35,Chemicals,0))*1000/(D16*1000),IF(D35="kg/tonne(output)",E35*INDEX(Chemical_Emission_Factors,MATCH(C35,Chemicals,0))/1000,IF(D35="tonnes/tonne(output)",E35*INDEX(Chemical_Emission_Factors,MATCH(C35,Chemicals,0))*1000/1000,"Insert unit")))))),""),"Insert data")</f>
        <v/>
      </c>
      <c r="K35" s="44"/>
      <c r="L35" s="54"/>
    </row>
    <row r="36" spans="1:12" s="4" customFormat="1" outlineLevel="1" x14ac:dyDescent="0.4">
      <c r="A36" s="765"/>
      <c r="B36" s="51"/>
      <c r="C36" s="134"/>
      <c r="D36" s="141"/>
      <c r="E36" s="144"/>
      <c r="F36" s="1"/>
      <c r="G36" s="1"/>
      <c r="H36" s="43"/>
      <c r="I36" s="27" t="str">
        <f t="shared" si="0"/>
        <v/>
      </c>
      <c r="J36" s="31" t="str">
        <f>IFERROR(IF(C36&gt;0,IF(ISBLANK(E36),"Insert data",IF(E13="No",0,IF(D36="kg",E36*INDEX(Chemical_Emission_Factors,MATCH(C36,Chemicals,0))/(D16*1000),IF(D36="tonnes",E36*INDEX(Chemical_Emission_Factors,MATCH(C36,Chemicals,0))*1000/(D16*1000),IF(D36="kg/tonne(output)",E36*INDEX(Chemical_Emission_Factors,MATCH(C36,Chemicals,0))/1000,IF(D36="tonnes/tonne(output)",E36*INDEX(Chemical_Emission_Factors,MATCH(C36,Chemicals,0))*1000/1000,"Insert unit")))))),""),"Insert data")</f>
        <v/>
      </c>
      <c r="K36" s="44"/>
      <c r="L36" s="54"/>
    </row>
    <row r="37" spans="1:12" s="4" customFormat="1" outlineLevel="1" x14ac:dyDescent="0.4">
      <c r="A37" s="765"/>
      <c r="B37" s="51"/>
      <c r="C37" s="134"/>
      <c r="D37" s="141"/>
      <c r="E37" s="144"/>
      <c r="F37" s="1"/>
      <c r="G37" s="1"/>
      <c r="H37" s="43"/>
      <c r="I37" s="27" t="str">
        <f t="shared" si="0"/>
        <v/>
      </c>
      <c r="J37" s="31" t="str">
        <f>IFERROR(IF(C37&gt;0,IF(ISBLANK(E37),"Insert data",IF(E13="No",0,IF(D37="kg",E37*INDEX(Chemical_Emission_Factors,MATCH(C37,Chemicals,0))/(D16*1000),IF(D37="tonnes",E37*INDEX(Chemical_Emission_Factors,MATCH(C37,Chemicals,0))*1000/(D16*1000),IF(D37="kg/tonne(output)",E37*INDEX(Chemical_Emission_Factors,MATCH(C37,Chemicals,0))/1000,IF(D37="tonnes/tonne(output)",E37*INDEX(Chemical_Emission_Factors,MATCH(C37,Chemicals,0))*1000/1000,"Insert unit")))))),""),"Insert data")</f>
        <v/>
      </c>
      <c r="K37" s="44"/>
      <c r="L37" s="54"/>
    </row>
    <row r="38" spans="1:12" s="4" customFormat="1" outlineLevel="1" x14ac:dyDescent="0.4">
      <c r="A38" s="765"/>
      <c r="B38" s="51"/>
      <c r="C38" s="134"/>
      <c r="D38" s="141"/>
      <c r="E38" s="144"/>
      <c r="F38" s="1"/>
      <c r="G38" s="1"/>
      <c r="H38" s="43"/>
      <c r="I38" s="27" t="str">
        <f t="shared" si="0"/>
        <v/>
      </c>
      <c r="J38" s="31" t="str">
        <f>IFERROR(IF(C38&gt;0,IF(ISBLANK(E38),"Insert data",IF(E13="No",0,IF(D38="kg",E38*INDEX(Chemical_Emission_Factors,MATCH(C38,Chemicals,0))/(D16*1000),IF(D38="tonnes",E38*INDEX(Chemical_Emission_Factors,MATCH(C38,Chemicals,0))*1000/(D16*1000),IF(D38="kg/tonne(output)",E38*INDEX(Chemical_Emission_Factors,MATCH(C38,Chemicals,0))/1000,IF(D38="tonnes/tonne(output)",E38*INDEX(Chemical_Emission_Factors,MATCH(C38,Chemicals,0))*1000/1000,"Insert unit")))))),""),"Insert data")</f>
        <v/>
      </c>
      <c r="K38" s="44"/>
      <c r="L38" s="54"/>
    </row>
    <row r="39" spans="1:12" s="4" customFormat="1" outlineLevel="1" x14ac:dyDescent="0.4">
      <c r="A39" s="765"/>
      <c r="B39" s="51"/>
      <c r="C39" s="134"/>
      <c r="D39" s="141"/>
      <c r="E39" s="144"/>
      <c r="F39" s="1"/>
      <c r="G39" s="1"/>
      <c r="H39" s="43"/>
      <c r="I39" s="27" t="str">
        <f t="shared" si="0"/>
        <v/>
      </c>
      <c r="J39" s="31" t="str">
        <f>IFERROR(IF(C39&gt;0,IF(ISBLANK(E39),"Insert data",IF(E13="No",0,IF(D39="kg",E39*INDEX(Chemical_Emission_Factors,MATCH(C39,Chemicals,0))/(D16*1000),IF(D39="tonnes",E39*INDEX(Chemical_Emission_Factors,MATCH(C39,Chemicals,0))*1000/(D16*1000),IF(D39="kg/tonne(output)",E39*INDEX(Chemical_Emission_Factors,MATCH(C39,Chemicals,0))/1000,IF(D39="tonnes/tonne(output)",E39*INDEX(Chemical_Emission_Factors,MATCH(C39,Chemicals,0))*1000/1000,"Insert unit")))))),""),"Insert data")</f>
        <v/>
      </c>
      <c r="K39" s="44"/>
      <c r="L39" s="54"/>
    </row>
    <row r="40" spans="1:12" s="4" customFormat="1" ht="12.75" customHeight="1" outlineLevel="1" x14ac:dyDescent="0.4">
      <c r="B40" s="28"/>
      <c r="C40" s="29"/>
      <c r="D40" s="29"/>
      <c r="E40" s="29"/>
      <c r="F40" s="29"/>
      <c r="G40" s="29"/>
      <c r="H40" s="46"/>
      <c r="I40" s="58"/>
      <c r="J40" s="58"/>
      <c r="K40" s="59"/>
      <c r="L40" s="60"/>
    </row>
    <row r="41" spans="1:12" s="4" customFormat="1" outlineLevel="1" x14ac:dyDescent="0.4">
      <c r="B41" s="20"/>
      <c r="C41" s="243" t="s">
        <v>193</v>
      </c>
      <c r="D41" s="21"/>
      <c r="E41" s="21"/>
      <c r="F41" s="21"/>
      <c r="G41" s="21"/>
      <c r="H41" s="21"/>
      <c r="I41" s="21"/>
      <c r="J41" s="21"/>
      <c r="K41" s="21"/>
      <c r="L41" s="35"/>
    </row>
    <row r="42" spans="1:12" s="4" customFormat="1" outlineLevel="1" x14ac:dyDescent="0.4">
      <c r="B42" s="20"/>
      <c r="C42" s="766" t="s">
        <v>194</v>
      </c>
      <c r="D42" s="767"/>
      <c r="E42" s="299" t="s">
        <v>178</v>
      </c>
      <c r="F42" s="1"/>
      <c r="G42" s="21"/>
      <c r="H42" s="302"/>
      <c r="I42" s="47"/>
      <c r="J42" s="47"/>
      <c r="K42" s="45"/>
      <c r="L42" s="35"/>
    </row>
    <row r="43" spans="1:12" s="4" customFormat="1" ht="6.75" customHeight="1" outlineLevel="1" x14ac:dyDescent="0.4">
      <c r="B43" s="20"/>
      <c r="C43" s="21"/>
      <c r="D43" s="21"/>
      <c r="E43" s="21"/>
      <c r="F43" s="1"/>
      <c r="G43" s="21"/>
      <c r="H43" s="41"/>
      <c r="I43" s="36"/>
      <c r="J43" s="301"/>
      <c r="K43" s="37"/>
      <c r="L43" s="35"/>
    </row>
    <row r="44" spans="1:12" s="4" customFormat="1" outlineLevel="1" x14ac:dyDescent="0.4">
      <c r="B44" s="20"/>
      <c r="C44" s="21"/>
      <c r="D44" s="164" t="s">
        <v>151</v>
      </c>
      <c r="E44" s="164" t="s">
        <v>140</v>
      </c>
      <c r="F44" s="1"/>
      <c r="G44" s="21"/>
      <c r="H44" s="41"/>
      <c r="I44" s="36"/>
      <c r="J44" s="164" t="s">
        <v>195</v>
      </c>
      <c r="K44" s="37"/>
      <c r="L44" s="35"/>
    </row>
    <row r="45" spans="1:12" s="4" customFormat="1" outlineLevel="1" x14ac:dyDescent="0.4">
      <c r="B45" s="20"/>
      <c r="C45" s="164" t="s">
        <v>196</v>
      </c>
      <c r="D45" s="297" t="s">
        <v>197</v>
      </c>
      <c r="E45" s="299"/>
      <c r="F45" s="1"/>
      <c r="G45" s="21"/>
      <c r="H45" s="41"/>
      <c r="I45" s="164" t="s">
        <v>198</v>
      </c>
      <c r="J45" s="309" t="str">
        <f>IFERROR(IF(E42="No", "", IF(AND(E42="yes",OR(ISBLANK(E45),ISBLANK(E46),ISBLANK(E47))),"Insert data",E46/(E46+E47*E45))), "")</f>
        <v/>
      </c>
      <c r="K45" s="37"/>
      <c r="L45" s="35"/>
    </row>
    <row r="46" spans="1:12" s="4" customFormat="1" outlineLevel="1" x14ac:dyDescent="0.4">
      <c r="B46" s="20"/>
      <c r="C46" s="164" t="s">
        <v>199</v>
      </c>
      <c r="D46" s="296" t="s">
        <v>200</v>
      </c>
      <c r="E46" s="299"/>
      <c r="F46" s="1"/>
      <c r="G46" s="21"/>
      <c r="H46" s="41"/>
      <c r="I46" s="164" t="s">
        <v>201</v>
      </c>
      <c r="J46" s="309" t="str">
        <f>IFERROR(IF(E42="No", "", IF(AND(E42="yes",OR(ISBLANK(E45),ISBLANK(E46),ISBLANK(E47))),"Insert data",(E47*E45)/(E47*E45+E46))),"")</f>
        <v/>
      </c>
      <c r="K46" s="37"/>
      <c r="L46" s="35"/>
    </row>
    <row r="47" spans="1:12" s="4" customFormat="1" outlineLevel="1" x14ac:dyDescent="0.4">
      <c r="B47" s="20"/>
      <c r="C47" s="164" t="s">
        <v>202</v>
      </c>
      <c r="D47" s="296" t="s">
        <v>200</v>
      </c>
      <c r="E47" s="299"/>
      <c r="F47" s="1"/>
      <c r="G47" s="21"/>
      <c r="H47" s="46"/>
      <c r="I47" s="58"/>
      <c r="J47" s="58"/>
      <c r="K47" s="59"/>
      <c r="L47" s="35"/>
    </row>
    <row r="48" spans="1:12" s="4" customFormat="1" ht="6.75" customHeight="1" outlineLevel="1" x14ac:dyDescent="0.4">
      <c r="B48" s="20"/>
      <c r="C48" s="21"/>
      <c r="D48" s="21"/>
      <c r="E48" s="21"/>
      <c r="F48" s="21"/>
      <c r="G48" s="21"/>
      <c r="H48" s="21"/>
      <c r="I48" s="21"/>
      <c r="J48" s="21"/>
      <c r="K48" s="21"/>
      <c r="L48" s="35"/>
    </row>
    <row r="49" spans="2:12" s="4" customFormat="1" ht="12.75" customHeight="1" outlineLevel="1" x14ac:dyDescent="0.4">
      <c r="B49" s="20"/>
      <c r="C49" s="300" t="s">
        <v>203</v>
      </c>
      <c r="D49" s="21"/>
      <c r="E49" s="21"/>
      <c r="F49" s="21"/>
      <c r="G49" s="21"/>
      <c r="H49" s="21"/>
      <c r="I49" s="21"/>
      <c r="J49" s="21"/>
      <c r="K49" s="21"/>
      <c r="L49" s="35"/>
    </row>
    <row r="50" spans="2:12" s="4" customFormat="1" ht="12.75" customHeight="1" outlineLevel="1" x14ac:dyDescent="0.4">
      <c r="B50" s="20"/>
      <c r="C50" s="300" t="s">
        <v>204</v>
      </c>
      <c r="D50" s="21"/>
      <c r="E50" s="21"/>
      <c r="F50" s="21"/>
      <c r="G50" s="21"/>
      <c r="H50" s="21"/>
      <c r="I50" s="21"/>
      <c r="J50" s="21"/>
      <c r="K50" s="21"/>
      <c r="L50" s="35"/>
    </row>
    <row r="51" spans="2:12" s="4" customFormat="1" ht="6.75" customHeight="1" outlineLevel="1" x14ac:dyDescent="0.4">
      <c r="B51" s="28"/>
      <c r="C51" s="298"/>
      <c r="D51" s="29"/>
      <c r="E51" s="29"/>
      <c r="F51" s="29"/>
      <c r="G51" s="29"/>
      <c r="H51" s="29"/>
      <c r="I51" s="29"/>
      <c r="J51" s="29"/>
      <c r="K51" s="29"/>
      <c r="L51" s="60"/>
    </row>
    <row r="52" spans="2:12" s="4" customFormat="1" x14ac:dyDescent="0.4"/>
    <row r="53" spans="2:12" s="4" customFormat="1" hidden="1" x14ac:dyDescent="0.4"/>
    <row r="54" spans="2:12" s="4" customFormat="1" hidden="1" x14ac:dyDescent="0.4"/>
    <row r="55" spans="2:12" s="4" customFormat="1" hidden="1" x14ac:dyDescent="0.4"/>
    <row r="56" spans="2:12" s="4" customFormat="1" hidden="1" x14ac:dyDescent="0.4"/>
    <row r="57" spans="2:12" s="4" customFormat="1" hidden="1" x14ac:dyDescent="0.4"/>
    <row r="58" spans="2:12" s="4" customFormat="1" ht="19.2" x14ac:dyDescent="0.45">
      <c r="B58" s="754" t="str">
        <f>"Feedstock Conversion"&amp;" - "&amp;Feedstocks!C12</f>
        <v xml:space="preserve">Feedstock Conversion - </v>
      </c>
      <c r="C58" s="755"/>
      <c r="D58" s="755"/>
      <c r="E58" s="755"/>
      <c r="F58" s="755"/>
      <c r="G58" s="755"/>
      <c r="H58" s="755"/>
      <c r="I58" s="755"/>
      <c r="J58" s="755"/>
      <c r="K58" s="755"/>
      <c r="L58" s="756"/>
    </row>
    <row r="59" spans="2:12" s="4" customFormat="1" outlineLevel="1" x14ac:dyDescent="0.4">
      <c r="B59" s="624"/>
      <c r="C59" s="522"/>
      <c r="D59" s="522"/>
      <c r="E59" s="522"/>
      <c r="F59" s="522"/>
      <c r="G59" s="522"/>
      <c r="H59" s="522"/>
      <c r="I59" s="522"/>
      <c r="J59" s="522"/>
      <c r="K59" s="522"/>
      <c r="L59" s="625"/>
    </row>
    <row r="60" spans="2:12" s="4" customFormat="1" outlineLevel="1" x14ac:dyDescent="0.4">
      <c r="B60" s="20"/>
      <c r="C60" s="19"/>
      <c r="D60" s="760"/>
      <c r="E60" s="762"/>
      <c r="F60" s="21"/>
      <c r="G60" s="54"/>
      <c r="H60" s="69" t="s">
        <v>122</v>
      </c>
      <c r="I60" s="47"/>
      <c r="J60" s="47"/>
      <c r="K60" s="45"/>
      <c r="L60" s="35"/>
    </row>
    <row r="61" spans="2:12" s="4" customFormat="1" outlineLevel="1" x14ac:dyDescent="0.4">
      <c r="B61" s="20"/>
      <c r="C61" s="160" t="s">
        <v>123</v>
      </c>
      <c r="D61" s="753" t="str">
        <f>IF(Feedstocks!$H$12&gt;0,Feedstocks!$H$12,"")</f>
        <v/>
      </c>
      <c r="E61" s="753"/>
      <c r="F61" s="21"/>
      <c r="G61" s="76"/>
      <c r="H61" s="41"/>
      <c r="I61" s="36"/>
      <c r="J61" s="164" t="s">
        <v>124</v>
      </c>
      <c r="K61" s="37"/>
      <c r="L61" s="35"/>
    </row>
    <row r="62" spans="2:12" s="4" customFormat="1" outlineLevel="1" x14ac:dyDescent="0.4">
      <c r="B62" s="20"/>
      <c r="C62" s="21"/>
      <c r="D62" s="21"/>
      <c r="E62" s="21"/>
      <c r="F62" s="21"/>
      <c r="G62" s="21"/>
      <c r="H62" s="41"/>
      <c r="I62" s="164" t="s">
        <v>125</v>
      </c>
      <c r="J62" s="52" t="str">
        <f>IFERROR((J66*'Digestion &amp; outputs'!$K$23/('Transport 2'!F69*('Digestion &amp; outputs'!$G$17/1000))),"")</f>
        <v/>
      </c>
      <c r="K62" s="37"/>
      <c r="L62" s="35"/>
    </row>
    <row r="63" spans="2:12" s="4" customFormat="1" ht="16.5" customHeight="1" outlineLevel="1" x14ac:dyDescent="0.4">
      <c r="B63" s="20"/>
      <c r="C63" s="759" t="s">
        <v>183</v>
      </c>
      <c r="D63" s="759"/>
      <c r="E63" s="134" t="s">
        <v>178</v>
      </c>
      <c r="F63" s="21"/>
      <c r="G63" s="21"/>
      <c r="H63" s="41"/>
      <c r="I63" s="36"/>
      <c r="J63" s="36"/>
      <c r="K63" s="37"/>
      <c r="L63" s="35"/>
    </row>
    <row r="64" spans="2:12" s="4" customFormat="1" outlineLevel="1" x14ac:dyDescent="0.4">
      <c r="B64" s="20"/>
      <c r="C64" s="763" t="s">
        <v>184</v>
      </c>
      <c r="D64" s="764"/>
      <c r="E64" s="134" t="s">
        <v>96</v>
      </c>
      <c r="F64" s="1"/>
      <c r="G64" s="21"/>
      <c r="H64" s="41"/>
      <c r="I64" s="36"/>
      <c r="J64" s="36"/>
      <c r="K64" s="37"/>
      <c r="L64" s="35"/>
    </row>
    <row r="65" spans="1:14" s="4" customFormat="1" outlineLevel="1" x14ac:dyDescent="0.4">
      <c r="B65" s="20"/>
      <c r="C65" s="21"/>
      <c r="D65" s="21"/>
      <c r="E65" s="21"/>
      <c r="F65" s="1"/>
      <c r="G65" s="21"/>
      <c r="H65" s="43"/>
      <c r="I65" s="34"/>
      <c r="J65" s="164" t="s">
        <v>141</v>
      </c>
      <c r="K65" s="44"/>
      <c r="L65" s="35"/>
    </row>
    <row r="66" spans="1:14" s="4" customFormat="1" outlineLevel="1" x14ac:dyDescent="0.4">
      <c r="A66" s="765"/>
      <c r="B66" s="51"/>
      <c r="C66" s="164" t="s">
        <v>185</v>
      </c>
      <c r="D66" s="70">
        <f>IFERROR(Feedstocks!D12/'Transport 2'!F69,"Insert data")</f>
        <v>0</v>
      </c>
      <c r="E66" s="21"/>
      <c r="F66" s="21"/>
      <c r="G66" s="21"/>
      <c r="H66" s="43"/>
      <c r="I66" s="164" t="s">
        <v>167</v>
      </c>
      <c r="J66" s="52">
        <f>IFERROR(IF(AND(E63="YES",ISBLANK(F67)),"Insert yield",SUM(J82:J89,J75:J78,J71)*IF(E92="Yes",J95,1)),"Insert data")</f>
        <v>0</v>
      </c>
      <c r="K66" s="44"/>
      <c r="L66" s="35"/>
    </row>
    <row r="67" spans="1:14" s="4" customFormat="1" outlineLevel="1" x14ac:dyDescent="0.4">
      <c r="A67" s="765"/>
      <c r="B67" s="51"/>
      <c r="C67" s="164" t="s">
        <v>186</v>
      </c>
      <c r="D67" s="680">
        <v>0.9</v>
      </c>
      <c r="E67" s="134"/>
      <c r="F67" s="623">
        <f>IF(E63="No", 1, IF(E64="Default",D67, IF(E64="Actual", IF(E67&gt;0, E67, "insert data"), "error")))</f>
        <v>1</v>
      </c>
      <c r="G67" s="21"/>
      <c r="H67" s="49"/>
      <c r="I67" s="65"/>
      <c r="J67" s="65"/>
      <c r="K67" s="66"/>
      <c r="L67" s="35"/>
    </row>
    <row r="68" spans="1:14" s="4" customFormat="1" outlineLevel="1" x14ac:dyDescent="0.4">
      <c r="A68" s="765"/>
      <c r="B68" s="51"/>
      <c r="C68" s="21"/>
      <c r="D68" s="21"/>
      <c r="E68" s="21"/>
      <c r="F68" s="21"/>
      <c r="G68" s="21"/>
      <c r="H68" s="29"/>
      <c r="I68" s="29"/>
      <c r="J68" s="29"/>
      <c r="K68" s="29"/>
      <c r="L68" s="35"/>
    </row>
    <row r="69" spans="1:14" s="4" customFormat="1" outlineLevel="1" x14ac:dyDescent="0.4">
      <c r="A69" s="765"/>
      <c r="B69" s="51"/>
      <c r="C69" s="25" t="s">
        <v>187</v>
      </c>
      <c r="D69" s="1"/>
      <c r="E69" s="1"/>
      <c r="F69" s="1"/>
      <c r="G69" s="1"/>
      <c r="H69" s="69" t="s">
        <v>136</v>
      </c>
      <c r="I69" s="79"/>
      <c r="J69" s="79"/>
      <c r="K69" s="61"/>
      <c r="L69" s="54"/>
      <c r="M69" s="12"/>
      <c r="N69" s="12"/>
    </row>
    <row r="70" spans="1:14" s="4" customFormat="1" outlineLevel="1" x14ac:dyDescent="0.4">
      <c r="A70" s="765"/>
      <c r="B70" s="51"/>
      <c r="C70" s="166" t="s">
        <v>188</v>
      </c>
      <c r="D70" s="164" t="s">
        <v>151</v>
      </c>
      <c r="E70" s="164" t="s">
        <v>140</v>
      </c>
      <c r="F70" s="21"/>
      <c r="G70" s="1"/>
      <c r="H70" s="43"/>
      <c r="I70" s="34"/>
      <c r="J70" s="164" t="s">
        <v>141</v>
      </c>
      <c r="K70" s="44"/>
      <c r="L70" s="54"/>
    </row>
    <row r="71" spans="1:14" s="4" customFormat="1" outlineLevel="1" x14ac:dyDescent="0.4">
      <c r="A71" s="765"/>
      <c r="B71" s="51"/>
      <c r="C71" s="145"/>
      <c r="D71" s="141"/>
      <c r="E71" s="144"/>
      <c r="F71" s="21"/>
      <c r="G71" s="1"/>
      <c r="H71" s="43"/>
      <c r="I71" s="164" t="s">
        <v>189</v>
      </c>
      <c r="J71" s="31">
        <f>IFERROR(IF(E63="No",0,IF(D71="MWh",(E71*'Reference values'!$D$47*INDEX(Electricity_Emission_Factors,MATCH(C71,Electricity_Source,0)))/(D66*1000),IF(D71="kWh",(E71*'Reference values'!$D$47*INDEX(Electricity_Emission_Factors,MATCH(C71,Electricity_Source,0))/1000)/(D66*1000),IF(D71="MWh/tonne(output)",(E71*'Reference values'!$D$47*INDEX(Electricity_Emission_Factors,MATCH(C71,Electricity_Source,0)))/1000,IF(D71="kWh/tonne(output)",(E71*'Reference values'!$D$47*INDEX(Electricity_Emission_Factors,MATCH(C71,Electricity_Source,0))/1000)/1000,""))))),"")</f>
        <v>0</v>
      </c>
      <c r="K71" s="44"/>
      <c r="L71" s="54"/>
    </row>
    <row r="72" spans="1:14" s="4" customFormat="1" outlineLevel="1" x14ac:dyDescent="0.4">
      <c r="A72" s="765"/>
      <c r="B72" s="51"/>
      <c r="C72" s="1"/>
      <c r="D72" s="1"/>
      <c r="E72" s="1"/>
      <c r="F72" s="21"/>
      <c r="G72" s="1"/>
      <c r="H72" s="43"/>
      <c r="I72" s="34"/>
      <c r="J72" s="34"/>
      <c r="K72" s="44"/>
      <c r="L72" s="54"/>
    </row>
    <row r="73" spans="1:14" s="4" customFormat="1" outlineLevel="1" x14ac:dyDescent="0.4">
      <c r="A73" s="765"/>
      <c r="B73" s="51"/>
      <c r="C73" s="25" t="s">
        <v>190</v>
      </c>
      <c r="D73" s="1"/>
      <c r="E73" s="1"/>
      <c r="F73" s="21"/>
      <c r="G73" s="1"/>
      <c r="H73" s="43"/>
      <c r="I73" s="34"/>
      <c r="J73" s="34"/>
      <c r="K73" s="44"/>
      <c r="L73" s="54"/>
    </row>
    <row r="74" spans="1:14" s="4" customFormat="1" outlineLevel="1" x14ac:dyDescent="0.4">
      <c r="A74" s="765"/>
      <c r="B74" s="51"/>
      <c r="C74" s="164" t="s">
        <v>160</v>
      </c>
      <c r="D74" s="164" t="s">
        <v>151</v>
      </c>
      <c r="E74" s="164" t="s">
        <v>140</v>
      </c>
      <c r="F74" s="21"/>
      <c r="G74" s="1"/>
      <c r="H74" s="43"/>
      <c r="I74" s="164" t="s">
        <v>160</v>
      </c>
      <c r="J74" s="182" t="s">
        <v>141</v>
      </c>
      <c r="K74" s="44"/>
      <c r="L74" s="54"/>
    </row>
    <row r="75" spans="1:14" s="4" customFormat="1" outlineLevel="1" x14ac:dyDescent="0.4">
      <c r="A75" s="765"/>
      <c r="B75" s="51"/>
      <c r="C75" s="27" t="str">
        <f>IF(E64="Default", "Diesel", "")</f>
        <v>Diesel</v>
      </c>
      <c r="D75" s="74" t="str">
        <f>IF(E64="Default", "kWh/tonne(output)", "")</f>
        <v>kWh/tonne(output)</v>
      </c>
      <c r="E75" s="74">
        <f>IF(E64="Default", 3.881, "")</f>
        <v>3.8809999999999998</v>
      </c>
      <c r="F75" s="21"/>
      <c r="G75" s="1"/>
      <c r="H75" s="43"/>
      <c r="I75" s="27" t="str">
        <f>IF(C75&gt;0,C75,"")</f>
        <v>Diesel</v>
      </c>
      <c r="J75" s="31">
        <f>IF(E64="Actual","",IFERROR(IF(C75&gt;0,IF(ISBLANK(E75),"Insert data",IF(E63="No",0,(IF(D75="litres",(E75*(INDEX(Fuel_Densities,MATCH(C75,Fuels_for_Densities,0))/1000)*INDEX(Fuel_LHV,MATCH(C75,Fuels_for_LHV,0))*INDEX(Fuel_EFs,MATCH(C75,Fuels_for_EF,0)))/(D66*1000),(IF(D75="m3",(E75*(INDEX(Fuel_Densities,MATCH(C75,Fuels_for_Densities,0)))*INDEX(Fuel_LHV,MATCH(C75,Fuels_for_LHV,0))*INDEX(Fuel_EFs,MATCH(C75,Fuels_for_EF,0)))/(D66*1000),IF(D75="kg",(E75*INDEX(Fuel_LHV,MATCH(C75,Fuels_for_LHV,0))*INDEX(Fuel_EFs,MATCH(C75,Fuels_for_EF,0)))/(D66*1000),IF(D75="tonnes",(E75*INDEX(Fuel_LHV,MATCH(C75,Fuels_for_LHV,0))*1000*INDEX(Fuel_EFs,MATCH(C75,Fuels_for_EF,0)))/(D66*1000),IF(D75="MWh",(E75*'Reference values'!$D$47*INDEX(Fuel_EFs,MATCH(C75,Fuels_for_EF,0)))/(D66*1000),IF(D75="kWh",(E75*'Reference values'!$D$47*INDEX(Fuel_EFs,MATCH(C75,Fuels_for_EF,0))/1000)/(D66*1000),(IF(D75="litres/tonne(output)",(E75*(INDEX(Fuel_Densities,MATCH(C75,Fuels_for_Densities,0))/1000)*INDEX(Fuel_LHV,MATCH(C75,Fuels_for_LHV,0))*INDEX(Fuel_EFs,MATCH(C75,Fuels_for_EF,0)))/1000,(IF(D75="m3/tonne(output)",(E75*(INDEX(Fuel_Densities,MATCH(C75,Fuels_for_Densities,0)))*INDEX(Fuel_LHV,MATCH(C75,Fuels_for_LHV,0))*INDEX(Fuel_EFs,MATCH(C75,Fuels_for_EF,0)))/1000,IF(D75="kg/tonne(output)",(E75*INDEX(Fuel_LHV,MATCH(C75,Fuels_for_LHV,0))*INDEX(Fuel_EFs,MATCH(C75,Fuels_for_EF,0)))/1000,IF(D75="tonnes/tonne(output)",(E75*INDEX(Fuel_LHV,MATCH(C75,Fuels_for_LHV,0))*1000*INDEX(Fuel_EFs,MATCH(C75,Fuels_for_EF,0)))/1000,IF(D75="MWh/tonne(output)",(E75*'Reference values'!$D$47*INDEX(Fuel_EFs,MATCH(C75,Fuels_for_EF,0)))/1000,IF(D75="kWh/tonne(output)",(E75*'Reference values'!$D$47*INDEX(Fuel_EFs,MATCH(C75,Fuels_for_EF,0))/1000)/1000,"Insert unit")))))))))))))))))),""),"Insert data"))</f>
        <v>0</v>
      </c>
      <c r="K75" s="44"/>
      <c r="L75" s="54"/>
    </row>
    <row r="76" spans="1:14" s="4" customFormat="1" outlineLevel="1" x14ac:dyDescent="0.4">
      <c r="A76" s="765"/>
      <c r="B76" s="51"/>
      <c r="C76" s="134"/>
      <c r="D76" s="141"/>
      <c r="E76" s="144"/>
      <c r="F76" s="21"/>
      <c r="G76" s="1"/>
      <c r="H76" s="43"/>
      <c r="I76" s="27" t="str">
        <f>IF(C76&gt;0,C76,"")</f>
        <v/>
      </c>
      <c r="J76" s="31" t="str">
        <f>IFERROR(IF(C76&gt;0,IF(ISBLANK(E76),"Insert data",IF(E63="No",0,(IF(D76="litres",(E76*(INDEX(Fuel_Densities,MATCH(C76,Fuels_for_Densities,0))/1000)*INDEX(Fuel_LHV,MATCH(C76,Fuels_for_LHV,0))*INDEX(Fuel_EFs,MATCH(C76,Fuels_for_EF,0)))/(D66*1000),(IF(D76="m3",(E76*(INDEX(Fuel_Densities,MATCH(C76,Fuels_for_Densities,0)))*INDEX(Fuel_LHV,MATCH(C76,Fuels_for_LHV,0))*INDEX(Fuel_EFs,MATCH(C76,Fuels_for_EF,0)))/(D66*1000),IF(D76="kg",(E76*INDEX(Fuel_LHV,MATCH(C76,Fuels_for_LHV,0))*INDEX(Fuel_EFs,MATCH(C76,Fuels_for_EF,0)))/(D66*1000),IF(D76="tonnes",(E76*INDEX(Fuel_LHV,MATCH(C76,Fuels_for_LHV,0))*1000*INDEX(Fuel_EFs,MATCH(C76,Fuels_for_EF,0)))/(D66*1000),IF(D76="MWh",(E76*'Reference values'!$D$47*INDEX(Fuel_EFs,MATCH(C76,Fuels_for_EF,0)))/(D66*1000),IF(D76="kWh",(E76*'Reference values'!$D$47*INDEX(Fuel_EFs,MATCH(C76,Fuels_for_EF,0))/1000)/(D66*1000),(IF(D76="litres/tonne(output)",(E76*(INDEX(Fuel_Densities,MATCH(C76,Fuels_for_Densities,0))/1000)*INDEX(Fuel_LHV,MATCH(C76,Fuels_for_LHV,0))*INDEX(Fuel_EFs,MATCH(C76,Fuels_for_EF,0)))/1000,(IF(D76="m3/tonne(output)",(E76*(INDEX(Fuel_Densities,MATCH(C76,Fuels_for_Densities,0)))*INDEX(Fuel_LHV,MATCH(C76,Fuels_for_LHV,0))*INDEX(Fuel_EFs,MATCH(C76,Fuels_for_EF,0)))/1000,IF(D76="kg/tonne(output)",(E76*INDEX(Fuel_LHV,MATCH(C76,Fuels_for_LHV,0))*INDEX(Fuel_EFs,MATCH(C76,Fuels_for_EF,0)))/1000,IF(D76="tonnes/tonne(output)",(E76*INDEX(Fuel_LHV,MATCH(C76,Fuels_for_LHV,0))*1000*INDEX(Fuel_EFs,MATCH(C76,Fuels_for_EF,0)))/1000,IF(D76="MWh/tonne(output)",(E76*'Reference values'!$D$47*INDEX(Fuel_EFs,MATCH(C76,Fuels_for_EF,0)))/1000,IF(D76="kWh/tonne(output)",(E76*'Reference values'!$D$47*INDEX(Fuel_EFs,MATCH(C76,Fuels_for_EF,0))/1000)/1000,"Insert unit")))))))))))))))))),""),"Insert data")</f>
        <v/>
      </c>
      <c r="K76" s="44"/>
      <c r="L76" s="54"/>
    </row>
    <row r="77" spans="1:14" s="4" customFormat="1" outlineLevel="1" x14ac:dyDescent="0.4">
      <c r="A77" s="765"/>
      <c r="B77" s="51"/>
      <c r="C77" s="134"/>
      <c r="D77" s="141"/>
      <c r="E77" s="144"/>
      <c r="F77" s="21"/>
      <c r="G77" s="1"/>
      <c r="H77" s="43"/>
      <c r="I77" s="27" t="str">
        <f>IF(C77&gt;0,C77,"")</f>
        <v/>
      </c>
      <c r="J77" s="31" t="str">
        <f>IFERROR(IF(C77&gt;0,IF(ISBLANK(E77),"Insert data",IF(E63="No",0,(IF(D77="litres",(E77*(INDEX(Fuel_Densities,MATCH(C77,Fuels_for_Densities,0))/1000)*INDEX(Fuel_LHV,MATCH(C77,Fuels_for_LHV,0))*INDEX(Fuel_EFs,MATCH(C77,Fuels_for_EF,0)))/(D66*1000),(IF(D77="m3",(E77*(INDEX(Fuel_Densities,MATCH(C77,Fuels_for_Densities,0)))*INDEX(Fuel_LHV,MATCH(C77,Fuels_for_LHV,0))*INDEX(Fuel_EFs,MATCH(C77,Fuels_for_EF,0)))/(D66*1000),IF(D77="kg",(E77*INDEX(Fuel_LHV,MATCH(C77,Fuels_for_LHV,0))*INDEX(Fuel_EFs,MATCH(C77,Fuels_for_EF,0)))/(D66*1000),IF(D77="tonnes",(E77*INDEX(Fuel_LHV,MATCH(C77,Fuels_for_LHV,0))*1000*INDEX(Fuel_EFs,MATCH(C77,Fuels_for_EF,0)))/(D66*1000),IF(D77="MWh",(E77*'Reference values'!$D$47*INDEX(Fuel_EFs,MATCH(C77,Fuels_for_EF,0)))/(D66*1000),IF(D77="kWh",(E77*'Reference values'!$D$47*INDEX(Fuel_EFs,MATCH(C77,Fuels_for_EF,0))/1000)/(D66*1000),(IF(D77="litres/tonne(output)",(E77*(INDEX(Fuel_Densities,MATCH(C77,Fuels_for_Densities,0))/1000)*INDEX(Fuel_LHV,MATCH(C77,Fuels_for_LHV,0))*INDEX(Fuel_EFs,MATCH(C77,Fuels_for_EF,0)))/1000,(IF(D77="m3/tonne(output)",(E77*(INDEX(Fuel_Densities,MATCH(C77,Fuels_for_Densities,0)))*INDEX(Fuel_LHV,MATCH(C77,Fuels_for_LHV,0))*INDEX(Fuel_EFs,MATCH(C77,Fuels_for_EF,0)))/1000,IF(D77="kg/tonne(output)",(E77*INDEX(Fuel_LHV,MATCH(C77,Fuels_for_LHV,0))*INDEX(Fuel_EFs,MATCH(C77,Fuels_for_EF,0)))/1000,IF(D77="tonnes/tonne(output)",(E77*INDEX(Fuel_LHV,MATCH(C77,Fuels_for_LHV,0))*1000*INDEX(Fuel_EFs,MATCH(C77,Fuels_for_EF,0)))/1000,IF(D77="MWh/tonne(output)",(E77*'Reference values'!$D$47*INDEX(Fuel_EFs,MATCH(C77,Fuels_for_EF,0)))/1000,IF(D77="kWh/tonne(output)",(E77*'Reference values'!$D$47*INDEX(Fuel_EFs,MATCH(C77,Fuels_for_EF,0))/1000)/1000,"Insert unit")))))))))))))))))),""),"Insert data")</f>
        <v/>
      </c>
      <c r="K77" s="44"/>
      <c r="L77" s="54"/>
    </row>
    <row r="78" spans="1:14" s="4" customFormat="1" outlineLevel="1" x14ac:dyDescent="0.4">
      <c r="A78" s="765"/>
      <c r="B78" s="51"/>
      <c r="C78" s="134"/>
      <c r="D78" s="141"/>
      <c r="E78" s="144"/>
      <c r="F78" s="21"/>
      <c r="G78" s="1"/>
      <c r="H78" s="43"/>
      <c r="I78" s="27" t="str">
        <f>IF(C78&gt;0,C78,"")</f>
        <v/>
      </c>
      <c r="J78" s="31" t="str">
        <f>IFERROR(IF(C78&gt;0,IF(ISBLANK(E78),"Insert data",IF(E63="No",0,(IF(D78="litres",(E78*(INDEX(Fuel_Densities,MATCH(C78,Fuels_for_Densities,0))/1000)*INDEX(Fuel_LHV,MATCH(C78,Fuels_for_LHV,0))*INDEX(Fuel_EFs,MATCH(C78,Fuels_for_EF,0)))/(D66*1000),(IF(D78="m3",(E78*(INDEX(Fuel_Densities,MATCH(C78,Fuels_for_Densities,0)))*INDEX(Fuel_LHV,MATCH(C78,Fuels_for_LHV,0))*INDEX(Fuel_EFs,MATCH(C78,Fuels_for_EF,0)))/(D66*1000),IF(D78="kg",(E78*INDEX(Fuel_LHV,MATCH(C78,Fuels_for_LHV,0))*INDEX(Fuel_EFs,MATCH(C78,Fuels_for_EF,0)))/(D66*1000),IF(D78="tonnes",(E78*INDEX(Fuel_LHV,MATCH(C78,Fuels_for_LHV,0))*1000*INDEX(Fuel_EFs,MATCH(C78,Fuels_for_EF,0)))/(D66*1000),IF(D78="MWh",(E78*'Reference values'!$D$47*INDEX(Fuel_EFs,MATCH(C78,Fuels_for_EF,0)))/(D66*1000),IF(D78="kWh",(E78*'Reference values'!$D$47*INDEX(Fuel_EFs,MATCH(C78,Fuels_for_EF,0))/1000)/(D66*1000),(IF(D78="litres/tonne(output)",(E78*(INDEX(Fuel_Densities,MATCH(C78,Fuels_for_Densities,0))/1000)*INDEX(Fuel_LHV,MATCH(C78,Fuels_for_LHV,0))*INDEX(Fuel_EFs,MATCH(C78,Fuels_for_EF,0)))/1000,(IF(D78="m3/tonne(output)",(E78*(INDEX(Fuel_Densities,MATCH(C78,Fuels_for_Densities,0)))*INDEX(Fuel_LHV,MATCH(C78,Fuels_for_LHV,0))*INDEX(Fuel_EFs,MATCH(C78,Fuels_for_EF,0)))/1000,IF(D78="kg/tonne(output)",(E78*INDEX(Fuel_LHV,MATCH(C78,Fuels_for_LHV,0))*INDEX(Fuel_EFs,MATCH(C78,Fuels_for_EF,0)))/1000,IF(D78="tonnes/tonne(output)",(E78*INDEX(Fuel_LHV,MATCH(C78,Fuels_for_LHV,0))*1000*INDEX(Fuel_EFs,MATCH(C78,Fuels_for_EF,0)))/1000,IF(D78="MWh/tonne(output)",(E78*'Reference values'!$D$47*INDEX(Fuel_EFs,MATCH(C78,Fuels_for_EF,0)))/1000,IF(D78="kWh/tonne(output)",(E78*'Reference values'!$D$47*INDEX(Fuel_EFs,MATCH(C78,Fuels_for_EF,0))/1000)/1000,"Insert unit")))))))))))))))))),""),"Insert data")</f>
        <v/>
      </c>
      <c r="K78" s="44"/>
      <c r="L78" s="54"/>
    </row>
    <row r="79" spans="1:14" s="4" customFormat="1" outlineLevel="1" x14ac:dyDescent="0.4">
      <c r="A79" s="765"/>
      <c r="B79" s="51"/>
      <c r="C79" s="1"/>
      <c r="D79" s="1"/>
      <c r="E79" s="1"/>
      <c r="F79" s="21"/>
      <c r="G79" s="53"/>
      <c r="H79" s="56"/>
      <c r="I79" s="57"/>
      <c r="J79" s="34"/>
      <c r="K79" s="44"/>
      <c r="L79" s="54"/>
    </row>
    <row r="80" spans="1:14" s="4" customFormat="1" outlineLevel="1" x14ac:dyDescent="0.4">
      <c r="A80" s="765"/>
      <c r="B80" s="51"/>
      <c r="C80" s="25" t="s">
        <v>191</v>
      </c>
      <c r="D80" s="1"/>
      <c r="E80" s="1"/>
      <c r="F80" s="21"/>
      <c r="G80" s="53"/>
      <c r="H80" s="56"/>
      <c r="I80" s="34"/>
      <c r="J80" s="34"/>
      <c r="K80" s="44"/>
      <c r="L80" s="54"/>
    </row>
    <row r="81" spans="1:12" s="4" customFormat="1" outlineLevel="1" x14ac:dyDescent="0.4">
      <c r="A81" s="765"/>
      <c r="B81" s="51"/>
      <c r="C81" s="164" t="s">
        <v>192</v>
      </c>
      <c r="D81" s="164" t="s">
        <v>151</v>
      </c>
      <c r="E81" s="164" t="s">
        <v>140</v>
      </c>
      <c r="F81" s="21"/>
      <c r="G81" s="1"/>
      <c r="H81" s="43"/>
      <c r="I81" s="164" t="s">
        <v>192</v>
      </c>
      <c r="J81" s="182" t="s">
        <v>141</v>
      </c>
      <c r="K81" s="44"/>
      <c r="L81" s="54"/>
    </row>
    <row r="82" spans="1:12" s="4" customFormat="1" outlineLevel="1" x14ac:dyDescent="0.4">
      <c r="A82" s="765"/>
      <c r="B82" s="51"/>
      <c r="C82" s="134"/>
      <c r="D82" s="141"/>
      <c r="E82" s="144"/>
      <c r="F82" s="21"/>
      <c r="G82" s="1"/>
      <c r="H82" s="43"/>
      <c r="I82" s="27" t="str">
        <f t="shared" ref="I82:I89" si="1">IF(C82&gt;0,C82,"")</f>
        <v/>
      </c>
      <c r="J82" s="31" t="str">
        <f>IFERROR(IF(C82&gt;0,IF(ISBLANK(E82),"Insert data",IF(E63="No",0,IF(D82="kg",E82*INDEX(Chemical_Emission_Factors,MATCH(C82,Chemicals,0))/(D66*1000),IF(D82="tonnes",E82*INDEX(Chemical_Emission_Factors,MATCH(C82,Chemicals,0))*1000/(D66*1000),IF(D82="kg/tonne(output)",E82*INDEX(Chemical_Emission_Factors,MATCH(C82,Chemicals,0))/1000,IF(D82="tonnes/tonne(output)",E82*INDEX(Chemical_Emission_Factors,MATCH(C82,Chemicals,0))*1000/1000,"Insert unit")))))),""),"Insert data")</f>
        <v/>
      </c>
      <c r="K82" s="44"/>
      <c r="L82" s="54"/>
    </row>
    <row r="83" spans="1:12" s="4" customFormat="1" outlineLevel="1" x14ac:dyDescent="0.4">
      <c r="A83" s="765"/>
      <c r="B83" s="51"/>
      <c r="C83" s="134"/>
      <c r="D83" s="141"/>
      <c r="E83" s="144"/>
      <c r="F83" s="21"/>
      <c r="G83" s="1"/>
      <c r="H83" s="43"/>
      <c r="I83" s="27" t="str">
        <f t="shared" si="1"/>
        <v/>
      </c>
      <c r="J83" s="31" t="str">
        <f>IFERROR(IF(C83&gt;0,IF(ISBLANK(E83),"Insert data",IF(E63="No",0,IF(D83="kg",E83*INDEX(Chemical_Emission_Factors,MATCH(C83,Chemicals,0))/(D66*1000),IF(D83="tonnes",E83*INDEX(Chemical_Emission_Factors,MATCH(C83,Chemicals,0))*1000/(D66*1000),IF(D83="kg/tonne(output)",E83*INDEX(Chemical_Emission_Factors,MATCH(C83,Chemicals,0))/1000,IF(D83="tonnes/tonne(output)",E83*INDEX(Chemical_Emission_Factors,MATCH(C83,Chemicals,0))*1000/1000,"Insert unit")))))),""),"Insert data")</f>
        <v/>
      </c>
      <c r="K83" s="44"/>
      <c r="L83" s="54"/>
    </row>
    <row r="84" spans="1:12" s="4" customFormat="1" outlineLevel="1" x14ac:dyDescent="0.4">
      <c r="A84" s="765"/>
      <c r="B84" s="51"/>
      <c r="C84" s="134"/>
      <c r="D84" s="141"/>
      <c r="E84" s="144"/>
      <c r="F84" s="21"/>
      <c r="G84" s="1"/>
      <c r="H84" s="43"/>
      <c r="I84" s="27" t="str">
        <f t="shared" si="1"/>
        <v/>
      </c>
      <c r="J84" s="31" t="str">
        <f>IFERROR(IF(C84&gt;0,IF(ISBLANK(E84),"Insert data",IF(E63="No",0,IF(D84="kg",E84*INDEX(Chemical_Emission_Factors,MATCH(C84,Chemicals,0))/(D66*1000),IF(D84="tonnes",E84*INDEX(Chemical_Emission_Factors,MATCH(C84,Chemicals,0))*1000/(D66*1000),IF(D84="kg/tonne(output)",E84*INDEX(Chemical_Emission_Factors,MATCH(C84,Chemicals,0))/1000,IF(D84="tonnes/tonne(output)",E84*INDEX(Chemical_Emission_Factors,MATCH(C84,Chemicals,0))*1000/1000,"Insert unit")))))),""),"Insert data")</f>
        <v/>
      </c>
      <c r="K84" s="44"/>
      <c r="L84" s="54"/>
    </row>
    <row r="85" spans="1:12" s="4" customFormat="1" outlineLevel="1" x14ac:dyDescent="0.4">
      <c r="A85" s="765"/>
      <c r="B85" s="51"/>
      <c r="C85" s="134"/>
      <c r="D85" s="141"/>
      <c r="E85" s="144"/>
      <c r="F85" s="21"/>
      <c r="G85" s="1"/>
      <c r="H85" s="43"/>
      <c r="I85" s="27" t="str">
        <f t="shared" si="1"/>
        <v/>
      </c>
      <c r="J85" s="31" t="str">
        <f>IFERROR(IF(C85&gt;0,IF(ISBLANK(E85),"Insert data",IF(E63="No",0,IF(D85="kg",E85*INDEX(Chemical_Emission_Factors,MATCH(C85,Chemicals,0))/(D66*1000),IF(D85="tonnes",E85*INDEX(Chemical_Emission_Factors,MATCH(C85,Chemicals,0))*1000/(D66*1000),IF(D85="kg/tonne(output)",E85*INDEX(Chemical_Emission_Factors,MATCH(C85,Chemicals,0))/1000,IF(D85="tonnes/tonne(output)",E85*INDEX(Chemical_Emission_Factors,MATCH(C85,Chemicals,0))*1000/1000,"Insert unit")))))),""),"Insert data")</f>
        <v/>
      </c>
      <c r="K85" s="44"/>
      <c r="L85" s="54"/>
    </row>
    <row r="86" spans="1:12" s="4" customFormat="1" outlineLevel="1" x14ac:dyDescent="0.4">
      <c r="A86" s="765"/>
      <c r="B86" s="51"/>
      <c r="C86" s="134"/>
      <c r="D86" s="141"/>
      <c r="E86" s="144"/>
      <c r="F86" s="21"/>
      <c r="G86" s="1"/>
      <c r="H86" s="43"/>
      <c r="I86" s="27" t="str">
        <f t="shared" si="1"/>
        <v/>
      </c>
      <c r="J86" s="31" t="str">
        <f>IFERROR(IF(C86&gt;0,IF(ISBLANK(E86),"Insert data",IF(E63="No",0,IF(D86="kg",E86*INDEX(Chemical_Emission_Factors,MATCH(C86,Chemicals,0))/(D66*1000),IF(D86="tonnes",E86*INDEX(Chemical_Emission_Factors,MATCH(C86,Chemicals,0))*1000/(D66*1000),IF(D86="kg/tonne(output)",E86*INDEX(Chemical_Emission_Factors,MATCH(C86,Chemicals,0))/1000,IF(D86="tonnes/tonne(output)",E86*INDEX(Chemical_Emission_Factors,MATCH(C86,Chemicals,0))*1000/1000,"Insert unit")))))),""),"Insert data")</f>
        <v/>
      </c>
      <c r="K86" s="44"/>
      <c r="L86" s="54"/>
    </row>
    <row r="87" spans="1:12" s="4" customFormat="1" outlineLevel="1" x14ac:dyDescent="0.4">
      <c r="A87" s="765"/>
      <c r="B87" s="51"/>
      <c r="C87" s="134"/>
      <c r="D87" s="141"/>
      <c r="E87" s="144"/>
      <c r="F87" s="21"/>
      <c r="G87" s="1"/>
      <c r="H87" s="43"/>
      <c r="I87" s="27" t="str">
        <f t="shared" si="1"/>
        <v/>
      </c>
      <c r="J87" s="31" t="str">
        <f>IFERROR(IF(C87&gt;0,IF(ISBLANK(E87),"Insert data",IF(E63="No",0,IF(D87="kg",E87*INDEX(Chemical_Emission_Factors,MATCH(C87,Chemicals,0))/(D66*1000),IF(D87="tonnes",E87*INDEX(Chemical_Emission_Factors,MATCH(C87,Chemicals,0))*1000/(D66*1000),IF(D87="kg/tonne(output)",E87*INDEX(Chemical_Emission_Factors,MATCH(C87,Chemicals,0))/1000,IF(D87="tonnes/tonne(output)",E87*INDEX(Chemical_Emission_Factors,MATCH(C87,Chemicals,0))*1000/1000,"Insert unit")))))),""),"Insert data")</f>
        <v/>
      </c>
      <c r="K87" s="44"/>
      <c r="L87" s="54"/>
    </row>
    <row r="88" spans="1:12" s="4" customFormat="1" outlineLevel="1" x14ac:dyDescent="0.4">
      <c r="A88" s="765"/>
      <c r="B88" s="51"/>
      <c r="C88" s="134"/>
      <c r="D88" s="141"/>
      <c r="E88" s="144"/>
      <c r="F88" s="21"/>
      <c r="G88" s="1"/>
      <c r="H88" s="43"/>
      <c r="I88" s="27" t="str">
        <f t="shared" si="1"/>
        <v/>
      </c>
      <c r="J88" s="31" t="str">
        <f>IFERROR(IF(C88&gt;0,IF(ISBLANK(E88),"Insert data",IF(E63="No",0,IF(D88="kg",E88*INDEX(Chemical_Emission_Factors,MATCH(C88,Chemicals,0))/(D66*1000),IF(D88="tonnes",E88*INDEX(Chemical_Emission_Factors,MATCH(C88,Chemicals,0))*1000/(D66*1000),IF(D88="kg/tonne(output)",E88*INDEX(Chemical_Emission_Factors,MATCH(C88,Chemicals,0))/1000,IF(D88="tonnes/tonne(output)",E88*INDEX(Chemical_Emission_Factors,MATCH(C88,Chemicals,0))*1000/1000,"Insert unit")))))),""),"Insert data")</f>
        <v/>
      </c>
      <c r="K88" s="44"/>
      <c r="L88" s="54"/>
    </row>
    <row r="89" spans="1:12" s="4" customFormat="1" outlineLevel="1" x14ac:dyDescent="0.4">
      <c r="A89" s="765"/>
      <c r="B89" s="51"/>
      <c r="C89" s="134"/>
      <c r="D89" s="141"/>
      <c r="E89" s="144"/>
      <c r="F89" s="21"/>
      <c r="G89" s="1"/>
      <c r="H89" s="43"/>
      <c r="I89" s="27" t="str">
        <f t="shared" si="1"/>
        <v/>
      </c>
      <c r="J89" s="31" t="str">
        <f>IFERROR(IF(C89&gt;0,IF(ISBLANK(E89),"Insert data",IF(E63="No",0,IF(D89="kg",E89*INDEX(Chemical_Emission_Factors,MATCH(C89,Chemicals,0))/(D66*1000),IF(D89="tonnes",E89*INDEX(Chemical_Emission_Factors,MATCH(C89,Chemicals,0))*1000/(D66*1000),IF(D89="kg/tonne(output)",E89*INDEX(Chemical_Emission_Factors,MATCH(C89,Chemicals,0))/1000,IF(D89="tonnes/tonne(output)",E89*INDEX(Chemical_Emission_Factors,MATCH(C89,Chemicals,0))*1000/1000,"Insert unit")))))),""),"Insert data")</f>
        <v/>
      </c>
      <c r="K89" s="44"/>
      <c r="L89" s="54"/>
    </row>
    <row r="90" spans="1:12" s="4" customFormat="1" ht="12.75" customHeight="1" outlineLevel="1" x14ac:dyDescent="0.4">
      <c r="B90" s="20"/>
      <c r="C90" s="21"/>
      <c r="D90" s="21"/>
      <c r="E90" s="21"/>
      <c r="F90" s="21"/>
      <c r="G90" s="21"/>
      <c r="H90" s="46"/>
      <c r="I90" s="58"/>
      <c r="J90" s="58"/>
      <c r="K90" s="59"/>
      <c r="L90" s="35"/>
    </row>
    <row r="91" spans="1:12" s="4" customFormat="1" outlineLevel="1" x14ac:dyDescent="0.4">
      <c r="B91" s="20"/>
      <c r="C91" s="243" t="s">
        <v>193</v>
      </c>
      <c r="D91" s="21"/>
      <c r="E91" s="21"/>
      <c r="F91" s="21"/>
      <c r="G91" s="21"/>
      <c r="H91" s="21"/>
      <c r="I91" s="21"/>
      <c r="J91" s="21"/>
      <c r="K91" s="21"/>
      <c r="L91" s="35"/>
    </row>
    <row r="92" spans="1:12" s="4" customFormat="1" outlineLevel="1" x14ac:dyDescent="0.4">
      <c r="B92" s="20"/>
      <c r="C92" s="766" t="s">
        <v>194</v>
      </c>
      <c r="D92" s="767"/>
      <c r="E92" s="299" t="s">
        <v>178</v>
      </c>
      <c r="F92" s="21"/>
      <c r="G92" s="21"/>
      <c r="H92" s="302"/>
      <c r="I92" s="47"/>
      <c r="J92" s="47"/>
      <c r="K92" s="45"/>
      <c r="L92" s="35"/>
    </row>
    <row r="93" spans="1:12" s="4" customFormat="1" ht="6.75" customHeight="1" outlineLevel="1" x14ac:dyDescent="0.4">
      <c r="B93" s="20"/>
      <c r="C93" s="21"/>
      <c r="D93" s="21"/>
      <c r="E93" s="21"/>
      <c r="F93" s="21"/>
      <c r="G93" s="21"/>
      <c r="H93" s="41"/>
      <c r="I93" s="36"/>
      <c r="J93" s="301"/>
      <c r="K93" s="37"/>
      <c r="L93" s="35"/>
    </row>
    <row r="94" spans="1:12" s="4" customFormat="1" outlineLevel="1" x14ac:dyDescent="0.4">
      <c r="B94" s="20"/>
      <c r="C94" s="21"/>
      <c r="D94" s="164" t="s">
        <v>151</v>
      </c>
      <c r="E94" s="164" t="s">
        <v>140</v>
      </c>
      <c r="F94" s="21"/>
      <c r="G94" s="21"/>
      <c r="H94" s="41"/>
      <c r="I94" s="36"/>
      <c r="J94" s="164" t="s">
        <v>195</v>
      </c>
      <c r="K94" s="37"/>
      <c r="L94" s="35"/>
    </row>
    <row r="95" spans="1:12" s="4" customFormat="1" outlineLevel="1" x14ac:dyDescent="0.4">
      <c r="B95" s="20"/>
      <c r="C95" s="164" t="s">
        <v>196</v>
      </c>
      <c r="D95" s="297" t="s">
        <v>197</v>
      </c>
      <c r="E95" s="299"/>
      <c r="F95" s="21"/>
      <c r="G95" s="21"/>
      <c r="H95" s="41"/>
      <c r="I95" s="164" t="s">
        <v>198</v>
      </c>
      <c r="J95" s="309" t="str">
        <f>IFERROR(IF(E92="No", "", IF(AND(E92="yes",OR(ISBLANK(E95),ISBLANK(E96),ISBLANK(E97))),"Insert data",E96/(E96+E97*E95))), "")</f>
        <v/>
      </c>
      <c r="K95" s="37"/>
      <c r="L95" s="35"/>
    </row>
    <row r="96" spans="1:12" s="4" customFormat="1" outlineLevel="1" x14ac:dyDescent="0.4">
      <c r="B96" s="20"/>
      <c r="C96" s="164" t="s">
        <v>199</v>
      </c>
      <c r="D96" s="296" t="s">
        <v>200</v>
      </c>
      <c r="E96" s="299"/>
      <c r="F96" s="21"/>
      <c r="G96" s="21"/>
      <c r="H96" s="41"/>
      <c r="I96" s="164" t="s">
        <v>201</v>
      </c>
      <c r="J96" s="309" t="str">
        <f>IFERROR(IF(E92="No", "", IF(AND(E92="yes",OR(ISBLANK(E95),ISBLANK(E96),ISBLANK(E97))),"Insert data",(E97*E95)/(E97*E95+E96))),"")</f>
        <v/>
      </c>
      <c r="K96" s="37"/>
      <c r="L96" s="35"/>
    </row>
    <row r="97" spans="2:12" s="4" customFormat="1" outlineLevel="1" x14ac:dyDescent="0.4">
      <c r="B97" s="20"/>
      <c r="C97" s="164" t="s">
        <v>202</v>
      </c>
      <c r="D97" s="296" t="s">
        <v>200</v>
      </c>
      <c r="E97" s="299"/>
      <c r="F97" s="21"/>
      <c r="G97" s="21"/>
      <c r="H97" s="46"/>
      <c r="I97" s="58"/>
      <c r="J97" s="58"/>
      <c r="K97" s="59"/>
      <c r="L97" s="35"/>
    </row>
    <row r="98" spans="2:12" s="4" customFormat="1" ht="6.75" customHeight="1" outlineLevel="1" x14ac:dyDescent="0.4">
      <c r="B98" s="20"/>
      <c r="C98" s="21"/>
      <c r="D98" s="21"/>
      <c r="E98" s="21"/>
      <c r="F98" s="21"/>
      <c r="G98" s="21"/>
      <c r="H98" s="21"/>
      <c r="I98" s="21"/>
      <c r="J98" s="21"/>
      <c r="K98" s="21"/>
      <c r="L98" s="35"/>
    </row>
    <row r="99" spans="2:12" s="4" customFormat="1" ht="12.75" customHeight="1" outlineLevel="1" x14ac:dyDescent="0.4">
      <c r="B99" s="20"/>
      <c r="C99" s="300" t="s">
        <v>203</v>
      </c>
      <c r="D99" s="21"/>
      <c r="E99" s="21"/>
      <c r="F99" s="21"/>
      <c r="G99" s="21"/>
      <c r="H99" s="21"/>
      <c r="I99" s="21"/>
      <c r="J99" s="21"/>
      <c r="K99" s="21"/>
      <c r="L99" s="35"/>
    </row>
    <row r="100" spans="2:12" s="4" customFormat="1" ht="12.75" customHeight="1" outlineLevel="1" x14ac:dyDescent="0.4">
      <c r="B100" s="20"/>
      <c r="C100" s="300" t="s">
        <v>204</v>
      </c>
      <c r="D100" s="21"/>
      <c r="E100" s="21"/>
      <c r="F100" s="21"/>
      <c r="G100" s="21"/>
      <c r="H100" s="21"/>
      <c r="I100" s="21"/>
      <c r="J100" s="21"/>
      <c r="K100" s="21"/>
      <c r="L100" s="35"/>
    </row>
    <row r="101" spans="2:12" s="4" customFormat="1" ht="6.75" customHeight="1" outlineLevel="1" x14ac:dyDescent="0.4">
      <c r="B101" s="28"/>
      <c r="C101" s="298"/>
      <c r="D101" s="29"/>
      <c r="E101" s="29"/>
      <c r="F101" s="29"/>
      <c r="G101" s="29"/>
      <c r="H101" s="29"/>
      <c r="I101" s="29"/>
      <c r="J101" s="29"/>
      <c r="K101" s="29"/>
      <c r="L101" s="60"/>
    </row>
    <row r="102" spans="2:12" s="4" customFormat="1" ht="17.100000000000001" customHeight="1" x14ac:dyDescent="0.4"/>
    <row r="103" spans="2:12" s="4" customFormat="1" hidden="1" x14ac:dyDescent="0.4"/>
    <row r="104" spans="2:12" s="4" customFormat="1" hidden="1" x14ac:dyDescent="0.4"/>
    <row r="105" spans="2:12" s="4" customFormat="1" hidden="1" x14ac:dyDescent="0.4"/>
    <row r="106" spans="2:12" s="4" customFormat="1" hidden="1" x14ac:dyDescent="0.4"/>
    <row r="107" spans="2:12" s="4" customFormat="1" hidden="1" x14ac:dyDescent="0.4"/>
    <row r="108" spans="2:12" s="4" customFormat="1" ht="19.2" x14ac:dyDescent="0.45">
      <c r="B108" s="754" t="str">
        <f>"Feedstock Conversion"&amp;" - "&amp;Feedstocks!C13</f>
        <v xml:space="preserve">Feedstock Conversion - </v>
      </c>
      <c r="C108" s="755"/>
      <c r="D108" s="755"/>
      <c r="E108" s="755"/>
      <c r="F108" s="755"/>
      <c r="G108" s="755"/>
      <c r="H108" s="755"/>
      <c r="I108" s="755"/>
      <c r="J108" s="755"/>
      <c r="K108" s="755"/>
      <c r="L108" s="756"/>
    </row>
    <row r="109" spans="2:12" s="4" customFormat="1" outlineLevel="1" x14ac:dyDescent="0.4">
      <c r="B109" s="17"/>
      <c r="C109" s="19"/>
      <c r="D109" s="19"/>
      <c r="E109" s="19"/>
      <c r="F109" s="19"/>
      <c r="G109" s="19"/>
      <c r="H109" s="19"/>
      <c r="I109" s="19"/>
      <c r="J109" s="19"/>
      <c r="K109" s="19"/>
      <c r="L109" s="50"/>
    </row>
    <row r="110" spans="2:12" s="4" customFormat="1" outlineLevel="1" x14ac:dyDescent="0.4">
      <c r="B110" s="20"/>
      <c r="C110" s="21"/>
      <c r="D110" s="760"/>
      <c r="E110" s="762"/>
      <c r="F110" s="21"/>
      <c r="G110" s="54"/>
      <c r="H110" s="69" t="s">
        <v>122</v>
      </c>
      <c r="I110" s="47"/>
      <c r="J110" s="47"/>
      <c r="K110" s="45"/>
      <c r="L110" s="35"/>
    </row>
    <row r="111" spans="2:12" s="4" customFormat="1" outlineLevel="1" x14ac:dyDescent="0.4">
      <c r="B111" s="20"/>
      <c r="C111" s="160" t="s">
        <v>123</v>
      </c>
      <c r="D111" s="753" t="str">
        <f>IF(Feedstocks!$H$13&gt;0,Feedstocks!$H$13,"")</f>
        <v/>
      </c>
      <c r="E111" s="753"/>
      <c r="F111" s="21"/>
      <c r="G111" s="76"/>
      <c r="H111" s="41"/>
      <c r="I111" s="36"/>
      <c r="J111" s="164" t="s">
        <v>124</v>
      </c>
      <c r="K111" s="37"/>
      <c r="L111" s="35"/>
    </row>
    <row r="112" spans="2:12" s="4" customFormat="1" outlineLevel="1" x14ac:dyDescent="0.4">
      <c r="B112" s="20"/>
      <c r="C112" s="21"/>
      <c r="D112" s="21"/>
      <c r="E112" s="21"/>
      <c r="F112" s="21"/>
      <c r="G112" s="21"/>
      <c r="H112" s="41"/>
      <c r="I112" s="164" t="s">
        <v>125</v>
      </c>
      <c r="J112" s="52" t="str">
        <f>IFERROR((J116/('Transport 2'!F119*('Digestion &amp; outputs'!$G$18/1000)))*'Digestion &amp; outputs'!$K$23,"")</f>
        <v/>
      </c>
      <c r="K112" s="37"/>
      <c r="L112" s="35"/>
    </row>
    <row r="113" spans="1:14" s="4" customFormat="1" ht="16.5" customHeight="1" outlineLevel="1" x14ac:dyDescent="0.4">
      <c r="B113" s="20"/>
      <c r="C113" s="759" t="s">
        <v>183</v>
      </c>
      <c r="D113" s="759"/>
      <c r="E113" s="134" t="s">
        <v>178</v>
      </c>
      <c r="F113" s="21"/>
      <c r="G113" s="21"/>
      <c r="H113" s="41"/>
      <c r="I113" s="36"/>
      <c r="J113" s="36"/>
      <c r="K113" s="37"/>
      <c r="L113" s="35"/>
    </row>
    <row r="114" spans="1:14" s="4" customFormat="1" outlineLevel="1" x14ac:dyDescent="0.4">
      <c r="B114" s="20"/>
      <c r="C114" s="763" t="s">
        <v>184</v>
      </c>
      <c r="D114" s="764"/>
      <c r="E114" s="134" t="s">
        <v>96</v>
      </c>
      <c r="F114" s="21"/>
      <c r="G114" s="21"/>
      <c r="H114" s="41"/>
      <c r="I114" s="36"/>
      <c r="J114" s="36"/>
      <c r="K114" s="37"/>
      <c r="L114" s="35"/>
    </row>
    <row r="115" spans="1:14" s="4" customFormat="1" outlineLevel="1" x14ac:dyDescent="0.4">
      <c r="B115" s="20"/>
      <c r="C115" s="21"/>
      <c r="D115" s="21"/>
      <c r="E115" s="21"/>
      <c r="F115" s="21"/>
      <c r="G115" s="21"/>
      <c r="H115" s="43"/>
      <c r="I115" s="34"/>
      <c r="J115" s="164" t="s">
        <v>141</v>
      </c>
      <c r="K115" s="44"/>
      <c r="L115" s="35"/>
    </row>
    <row r="116" spans="1:14" s="4" customFormat="1" outlineLevel="1" x14ac:dyDescent="0.4">
      <c r="A116" s="765"/>
      <c r="B116" s="51"/>
      <c r="C116" s="164" t="s">
        <v>185</v>
      </c>
      <c r="D116" s="70">
        <f>IFERROR(Feedstocks!D13/'Transport 2'!F119,"Insert data")</f>
        <v>0</v>
      </c>
      <c r="E116" s="21"/>
      <c r="F116" s="21"/>
      <c r="G116" s="21"/>
      <c r="H116" s="43"/>
      <c r="I116" s="164" t="s">
        <v>167</v>
      </c>
      <c r="J116" s="52">
        <f>IFERROR(IF(AND(E113="YES",ISBLANK(F117)),"Insert yield",SUM(J132:J139,J125:J128,J121)*IF(E142="Yes",J145,1)),"Insert data")</f>
        <v>0</v>
      </c>
      <c r="K116" s="44"/>
      <c r="L116" s="35"/>
    </row>
    <row r="117" spans="1:14" s="4" customFormat="1" outlineLevel="1" x14ac:dyDescent="0.4">
      <c r="A117" s="765"/>
      <c r="B117" s="51"/>
      <c r="C117" s="164" t="s">
        <v>186</v>
      </c>
      <c r="D117" s="680">
        <v>0.9</v>
      </c>
      <c r="E117" s="134"/>
      <c r="F117" s="623">
        <f>IF(E113="No", 1, IF(E114="Default",D117, IF(E114="Actual", IF(E117&gt;0, E117, "insert data"), "error")))</f>
        <v>1</v>
      </c>
      <c r="G117" s="21"/>
      <c r="H117" s="49"/>
      <c r="I117" s="65"/>
      <c r="J117" s="65"/>
      <c r="K117" s="66"/>
      <c r="L117" s="35"/>
    </row>
    <row r="118" spans="1:14" s="4" customFormat="1" outlineLevel="1" x14ac:dyDescent="0.4">
      <c r="A118" s="765"/>
      <c r="B118" s="51"/>
      <c r="C118" s="21"/>
      <c r="D118" s="21"/>
      <c r="E118" s="21"/>
      <c r="F118" s="21"/>
      <c r="G118" s="21"/>
      <c r="H118" s="29"/>
      <c r="I118" s="29"/>
      <c r="J118" s="29"/>
      <c r="K118" s="29"/>
      <c r="L118" s="35"/>
    </row>
    <row r="119" spans="1:14" s="4" customFormat="1" outlineLevel="1" x14ac:dyDescent="0.4">
      <c r="A119" s="765"/>
      <c r="B119" s="51"/>
      <c r="C119" s="25" t="s">
        <v>187</v>
      </c>
      <c r="D119" s="1"/>
      <c r="E119" s="1"/>
      <c r="F119" s="1"/>
      <c r="G119" s="1"/>
      <c r="H119" s="69" t="s">
        <v>136</v>
      </c>
      <c r="I119" s="79"/>
      <c r="J119" s="79"/>
      <c r="K119" s="61"/>
      <c r="L119" s="54"/>
      <c r="M119" s="12"/>
      <c r="N119" s="12"/>
    </row>
    <row r="120" spans="1:14" s="4" customFormat="1" outlineLevel="1" x14ac:dyDescent="0.4">
      <c r="A120" s="765"/>
      <c r="B120" s="51"/>
      <c r="C120" s="166" t="s">
        <v>188</v>
      </c>
      <c r="D120" s="164" t="s">
        <v>151</v>
      </c>
      <c r="E120" s="164" t="s">
        <v>140</v>
      </c>
      <c r="F120" s="1"/>
      <c r="G120" s="1"/>
      <c r="H120" s="43"/>
      <c r="I120" s="34"/>
      <c r="J120" s="164" t="s">
        <v>141</v>
      </c>
      <c r="K120" s="44"/>
      <c r="L120" s="54"/>
    </row>
    <row r="121" spans="1:14" s="4" customFormat="1" outlineLevel="1" x14ac:dyDescent="0.4">
      <c r="A121" s="765"/>
      <c r="B121" s="51"/>
      <c r="C121" s="145"/>
      <c r="D121" s="141"/>
      <c r="E121" s="144"/>
      <c r="F121" s="21"/>
      <c r="G121" s="1"/>
      <c r="H121" s="43"/>
      <c r="I121" s="164" t="s">
        <v>189</v>
      </c>
      <c r="J121" s="31">
        <f>IFERROR(IF(E113="No",0,IF(D121="MWh",(E121*'Reference values'!$D$47*INDEX(Electricity_Emission_Factors,MATCH(C121,Electricity_Source,0)))/(D116*1000),IF(D121="kWh",(E121*'Reference values'!$D$47*INDEX(Electricity_Emission_Factors,MATCH(C121,Electricity_Source,0))/1000)/(D116*1000),IF(D121="MWh/tonne(output)",(E121*'Reference values'!$D$47*INDEX(Electricity_Emission_Factors,MATCH(C121,Electricity_Source,0)))/1000,IF(D121="kWh/tonne(output)",(E121*'Reference values'!$D$47*INDEX(Electricity_Emission_Factors,MATCH(C121,Electricity_Source,0))/1000)/1000,""))))),"")</f>
        <v>0</v>
      </c>
      <c r="K121" s="44"/>
      <c r="L121" s="54"/>
    </row>
    <row r="122" spans="1:14" s="4" customFormat="1" outlineLevel="1" x14ac:dyDescent="0.4">
      <c r="A122" s="765"/>
      <c r="B122" s="51"/>
      <c r="C122" s="1"/>
      <c r="D122" s="1"/>
      <c r="E122" s="1"/>
      <c r="F122" s="21"/>
      <c r="G122" s="1"/>
      <c r="H122" s="43"/>
      <c r="I122" s="34"/>
      <c r="J122" s="34"/>
      <c r="K122" s="44"/>
      <c r="L122" s="54"/>
    </row>
    <row r="123" spans="1:14" s="4" customFormat="1" outlineLevel="1" x14ac:dyDescent="0.4">
      <c r="A123" s="765"/>
      <c r="B123" s="51"/>
      <c r="C123" s="25" t="s">
        <v>190</v>
      </c>
      <c r="D123" s="1"/>
      <c r="E123" s="1"/>
      <c r="F123" s="21"/>
      <c r="G123" s="1"/>
      <c r="H123" s="43"/>
      <c r="I123" s="34"/>
      <c r="J123" s="34"/>
      <c r="K123" s="44"/>
      <c r="L123" s="54"/>
    </row>
    <row r="124" spans="1:14" s="4" customFormat="1" outlineLevel="1" x14ac:dyDescent="0.4">
      <c r="A124" s="765"/>
      <c r="B124" s="51"/>
      <c r="C124" s="164" t="s">
        <v>160</v>
      </c>
      <c r="D124" s="164" t="s">
        <v>151</v>
      </c>
      <c r="E124" s="164" t="s">
        <v>140</v>
      </c>
      <c r="F124" s="21"/>
      <c r="G124" s="1"/>
      <c r="H124" s="43"/>
      <c r="I124" s="164" t="s">
        <v>160</v>
      </c>
      <c r="J124" s="182" t="s">
        <v>141</v>
      </c>
      <c r="K124" s="44"/>
      <c r="L124" s="54"/>
    </row>
    <row r="125" spans="1:14" s="4" customFormat="1" outlineLevel="1" x14ac:dyDescent="0.4">
      <c r="A125" s="765"/>
      <c r="B125" s="51"/>
      <c r="C125" s="27" t="str">
        <f>IF(E114="Default", "Diesel", "")</f>
        <v>Diesel</v>
      </c>
      <c r="D125" s="74" t="str">
        <f>IF(E114="Default", "kWh/tonne(output)", "")</f>
        <v>kWh/tonne(output)</v>
      </c>
      <c r="E125" s="74">
        <f>IF(E114="Default", 3.881, "")</f>
        <v>3.8809999999999998</v>
      </c>
      <c r="F125" s="21"/>
      <c r="G125" s="1"/>
      <c r="H125" s="43"/>
      <c r="I125" s="27" t="str">
        <f>IF(C125&gt;0,C125,"")</f>
        <v>Diesel</v>
      </c>
      <c r="J125" s="31">
        <f>IF(E114="Actual","",IFERROR(IF(C125&gt;0,IF(ISBLANK(E125),"Insert data",IF(E113="No",0,(IF(D125="litres",(E125*(INDEX(Fuel_Densities,MATCH(C125,Fuels_for_Densities,0))/1000)*INDEX(Fuel_LHV,MATCH(C125,Fuels_for_LHV,0))*INDEX(Fuel_EFs,MATCH(C125,Fuels_for_EF,0)))/(D116*1000),(IF(D125="m3",(E125*(INDEX(Fuel_Densities,MATCH(C125,Fuels_for_Densities,0)))*INDEX(Fuel_LHV,MATCH(C125,Fuels_for_LHV,0))*INDEX(Fuel_EFs,MATCH(C125,Fuels_for_EF,0)))/(D116*1000),IF(D125="kg",(E125*INDEX(Fuel_LHV,MATCH(C125,Fuels_for_LHV,0))*INDEX(Fuel_EFs,MATCH(C125,Fuels_for_EF,0)))/(D116*1000),IF(D125="tonnes",(E125*INDEX(Fuel_LHV,MATCH(C125,Fuels_for_LHV,0))*1000*INDEX(Fuel_EFs,MATCH(C125,Fuels_for_EF,0)))/(D116*1000),IF(D125="MWh",(E125*'Reference values'!$D$47*INDEX(Fuel_EFs,MATCH(C125,Fuels_for_EF,0)))/(D116*1000),IF(D125="kWh",(E125*'Reference values'!$D$47*INDEX(Fuel_EFs,MATCH(C125,Fuels_for_EF,0))/1000)/(D116*1000),(IF(D125="litres/tonne(output)",(E125*(INDEX(Fuel_Densities,MATCH(C125,Fuels_for_Densities,0))/1000)*INDEX(Fuel_LHV,MATCH(C125,Fuels_for_LHV,0))*INDEX(Fuel_EFs,MATCH(C125,Fuels_for_EF,0)))/1000,(IF(D125="m3/tonne(output)",(E125*(INDEX(Fuel_Densities,MATCH(C125,Fuels_for_Densities,0)))*INDEX(Fuel_LHV,MATCH(C125,Fuels_for_LHV,0))*INDEX(Fuel_EFs,MATCH(C125,Fuels_for_EF,0)))/1000,IF(D125="kg/tonne(output)",(E125*INDEX(Fuel_LHV,MATCH(C125,Fuels_for_LHV,0))*INDEX(Fuel_EFs,MATCH(C125,Fuels_for_EF,0)))/1000,IF(D125="tonnes/tonne(output)",(E125*INDEX(Fuel_LHV,MATCH(C125,Fuels_for_LHV,0))*1000*INDEX(Fuel_EFs,MATCH(C125,Fuels_for_EF,0)))/1000,IF(D125="MWh/tonne(output)",(E125*'Reference values'!$D$47*INDEX(Fuel_EFs,MATCH(C125,Fuels_for_EF,0)))/1000,IF(D125="kWh/tonne(output)",(E125*'Reference values'!$D$47*INDEX(Fuel_EFs,MATCH(C125,Fuels_for_EF,0))/1000)/1000,"Insert unit")))))))))))))))))),""),"Insert data"))</f>
        <v>0</v>
      </c>
      <c r="K125" s="44"/>
      <c r="L125" s="54"/>
    </row>
    <row r="126" spans="1:14" s="4" customFormat="1" outlineLevel="1" x14ac:dyDescent="0.4">
      <c r="A126" s="765"/>
      <c r="B126" s="51"/>
      <c r="C126" s="134"/>
      <c r="D126" s="141"/>
      <c r="E126" s="144"/>
      <c r="F126" s="21"/>
      <c r="G126" s="1"/>
      <c r="H126" s="43"/>
      <c r="I126" s="27" t="str">
        <f>IF(C126&gt;0,C126,"")</f>
        <v/>
      </c>
      <c r="J126" s="31" t="str">
        <f>IFERROR(IF(C126&gt;0,IF(ISBLANK(E126),"Insert data",IF(E113="No",0,(IF(D126="litres",(E126*(INDEX(Fuel_Densities,MATCH(C126,Fuels_for_Densities,0))/1000)*INDEX(Fuel_LHV,MATCH(C126,Fuels_for_LHV,0))*INDEX(Fuel_EFs,MATCH(C126,Fuels_for_EF,0)))/(D116*1000),(IF(D126="m3",(E126*(INDEX(Fuel_Densities,MATCH(C126,Fuels_for_Densities,0)))*INDEX(Fuel_LHV,MATCH(C126,Fuels_for_LHV,0))*INDEX(Fuel_EFs,MATCH(C126,Fuels_for_EF,0)))/(D116*1000),IF(D126="kg",(E126*INDEX(Fuel_LHV,MATCH(C126,Fuels_for_LHV,0))*INDEX(Fuel_EFs,MATCH(C126,Fuels_for_EF,0)))/(D116*1000),IF(D126="tonnes",(E126*INDEX(Fuel_LHV,MATCH(C126,Fuels_for_LHV,0))*1000*INDEX(Fuel_EFs,MATCH(C126,Fuels_for_EF,0)))/(D116*1000),IF(D126="MWh",(E126*'Reference values'!$D$47*INDEX(Fuel_EFs,MATCH(C126,Fuels_for_EF,0)))/(D116*1000),IF(D126="kWh",(E126*'Reference values'!$D$47*INDEX(Fuel_EFs,MATCH(C126,Fuels_for_EF,0))/1000)/(D116*1000),(IF(D126="litres/tonne(output)",(E126*(INDEX(Fuel_Densities,MATCH(C126,Fuels_for_Densities,0))/1000)*INDEX(Fuel_LHV,MATCH(C126,Fuels_for_LHV,0))*INDEX(Fuel_EFs,MATCH(C126,Fuels_for_EF,0)))/1000,(IF(D126="m3/tonne(output)",(E126*(INDEX(Fuel_Densities,MATCH(C126,Fuels_for_Densities,0)))*INDEX(Fuel_LHV,MATCH(C126,Fuels_for_LHV,0))*INDEX(Fuel_EFs,MATCH(C126,Fuels_for_EF,0)))/1000,IF(D126="kg/tonne(output)",(E126*INDEX(Fuel_LHV,MATCH(C126,Fuels_for_LHV,0))*INDEX(Fuel_EFs,MATCH(C126,Fuels_for_EF,0)))/1000,IF(D126="tonnes/tonne(output)",(E126*INDEX(Fuel_LHV,MATCH(C126,Fuels_for_LHV,0))*1000*INDEX(Fuel_EFs,MATCH(C126,Fuels_for_EF,0)))/1000,IF(D126="MWh/tonne(output)",(E126*'Reference values'!$D$47*INDEX(Fuel_EFs,MATCH(C126,Fuels_for_EF,0)))/1000,IF(D126="kWh/tonne(output)",(E126*'Reference values'!$D$47*INDEX(Fuel_EFs,MATCH(C126,Fuels_for_EF,0))/1000)/1000,"Insert unit")))))))))))))))))),""),"Insert data")</f>
        <v/>
      </c>
      <c r="K126" s="44"/>
      <c r="L126" s="54"/>
    </row>
    <row r="127" spans="1:14" s="4" customFormat="1" outlineLevel="1" x14ac:dyDescent="0.4">
      <c r="A127" s="765"/>
      <c r="B127" s="51"/>
      <c r="C127" s="134"/>
      <c r="D127" s="141"/>
      <c r="E127" s="144"/>
      <c r="F127" s="21"/>
      <c r="G127" s="1"/>
      <c r="H127" s="43"/>
      <c r="I127" s="27" t="str">
        <f>IF(C127&gt;0,C127,"")</f>
        <v/>
      </c>
      <c r="J127" s="31" t="str">
        <f>IFERROR(IF(C127&gt;0,IF(ISBLANK(E127),"Insert data",IF(E113="No",0,(IF(D127="litres",(E127*(INDEX(Fuel_Densities,MATCH(C127,Fuels_for_Densities,0))/1000)*INDEX(Fuel_LHV,MATCH(C127,Fuels_for_LHV,0))*INDEX(Fuel_EFs,MATCH(C127,Fuels_for_EF,0)))/(D116*1000),(IF(D127="m3",(E127*(INDEX(Fuel_Densities,MATCH(C127,Fuels_for_Densities,0)))*INDEX(Fuel_LHV,MATCH(C127,Fuels_for_LHV,0))*INDEX(Fuel_EFs,MATCH(C127,Fuels_for_EF,0)))/(D116*1000),IF(D127="kg",(E127*INDEX(Fuel_LHV,MATCH(C127,Fuels_for_LHV,0))*INDEX(Fuel_EFs,MATCH(C127,Fuels_for_EF,0)))/(D116*1000),IF(D127="tonnes",(E127*INDEX(Fuel_LHV,MATCH(C127,Fuels_for_LHV,0))*1000*INDEX(Fuel_EFs,MATCH(C127,Fuels_for_EF,0)))/(D116*1000),IF(D127="MWh",(E127*'Reference values'!$D$47*INDEX(Fuel_EFs,MATCH(C127,Fuels_for_EF,0)))/(D116*1000),IF(D127="kWh",(E127*'Reference values'!$D$47*INDEX(Fuel_EFs,MATCH(C127,Fuels_for_EF,0))/1000)/(D116*1000),(IF(D127="litres/tonne(output)",(E127*(INDEX(Fuel_Densities,MATCH(C127,Fuels_for_Densities,0))/1000)*INDEX(Fuel_LHV,MATCH(C127,Fuels_for_LHV,0))*INDEX(Fuel_EFs,MATCH(C127,Fuels_for_EF,0)))/1000,(IF(D127="m3/tonne(output)",(E127*(INDEX(Fuel_Densities,MATCH(C127,Fuels_for_Densities,0)))*INDEX(Fuel_LHV,MATCH(C127,Fuels_for_LHV,0))*INDEX(Fuel_EFs,MATCH(C127,Fuels_for_EF,0)))/1000,IF(D127="kg/tonne(output)",(E127*INDEX(Fuel_LHV,MATCH(C127,Fuels_for_LHV,0))*INDEX(Fuel_EFs,MATCH(C127,Fuels_for_EF,0)))/1000,IF(D127="tonnes/tonne(output)",(E127*INDEX(Fuel_LHV,MATCH(C127,Fuels_for_LHV,0))*1000*INDEX(Fuel_EFs,MATCH(C127,Fuels_for_EF,0)))/1000,IF(D127="MWh/tonne(output)",(E127*'Reference values'!$D$47*INDEX(Fuel_EFs,MATCH(C127,Fuels_for_EF,0)))/1000,IF(D127="kWh/tonne(output)",(E127*'Reference values'!$D$47*INDEX(Fuel_EFs,MATCH(C127,Fuels_for_EF,0))/1000)/1000,"Insert unit")))))))))))))))))),""),"Insert data")</f>
        <v/>
      </c>
      <c r="K127" s="44"/>
      <c r="L127" s="54"/>
    </row>
    <row r="128" spans="1:14" s="4" customFormat="1" outlineLevel="1" x14ac:dyDescent="0.4">
      <c r="A128" s="765"/>
      <c r="B128" s="51"/>
      <c r="C128" s="134"/>
      <c r="D128" s="141"/>
      <c r="E128" s="144"/>
      <c r="F128" s="21"/>
      <c r="G128" s="1"/>
      <c r="H128" s="43"/>
      <c r="I128" s="27" t="str">
        <f>IF(C128&gt;0,C128,"")</f>
        <v/>
      </c>
      <c r="J128" s="31" t="str">
        <f>IFERROR(IF(C128&gt;0,IF(ISBLANK(E128),"Insert data",IF(E113="No",0,(IF(D128="litres",(E128*(INDEX(Fuel_Densities,MATCH(C128,Fuels_for_Densities,0))/1000)*INDEX(Fuel_LHV,MATCH(C128,Fuels_for_LHV,0))*INDEX(Fuel_EFs,MATCH(C128,Fuels_for_EF,0)))/(D116*1000),(IF(D128="m3",(E128*(INDEX(Fuel_Densities,MATCH(C128,Fuels_for_Densities,0)))*INDEX(Fuel_LHV,MATCH(C128,Fuels_for_LHV,0))*INDEX(Fuel_EFs,MATCH(C128,Fuels_for_EF,0)))/(D116*1000),IF(D128="kg",(E128*INDEX(Fuel_LHV,MATCH(C128,Fuels_for_LHV,0))*INDEX(Fuel_EFs,MATCH(C128,Fuels_for_EF,0)))/(D116*1000),IF(D128="tonnes",(E128*INDEX(Fuel_LHV,MATCH(C128,Fuels_for_LHV,0))*1000*INDEX(Fuel_EFs,MATCH(C128,Fuels_for_EF,0)))/(D116*1000),IF(D128="MWh",(E128*'Reference values'!$D$47*INDEX(Fuel_EFs,MATCH(C128,Fuels_for_EF,0)))/(D116*1000),IF(D128="kWh",(E128*'Reference values'!$D$47*INDEX(Fuel_EFs,MATCH(C128,Fuels_for_EF,0))/1000)/(D116*1000),(IF(D128="litres/tonne(output)",(E128*(INDEX(Fuel_Densities,MATCH(C128,Fuels_for_Densities,0))/1000)*INDEX(Fuel_LHV,MATCH(C128,Fuels_for_LHV,0))*INDEX(Fuel_EFs,MATCH(C128,Fuels_for_EF,0)))/1000,(IF(D128="m3/tonne(output)",(E128*(INDEX(Fuel_Densities,MATCH(C128,Fuels_for_Densities,0)))*INDEX(Fuel_LHV,MATCH(C128,Fuels_for_LHV,0))*INDEX(Fuel_EFs,MATCH(C128,Fuels_for_EF,0)))/1000,IF(D128="kg/tonne(output)",(E128*INDEX(Fuel_LHV,MATCH(C128,Fuels_for_LHV,0))*INDEX(Fuel_EFs,MATCH(C128,Fuels_for_EF,0)))/1000,IF(D128="tonnes/tonne(output)",(E128*INDEX(Fuel_LHV,MATCH(C128,Fuels_for_LHV,0))*1000*INDEX(Fuel_EFs,MATCH(C128,Fuels_for_EF,0)))/1000,IF(D128="MWh/tonne(output)",(E128*'Reference values'!$D$47*INDEX(Fuel_EFs,MATCH(C128,Fuels_for_EF,0)))/1000,IF(D128="kWh/tonne(output)",(E128*'Reference values'!$D$47*INDEX(Fuel_EFs,MATCH(C128,Fuels_for_EF,0))/1000)/1000,"Insert unit")))))))))))))))))),""),"Insert data")</f>
        <v/>
      </c>
      <c r="K128" s="44"/>
      <c r="L128" s="54"/>
    </row>
    <row r="129" spans="1:12" s="4" customFormat="1" outlineLevel="1" x14ac:dyDescent="0.4">
      <c r="A129" s="765"/>
      <c r="B129" s="51"/>
      <c r="C129" s="1"/>
      <c r="D129" s="1"/>
      <c r="E129" s="1"/>
      <c r="F129" s="21"/>
      <c r="G129" s="53"/>
      <c r="H129" s="56"/>
      <c r="I129" s="57"/>
      <c r="J129" s="34"/>
      <c r="K129" s="44"/>
      <c r="L129" s="54"/>
    </row>
    <row r="130" spans="1:12" s="4" customFormat="1" outlineLevel="1" x14ac:dyDescent="0.4">
      <c r="A130" s="765"/>
      <c r="B130" s="51"/>
      <c r="C130" s="25" t="s">
        <v>191</v>
      </c>
      <c r="D130" s="1"/>
      <c r="E130" s="1"/>
      <c r="F130" s="21"/>
      <c r="G130" s="53"/>
      <c r="H130" s="56"/>
      <c r="I130" s="34"/>
      <c r="J130" s="34"/>
      <c r="K130" s="44"/>
      <c r="L130" s="54"/>
    </row>
    <row r="131" spans="1:12" s="4" customFormat="1" outlineLevel="1" x14ac:dyDescent="0.4">
      <c r="A131" s="765"/>
      <c r="B131" s="51"/>
      <c r="C131" s="164" t="s">
        <v>192</v>
      </c>
      <c r="D131" s="164" t="s">
        <v>151</v>
      </c>
      <c r="E131" s="164" t="s">
        <v>140</v>
      </c>
      <c r="F131" s="21"/>
      <c r="G131" s="1"/>
      <c r="H131" s="43"/>
      <c r="I131" s="164" t="s">
        <v>192</v>
      </c>
      <c r="J131" s="182" t="s">
        <v>141</v>
      </c>
      <c r="K131" s="44"/>
      <c r="L131" s="54"/>
    </row>
    <row r="132" spans="1:12" s="4" customFormat="1" outlineLevel="1" x14ac:dyDescent="0.4">
      <c r="A132" s="765"/>
      <c r="B132" s="51"/>
      <c r="C132" s="134"/>
      <c r="D132" s="141"/>
      <c r="E132" s="144"/>
      <c r="F132" s="21"/>
      <c r="G132" s="1"/>
      <c r="H132" s="43"/>
      <c r="I132" s="27" t="str">
        <f t="shared" ref="I132:I139" si="2">IF(C132&gt;0,C132,"")</f>
        <v/>
      </c>
      <c r="J132" s="31" t="str">
        <f>IFERROR(IF(C132&gt;0,IF(ISBLANK(E132),"Insert data",IF(E113="No",0,IF(D132="kg",E132*INDEX(Chemical_Emission_Factors,MATCH(C132,Chemicals,0))/(D116*1000),IF(D132="tonnes",E132*INDEX(Chemical_Emission_Factors,MATCH(C132,Chemicals,0))*1000/(D116*1000),IF(D132="kg/tonne(output)",E132*INDEX(Chemical_Emission_Factors,MATCH(C132,Chemicals,0))/1000,IF(D132="tonnes/tonne(output)",E132*INDEX(Chemical_Emission_Factors,MATCH(C132,Chemicals,0))*1000/1000,"Insert unit")))))),""),"Insert data")</f>
        <v/>
      </c>
      <c r="K132" s="44"/>
      <c r="L132" s="54"/>
    </row>
    <row r="133" spans="1:12" s="4" customFormat="1" outlineLevel="1" x14ac:dyDescent="0.4">
      <c r="A133" s="765"/>
      <c r="B133" s="51"/>
      <c r="C133" s="134"/>
      <c r="D133" s="141"/>
      <c r="E133" s="144"/>
      <c r="F133" s="21"/>
      <c r="G133" s="1"/>
      <c r="H133" s="43"/>
      <c r="I133" s="27" t="str">
        <f t="shared" si="2"/>
        <v/>
      </c>
      <c r="J133" s="31" t="str">
        <f>IFERROR(IF(C133&gt;0,IF(ISBLANK(E133),"Insert data",IF(E113="No",0,IF(D133="kg",E133*INDEX(Chemical_Emission_Factors,MATCH(C133,Chemicals,0))/(D116*1000),IF(D133="tonnes",E133*INDEX(Chemical_Emission_Factors,MATCH(C133,Chemicals,0))*1000/(D116*1000),IF(D133="kg/tonne(output)",E133*INDEX(Chemical_Emission_Factors,MATCH(C133,Chemicals,0))/1000,IF(D133="tonnes/tonne(output)",E133*INDEX(Chemical_Emission_Factors,MATCH(C133,Chemicals,0))*1000/1000,"Insert unit")))))),""),"Insert data")</f>
        <v/>
      </c>
      <c r="K133" s="44"/>
      <c r="L133" s="54"/>
    </row>
    <row r="134" spans="1:12" s="4" customFormat="1" outlineLevel="1" x14ac:dyDescent="0.4">
      <c r="A134" s="765"/>
      <c r="B134" s="51"/>
      <c r="C134" s="134"/>
      <c r="D134" s="141"/>
      <c r="E134" s="144"/>
      <c r="F134" s="21"/>
      <c r="G134" s="1"/>
      <c r="H134" s="43"/>
      <c r="I134" s="27" t="str">
        <f t="shared" si="2"/>
        <v/>
      </c>
      <c r="J134" s="31" t="str">
        <f>IFERROR(IF(C134&gt;0,IF(ISBLANK(E134),"Insert data",IF(E113="No",0,IF(D134="kg",E134*INDEX(Chemical_Emission_Factors,MATCH(C134,Chemicals,0))/(D116*1000),IF(D134="tonnes",E134*INDEX(Chemical_Emission_Factors,MATCH(C134,Chemicals,0))*1000/(D116*1000),IF(D134="kg/tonne(output)",E134*INDEX(Chemical_Emission_Factors,MATCH(C134,Chemicals,0))/1000,IF(D134="tonnes/tonne(output)",E134*INDEX(Chemical_Emission_Factors,MATCH(C134,Chemicals,0))*1000/1000,"Insert unit")))))),""),"Insert data")</f>
        <v/>
      </c>
      <c r="K134" s="44"/>
      <c r="L134" s="54"/>
    </row>
    <row r="135" spans="1:12" s="4" customFormat="1" outlineLevel="1" x14ac:dyDescent="0.4">
      <c r="A135" s="765"/>
      <c r="B135" s="51"/>
      <c r="C135" s="134"/>
      <c r="D135" s="141"/>
      <c r="E135" s="144"/>
      <c r="F135" s="21"/>
      <c r="G135" s="1"/>
      <c r="H135" s="43"/>
      <c r="I135" s="27" t="str">
        <f t="shared" si="2"/>
        <v/>
      </c>
      <c r="J135" s="31" t="str">
        <f>IFERROR(IF(C135&gt;0,IF(ISBLANK(E135),"Insert data",IF(E113="No",0,IF(D135="kg",E135*INDEX(Chemical_Emission_Factors,MATCH(C135,Chemicals,0))/(D116*1000),IF(D135="tonnes",E135*INDEX(Chemical_Emission_Factors,MATCH(C135,Chemicals,0))*1000/(D116*1000),IF(D135="kg/tonne(output)",E135*INDEX(Chemical_Emission_Factors,MATCH(C135,Chemicals,0))/1000,IF(D135="tonnes/tonne(output)",E135*INDEX(Chemical_Emission_Factors,MATCH(C135,Chemicals,0))*1000/1000,"Insert unit")))))),""),"Insert data")</f>
        <v/>
      </c>
      <c r="K135" s="44"/>
      <c r="L135" s="54"/>
    </row>
    <row r="136" spans="1:12" s="4" customFormat="1" outlineLevel="1" x14ac:dyDescent="0.4">
      <c r="A136" s="765"/>
      <c r="B136" s="51"/>
      <c r="C136" s="134"/>
      <c r="D136" s="141"/>
      <c r="E136" s="144"/>
      <c r="F136" s="21"/>
      <c r="G136" s="1"/>
      <c r="H136" s="43"/>
      <c r="I136" s="27" t="str">
        <f t="shared" si="2"/>
        <v/>
      </c>
      <c r="J136" s="31" t="str">
        <f>IFERROR(IF(C136&gt;0,IF(ISBLANK(E136),"Insert data",IF(E113="No",0,IF(D136="kg",E136*INDEX(Chemical_Emission_Factors,MATCH(C136,Chemicals,0))/(D116*1000),IF(D136="tonnes",E136*INDEX(Chemical_Emission_Factors,MATCH(C136,Chemicals,0))*1000/(D116*1000),IF(D136="kg/tonne(output)",E136*INDEX(Chemical_Emission_Factors,MATCH(C136,Chemicals,0))/1000,IF(D136="tonnes/tonne(output)",E136*INDEX(Chemical_Emission_Factors,MATCH(C136,Chemicals,0))*1000/1000,"Insert unit")))))),""),"Insert data")</f>
        <v/>
      </c>
      <c r="K136" s="44"/>
      <c r="L136" s="54"/>
    </row>
    <row r="137" spans="1:12" s="4" customFormat="1" outlineLevel="1" x14ac:dyDescent="0.4">
      <c r="A137" s="765"/>
      <c r="B137" s="51"/>
      <c r="C137" s="134"/>
      <c r="D137" s="141"/>
      <c r="E137" s="144"/>
      <c r="F137" s="21"/>
      <c r="G137" s="1"/>
      <c r="H137" s="43"/>
      <c r="I137" s="27" t="str">
        <f t="shared" si="2"/>
        <v/>
      </c>
      <c r="J137" s="31" t="str">
        <f>IFERROR(IF(C137&gt;0,IF(ISBLANK(E137),"Insert data",IF(E113="No",0,IF(D137="kg",E137*INDEX(Chemical_Emission_Factors,MATCH(C137,Chemicals,0))/(D116*1000),IF(D137="tonnes",E137*INDEX(Chemical_Emission_Factors,MATCH(C137,Chemicals,0))*1000/(D116*1000),IF(D137="kg/tonne(output)",E137*INDEX(Chemical_Emission_Factors,MATCH(C137,Chemicals,0))/1000,IF(D137="tonnes/tonne(output)",E137*INDEX(Chemical_Emission_Factors,MATCH(C137,Chemicals,0))*1000/1000,"Insert unit")))))),""),"Insert data")</f>
        <v/>
      </c>
      <c r="K137" s="44"/>
      <c r="L137" s="54"/>
    </row>
    <row r="138" spans="1:12" s="4" customFormat="1" outlineLevel="1" x14ac:dyDescent="0.4">
      <c r="A138" s="765"/>
      <c r="B138" s="51"/>
      <c r="C138" s="134"/>
      <c r="D138" s="141"/>
      <c r="E138" s="144"/>
      <c r="F138" s="21"/>
      <c r="G138" s="1"/>
      <c r="H138" s="43"/>
      <c r="I138" s="27" t="str">
        <f t="shared" si="2"/>
        <v/>
      </c>
      <c r="J138" s="31" t="str">
        <f>IFERROR(IF(C138&gt;0,IF(ISBLANK(E138),"Insert data",IF(E113="No",0,IF(D138="kg",E138*INDEX(Chemical_Emission_Factors,MATCH(C138,Chemicals,0))/(D116*1000),IF(D138="tonnes",E138*INDEX(Chemical_Emission_Factors,MATCH(C138,Chemicals,0))*1000/(D116*1000),IF(D138="kg/tonne(output)",E138*INDEX(Chemical_Emission_Factors,MATCH(C138,Chemicals,0))/1000,IF(D138="tonnes/tonne(output)",E138*INDEX(Chemical_Emission_Factors,MATCH(C138,Chemicals,0))*1000/1000,"Insert unit")))))),""),"Insert data")</f>
        <v/>
      </c>
      <c r="K138" s="44"/>
      <c r="L138" s="54"/>
    </row>
    <row r="139" spans="1:12" s="4" customFormat="1" outlineLevel="1" x14ac:dyDescent="0.4">
      <c r="A139" s="765"/>
      <c r="B139" s="51"/>
      <c r="C139" s="134"/>
      <c r="D139" s="141"/>
      <c r="E139" s="144"/>
      <c r="F139" s="21"/>
      <c r="G139" s="1"/>
      <c r="H139" s="43"/>
      <c r="I139" s="27" t="str">
        <f t="shared" si="2"/>
        <v/>
      </c>
      <c r="J139" s="31" t="str">
        <f>IFERROR(IF(C139&gt;0,IF(ISBLANK(E139),"Insert data",IF(E113="No",0,IF(D139="kg",E139*INDEX(Chemical_Emission_Factors,MATCH(C139,Chemicals,0))/(D116*1000),IF(D139="tonnes",E139*INDEX(Chemical_Emission_Factors,MATCH(C139,Chemicals,0))*1000/(D116*1000),IF(D139="kg/tonne(output)",E139*INDEX(Chemical_Emission_Factors,MATCH(C139,Chemicals,0))/1000,IF(D139="tonnes/tonne(output)",E139*INDEX(Chemical_Emission_Factors,MATCH(C139,Chemicals,0))*1000/1000,"Insert unit")))))),""),"Insert data")</f>
        <v/>
      </c>
      <c r="K139" s="44"/>
      <c r="L139" s="54"/>
    </row>
    <row r="140" spans="1:12" s="4" customFormat="1" ht="12.75" customHeight="1" outlineLevel="1" x14ac:dyDescent="0.4">
      <c r="B140" s="20"/>
      <c r="C140" s="21"/>
      <c r="D140" s="21"/>
      <c r="E140" s="21"/>
      <c r="F140" s="21"/>
      <c r="G140" s="21"/>
      <c r="H140" s="46"/>
      <c r="I140" s="58"/>
      <c r="J140" s="58"/>
      <c r="K140" s="59"/>
      <c r="L140" s="35"/>
    </row>
    <row r="141" spans="1:12" s="4" customFormat="1" outlineLevel="1" x14ac:dyDescent="0.4">
      <c r="B141" s="20"/>
      <c r="C141" s="243" t="s">
        <v>193</v>
      </c>
      <c r="D141" s="21"/>
      <c r="E141" s="21"/>
      <c r="F141" s="21"/>
      <c r="G141" s="21"/>
      <c r="H141" s="21"/>
      <c r="I141" s="21"/>
      <c r="J141" s="21"/>
      <c r="K141" s="21"/>
      <c r="L141" s="35"/>
    </row>
    <row r="142" spans="1:12" s="4" customFormat="1" outlineLevel="1" x14ac:dyDescent="0.4">
      <c r="B142" s="20"/>
      <c r="C142" s="766" t="s">
        <v>194</v>
      </c>
      <c r="D142" s="767"/>
      <c r="E142" s="299" t="s">
        <v>178</v>
      </c>
      <c r="F142" s="21"/>
      <c r="G142" s="21"/>
      <c r="H142" s="302"/>
      <c r="I142" s="47"/>
      <c r="J142" s="47"/>
      <c r="K142" s="45"/>
      <c r="L142" s="35"/>
    </row>
    <row r="143" spans="1:12" s="4" customFormat="1" ht="6.75" customHeight="1" outlineLevel="1" x14ac:dyDescent="0.4">
      <c r="B143" s="20"/>
      <c r="C143" s="21"/>
      <c r="D143" s="21"/>
      <c r="E143" s="21"/>
      <c r="F143" s="21"/>
      <c r="G143" s="21"/>
      <c r="H143" s="41"/>
      <c r="I143" s="36"/>
      <c r="J143" s="301"/>
      <c r="K143" s="37"/>
      <c r="L143" s="35"/>
    </row>
    <row r="144" spans="1:12" s="4" customFormat="1" outlineLevel="1" x14ac:dyDescent="0.4">
      <c r="B144" s="20"/>
      <c r="C144" s="21"/>
      <c r="D144" s="164" t="s">
        <v>151</v>
      </c>
      <c r="E144" s="164" t="s">
        <v>140</v>
      </c>
      <c r="F144" s="21"/>
      <c r="G144" s="21"/>
      <c r="H144" s="41"/>
      <c r="I144" s="36"/>
      <c r="J144" s="164" t="s">
        <v>195</v>
      </c>
      <c r="K144" s="37"/>
      <c r="L144" s="35"/>
    </row>
    <row r="145" spans="2:12" s="4" customFormat="1" outlineLevel="1" x14ac:dyDescent="0.4">
      <c r="B145" s="20"/>
      <c r="C145" s="164" t="s">
        <v>196</v>
      </c>
      <c r="D145" s="297" t="s">
        <v>197</v>
      </c>
      <c r="E145" s="299"/>
      <c r="F145" s="21"/>
      <c r="G145" s="21"/>
      <c r="H145" s="41"/>
      <c r="I145" s="164" t="s">
        <v>198</v>
      </c>
      <c r="J145" s="309" t="str">
        <f>IFERROR(IF(E142="No", "", IF(AND(E142="yes",OR(ISBLANK(E145),ISBLANK(E146),ISBLANK(E147))),"Insert data",E146/(E146+E147*E145))), "")</f>
        <v/>
      </c>
      <c r="K145" s="37"/>
      <c r="L145" s="35"/>
    </row>
    <row r="146" spans="2:12" s="4" customFormat="1" outlineLevel="1" x14ac:dyDescent="0.4">
      <c r="B146" s="20"/>
      <c r="C146" s="164" t="s">
        <v>199</v>
      </c>
      <c r="D146" s="296" t="s">
        <v>200</v>
      </c>
      <c r="E146" s="299"/>
      <c r="F146" s="21"/>
      <c r="G146" s="21"/>
      <c r="H146" s="41"/>
      <c r="I146" s="164" t="s">
        <v>201</v>
      </c>
      <c r="J146" s="309" t="str">
        <f>IFERROR(IF(E142="No", "", IF(AND(E142="yes",OR(ISBLANK(E145),ISBLANK(E146),ISBLANK(E147))),"Insert data",(E147*E145)/(E147*E145+E146))),"")</f>
        <v/>
      </c>
      <c r="K146" s="37"/>
      <c r="L146" s="35"/>
    </row>
    <row r="147" spans="2:12" s="4" customFormat="1" outlineLevel="1" x14ac:dyDescent="0.4">
      <c r="B147" s="20"/>
      <c r="C147" s="164" t="s">
        <v>202</v>
      </c>
      <c r="D147" s="296" t="s">
        <v>200</v>
      </c>
      <c r="E147" s="299"/>
      <c r="F147" s="21"/>
      <c r="G147" s="21"/>
      <c r="H147" s="46"/>
      <c r="I147" s="58"/>
      <c r="J147" s="58"/>
      <c r="K147" s="59"/>
      <c r="L147" s="35"/>
    </row>
    <row r="148" spans="2:12" s="4" customFormat="1" ht="6.75" customHeight="1" outlineLevel="1" x14ac:dyDescent="0.4">
      <c r="B148" s="20"/>
      <c r="C148" s="21"/>
      <c r="D148" s="21"/>
      <c r="E148" s="21"/>
      <c r="F148" s="21"/>
      <c r="G148" s="21"/>
      <c r="H148" s="21"/>
      <c r="I148" s="21"/>
      <c r="J148" s="21"/>
      <c r="K148" s="21"/>
      <c r="L148" s="35"/>
    </row>
    <row r="149" spans="2:12" s="4" customFormat="1" ht="12.75" customHeight="1" outlineLevel="1" x14ac:dyDescent="0.4">
      <c r="B149" s="20"/>
      <c r="C149" s="300" t="s">
        <v>203</v>
      </c>
      <c r="D149" s="21"/>
      <c r="E149" s="21"/>
      <c r="F149" s="21"/>
      <c r="G149" s="21"/>
      <c r="H149" s="21"/>
      <c r="I149" s="21"/>
      <c r="J149" s="21"/>
      <c r="K149" s="21"/>
      <c r="L149" s="35"/>
    </row>
    <row r="150" spans="2:12" s="4" customFormat="1" ht="12.75" customHeight="1" outlineLevel="1" x14ac:dyDescent="0.4">
      <c r="B150" s="20"/>
      <c r="C150" s="300" t="s">
        <v>204</v>
      </c>
      <c r="D150" s="21"/>
      <c r="E150" s="21"/>
      <c r="F150" s="21"/>
      <c r="G150" s="21"/>
      <c r="H150" s="21"/>
      <c r="I150" s="21"/>
      <c r="J150" s="21"/>
      <c r="K150" s="21"/>
      <c r="L150" s="35"/>
    </row>
    <row r="151" spans="2:12" s="4" customFormat="1" ht="6.75" customHeight="1" outlineLevel="1" x14ac:dyDescent="0.4">
      <c r="B151" s="28"/>
      <c r="C151" s="298"/>
      <c r="D151" s="29"/>
      <c r="E151" s="29"/>
      <c r="F151" s="29"/>
      <c r="G151" s="29"/>
      <c r="H151" s="29"/>
      <c r="I151" s="29"/>
      <c r="J151" s="29"/>
      <c r="K151" s="29"/>
      <c r="L151" s="60"/>
    </row>
    <row r="152" spans="2:12" s="4" customFormat="1" x14ac:dyDescent="0.4"/>
    <row r="153" spans="2:12" s="4" customFormat="1" hidden="1" x14ac:dyDescent="0.4"/>
    <row r="154" spans="2:12" s="4" customFormat="1" hidden="1" x14ac:dyDescent="0.4"/>
    <row r="155" spans="2:12" s="4" customFormat="1" hidden="1" x14ac:dyDescent="0.4"/>
    <row r="156" spans="2:12" s="4" customFormat="1" hidden="1" x14ac:dyDescent="0.4"/>
    <row r="157" spans="2:12" s="4" customFormat="1" hidden="1" x14ac:dyDescent="0.4"/>
    <row r="158" spans="2:12" s="4" customFormat="1" ht="19.2" x14ac:dyDescent="0.45">
      <c r="B158" s="754" t="str">
        <f>"Feedstock Conversion"&amp;" - "&amp;Feedstocks!C14</f>
        <v xml:space="preserve">Feedstock Conversion - </v>
      </c>
      <c r="C158" s="755"/>
      <c r="D158" s="755"/>
      <c r="E158" s="755"/>
      <c r="F158" s="755"/>
      <c r="G158" s="755"/>
      <c r="H158" s="755"/>
      <c r="I158" s="755"/>
      <c r="J158" s="755"/>
      <c r="K158" s="755"/>
      <c r="L158" s="756"/>
    </row>
    <row r="159" spans="2:12" s="4" customFormat="1" outlineLevel="1" x14ac:dyDescent="0.4">
      <c r="B159" s="17"/>
      <c r="C159" s="19"/>
      <c r="D159" s="19"/>
      <c r="E159" s="19"/>
      <c r="F159" s="19"/>
      <c r="G159" s="19"/>
      <c r="H159" s="19"/>
      <c r="I159" s="19"/>
      <c r="J159" s="19"/>
      <c r="K159" s="19"/>
      <c r="L159" s="50"/>
    </row>
    <row r="160" spans="2:12" s="4" customFormat="1" outlineLevel="1" x14ac:dyDescent="0.4">
      <c r="B160" s="20"/>
      <c r="C160" s="21"/>
      <c r="D160" s="760"/>
      <c r="E160" s="762"/>
      <c r="F160" s="21"/>
      <c r="G160" s="1"/>
      <c r="H160" s="69" t="s">
        <v>122</v>
      </c>
      <c r="I160" s="47"/>
      <c r="J160" s="47"/>
      <c r="K160" s="45"/>
      <c r="L160" s="35"/>
    </row>
    <row r="161" spans="1:14" s="4" customFormat="1" outlineLevel="1" x14ac:dyDescent="0.4">
      <c r="B161" s="20"/>
      <c r="C161" s="160" t="s">
        <v>123</v>
      </c>
      <c r="D161" s="753" t="str">
        <f>IF(Feedstocks!$H$14&gt;0,Feedstocks!$H$14,"")</f>
        <v/>
      </c>
      <c r="E161" s="753"/>
      <c r="F161" s="21"/>
      <c r="G161" s="76"/>
      <c r="H161" s="41"/>
      <c r="I161" s="36"/>
      <c r="J161" s="164" t="s">
        <v>124</v>
      </c>
      <c r="K161" s="37"/>
      <c r="L161" s="35"/>
    </row>
    <row r="162" spans="1:14" s="4" customFormat="1" outlineLevel="1" x14ac:dyDescent="0.4">
      <c r="B162" s="20"/>
      <c r="C162" s="21"/>
      <c r="D162" s="21"/>
      <c r="E162" s="21"/>
      <c r="F162" s="21"/>
      <c r="G162" s="21"/>
      <c r="H162" s="41"/>
      <c r="I162" s="164" t="s">
        <v>125</v>
      </c>
      <c r="J162" s="52" t="str">
        <f>IFERROR((J166/('Transport 2'!F169*('Digestion &amp; outputs'!$G$19/1000)))*'Digestion &amp; outputs'!$K$23,"")</f>
        <v/>
      </c>
      <c r="K162" s="37"/>
      <c r="L162" s="35"/>
    </row>
    <row r="163" spans="1:14" s="4" customFormat="1" ht="16.5" customHeight="1" outlineLevel="1" x14ac:dyDescent="0.4">
      <c r="B163" s="20"/>
      <c r="C163" s="759" t="s">
        <v>183</v>
      </c>
      <c r="D163" s="759"/>
      <c r="E163" s="134" t="s">
        <v>178</v>
      </c>
      <c r="F163" s="21"/>
      <c r="G163" s="21"/>
      <c r="H163" s="41"/>
      <c r="I163" s="36"/>
      <c r="J163" s="36"/>
      <c r="K163" s="37"/>
      <c r="L163" s="35"/>
    </row>
    <row r="164" spans="1:14" s="4" customFormat="1" outlineLevel="1" x14ac:dyDescent="0.4">
      <c r="B164" s="20"/>
      <c r="C164" s="763" t="s">
        <v>184</v>
      </c>
      <c r="D164" s="764"/>
      <c r="E164" s="134" t="s">
        <v>96</v>
      </c>
      <c r="F164" s="21"/>
      <c r="G164" s="21"/>
      <c r="H164" s="41"/>
      <c r="I164" s="36"/>
      <c r="J164" s="36"/>
      <c r="K164" s="37"/>
      <c r="L164" s="35"/>
    </row>
    <row r="165" spans="1:14" s="4" customFormat="1" outlineLevel="1" x14ac:dyDescent="0.4">
      <c r="B165" s="20"/>
      <c r="C165" s="21"/>
      <c r="D165" s="21"/>
      <c r="E165" s="21"/>
      <c r="F165" s="21"/>
      <c r="G165" s="21"/>
      <c r="H165" s="43"/>
      <c r="I165" s="34"/>
      <c r="J165" s="164" t="s">
        <v>141</v>
      </c>
      <c r="K165" s="44"/>
      <c r="L165" s="35"/>
    </row>
    <row r="166" spans="1:14" s="4" customFormat="1" outlineLevel="1" x14ac:dyDescent="0.4">
      <c r="A166" s="765"/>
      <c r="B166" s="51"/>
      <c r="C166" s="164" t="s">
        <v>185</v>
      </c>
      <c r="D166" s="70">
        <f>IFERROR(Feedstocks!D14/'Transport 2'!F169,"Insert data")</f>
        <v>0</v>
      </c>
      <c r="E166" s="21"/>
      <c r="F166" s="21"/>
      <c r="G166" s="21"/>
      <c r="H166" s="43"/>
      <c r="I166" s="164" t="s">
        <v>167</v>
      </c>
      <c r="J166" s="52">
        <f>IFERROR(IF(AND(E163="YES",ISBLANK(F167)),"Insert yield",SUM(J182:J189,J175:J178,J171)*IF(E192="Yes",J195,1)),"Insert data")</f>
        <v>0</v>
      </c>
      <c r="K166" s="44"/>
      <c r="L166" s="35"/>
    </row>
    <row r="167" spans="1:14" s="4" customFormat="1" outlineLevel="1" x14ac:dyDescent="0.4">
      <c r="A167" s="765"/>
      <c r="B167" s="51"/>
      <c r="C167" s="164" t="s">
        <v>186</v>
      </c>
      <c r="D167" s="680">
        <v>0.9</v>
      </c>
      <c r="E167" s="134"/>
      <c r="F167" s="623">
        <f>IF(E163="No", 1, IF(E164="Default",D167, IF(E164="Actual", IF(E167&gt;0, E167, "insert data"), "error")))</f>
        <v>1</v>
      </c>
      <c r="G167" s="21"/>
      <c r="H167" s="49"/>
      <c r="I167" s="65"/>
      <c r="J167" s="65"/>
      <c r="K167" s="66"/>
      <c r="L167" s="35"/>
    </row>
    <row r="168" spans="1:14" s="4" customFormat="1" outlineLevel="1" x14ac:dyDescent="0.4">
      <c r="A168" s="765"/>
      <c r="B168" s="51"/>
      <c r="C168" s="21"/>
      <c r="D168" s="21"/>
      <c r="E168" s="21"/>
      <c r="F168" s="21"/>
      <c r="G168" s="21"/>
      <c r="H168" s="29"/>
      <c r="I168" s="29"/>
      <c r="J168" s="29"/>
      <c r="K168" s="29"/>
      <c r="L168" s="35"/>
    </row>
    <row r="169" spans="1:14" s="4" customFormat="1" outlineLevel="1" x14ac:dyDescent="0.4">
      <c r="A169" s="765"/>
      <c r="B169" s="51"/>
      <c r="C169" s="25" t="s">
        <v>187</v>
      </c>
      <c r="D169" s="1"/>
      <c r="E169" s="1"/>
      <c r="F169" s="1"/>
      <c r="G169" s="1"/>
      <c r="H169" s="69" t="s">
        <v>136</v>
      </c>
      <c r="I169" s="79"/>
      <c r="J169" s="79"/>
      <c r="K169" s="61"/>
      <c r="L169" s="54"/>
      <c r="M169" s="12"/>
      <c r="N169" s="12"/>
    </row>
    <row r="170" spans="1:14" s="4" customFormat="1" outlineLevel="1" x14ac:dyDescent="0.4">
      <c r="A170" s="765"/>
      <c r="B170" s="51"/>
      <c r="C170" s="166" t="s">
        <v>188</v>
      </c>
      <c r="D170" s="164" t="s">
        <v>151</v>
      </c>
      <c r="E170" s="164" t="s">
        <v>140</v>
      </c>
      <c r="F170" s="21"/>
      <c r="G170" s="1"/>
      <c r="H170" s="43"/>
      <c r="I170" s="34"/>
      <c r="J170" s="164" t="s">
        <v>141</v>
      </c>
      <c r="K170" s="44"/>
      <c r="L170" s="54"/>
    </row>
    <row r="171" spans="1:14" s="4" customFormat="1" outlineLevel="1" x14ac:dyDescent="0.4">
      <c r="A171" s="765"/>
      <c r="B171" s="51"/>
      <c r="C171" s="145"/>
      <c r="D171" s="141"/>
      <c r="E171" s="144"/>
      <c r="F171" s="1"/>
      <c r="G171" s="1"/>
      <c r="H171" s="43"/>
      <c r="I171" s="164" t="s">
        <v>189</v>
      </c>
      <c r="J171" s="31">
        <f>IFERROR(IF(E163="No",0,IF(D171="MWh",(E171*'Reference values'!$D$47*INDEX(Electricity_Emission_Factors,MATCH(C171,Electricity_Source,0)))/(D166*1000),IF(D171="kWh",(E171*'Reference values'!$D$47*INDEX(Electricity_Emission_Factors,MATCH(C171,Electricity_Source,0))/1000)/(D166*1000),IF(D171="MWh/tonne(output)",(E171*'Reference values'!$D$47*INDEX(Electricity_Emission_Factors,MATCH(C171,Electricity_Source,0)))/1000,IF(D171="kWh/tonne(output)",(E171*'Reference values'!$D$47*INDEX(Electricity_Emission_Factors,MATCH(C171,Electricity_Source,0))/1000)/1000,""))))),"")</f>
        <v>0</v>
      </c>
      <c r="K171" s="44"/>
      <c r="L171" s="54"/>
    </row>
    <row r="172" spans="1:14" s="4" customFormat="1" outlineLevel="1" x14ac:dyDescent="0.4">
      <c r="A172" s="765"/>
      <c r="B172" s="51"/>
      <c r="C172" s="1"/>
      <c r="D172" s="1"/>
      <c r="E172" s="1"/>
      <c r="F172" s="1"/>
      <c r="G172" s="1"/>
      <c r="H172" s="43"/>
      <c r="I172" s="34"/>
      <c r="J172" s="34"/>
      <c r="K172" s="44"/>
      <c r="L172" s="54"/>
    </row>
    <row r="173" spans="1:14" s="4" customFormat="1" outlineLevel="1" x14ac:dyDescent="0.4">
      <c r="A173" s="765"/>
      <c r="B173" s="51"/>
      <c r="C173" s="25" t="s">
        <v>190</v>
      </c>
      <c r="D173" s="1"/>
      <c r="E173" s="1"/>
      <c r="F173" s="1"/>
      <c r="G173" s="1"/>
      <c r="H173" s="43"/>
      <c r="I173" s="34"/>
      <c r="J173" s="34"/>
      <c r="K173" s="44"/>
      <c r="L173" s="54"/>
    </row>
    <row r="174" spans="1:14" s="4" customFormat="1" outlineLevel="1" x14ac:dyDescent="0.4">
      <c r="A174" s="765"/>
      <c r="B174" s="51"/>
      <c r="C174" s="164" t="s">
        <v>160</v>
      </c>
      <c r="D174" s="164" t="s">
        <v>151</v>
      </c>
      <c r="E174" s="164" t="s">
        <v>140</v>
      </c>
      <c r="F174" s="21"/>
      <c r="G174" s="1"/>
      <c r="H174" s="43"/>
      <c r="I174" s="164" t="s">
        <v>160</v>
      </c>
      <c r="J174" s="182" t="s">
        <v>141</v>
      </c>
      <c r="K174" s="44"/>
      <c r="L174" s="54"/>
    </row>
    <row r="175" spans="1:14" s="4" customFormat="1" outlineLevel="1" x14ac:dyDescent="0.4">
      <c r="A175" s="765"/>
      <c r="B175" s="51"/>
      <c r="C175" s="27" t="str">
        <f>IF(E164="Default", "Diesel", "")</f>
        <v>Diesel</v>
      </c>
      <c r="D175" s="74" t="str">
        <f>IF(E164="Default", "kWh/tonne(output)", "")</f>
        <v>kWh/tonne(output)</v>
      </c>
      <c r="E175" s="74">
        <f>IF(E164="Default", 3.881, "")</f>
        <v>3.8809999999999998</v>
      </c>
      <c r="F175" s="1"/>
      <c r="G175" s="1"/>
      <c r="H175" s="43"/>
      <c r="I175" s="27" t="str">
        <f>IF(C175&gt;0,C175,"")</f>
        <v>Diesel</v>
      </c>
      <c r="J175" s="31">
        <f>IF(E164="Actual","",IFERROR(IF(C175&gt;0,IF(ISBLANK(E175),"Insert data",IF(E163="No",0,(IF(D175="litres",(E175*(INDEX(Fuel_Densities,MATCH(C175,Fuels_for_Densities,0))/1000)*INDEX(Fuel_LHV,MATCH(C175,Fuels_for_LHV,0))*INDEX(Fuel_EFs,MATCH(C175,Fuels_for_EF,0)))/(D166*1000),(IF(D175="m3",(E175*(INDEX(Fuel_Densities,MATCH(C175,Fuels_for_Densities,0)))*INDEX(Fuel_LHV,MATCH(C175,Fuels_for_LHV,0))*INDEX(Fuel_EFs,MATCH(C175,Fuels_for_EF,0)))/(D166*1000),IF(D175="kg",(E175*INDEX(Fuel_LHV,MATCH(C175,Fuels_for_LHV,0))*INDEX(Fuel_EFs,MATCH(C175,Fuels_for_EF,0)))/(D166*1000),IF(D175="tonnes",(E175*INDEX(Fuel_LHV,MATCH(C175,Fuels_for_LHV,0))*1000*INDEX(Fuel_EFs,MATCH(C175,Fuels_for_EF,0)))/(D166*1000),IF(D175="MWh",(E175*'Reference values'!$D$47*INDEX(Fuel_EFs,MATCH(C175,Fuels_for_EF,0)))/(D166*1000),IF(D175="kWh",(E175*'Reference values'!$D$47*INDEX(Fuel_EFs,MATCH(C175,Fuels_for_EF,0))/1000)/(D166*1000),(IF(D175="litres/tonne(output)",(E175*(INDEX(Fuel_Densities,MATCH(C175,Fuels_for_Densities,0))/1000)*INDEX(Fuel_LHV,MATCH(C175,Fuels_for_LHV,0))*INDEX(Fuel_EFs,MATCH(C175,Fuels_for_EF,0)))/1000,(IF(D175="m3/tonne(output)",(E175*(INDEX(Fuel_Densities,MATCH(C175,Fuels_for_Densities,0)))*INDEX(Fuel_LHV,MATCH(C175,Fuels_for_LHV,0))*INDEX(Fuel_EFs,MATCH(C175,Fuels_for_EF,0)))/1000,IF(D175="kg/tonne(output)",(E175*INDEX(Fuel_LHV,MATCH(C175,Fuels_for_LHV,0))*INDEX(Fuel_EFs,MATCH(C175,Fuels_for_EF,0)))/1000,IF(D175="tonnes/tonne(output)",(E175*INDEX(Fuel_LHV,MATCH(C175,Fuels_for_LHV,0))*1000*INDEX(Fuel_EFs,MATCH(C175,Fuels_for_EF,0)))/1000,IF(D175="MWh/tonne(output)",(E175*'Reference values'!$D$47*INDEX(Fuel_EFs,MATCH(C175,Fuels_for_EF,0)))/1000,IF(D175="kWh/tonne(output)",(E175*'Reference values'!$D$47*INDEX(Fuel_EFs,MATCH(C175,Fuels_for_EF,0))/1000)/1000,"Insert unit")))))))))))))))))),""),"Insert data"))</f>
        <v>0</v>
      </c>
      <c r="K175" s="44"/>
      <c r="L175" s="54"/>
    </row>
    <row r="176" spans="1:14" s="4" customFormat="1" outlineLevel="1" x14ac:dyDescent="0.4">
      <c r="A176" s="765"/>
      <c r="B176" s="51"/>
      <c r="C176" s="134"/>
      <c r="D176" s="141"/>
      <c r="E176" s="144"/>
      <c r="F176" s="1"/>
      <c r="G176" s="1"/>
      <c r="H176" s="43"/>
      <c r="I176" s="27" t="str">
        <f>IF(C176&gt;0,C176,"")</f>
        <v/>
      </c>
      <c r="J176" s="31" t="str">
        <f>IFERROR(IF(C176&gt;0,IF(ISBLANK(E176),"Insert data",IF(E163="No",0,(IF(D176="litres",(E176*(INDEX(Fuel_Densities,MATCH(C176,Fuels_for_Densities,0))/1000)*INDEX(Fuel_LHV,MATCH(C176,Fuels_for_LHV,0))*INDEX(Fuel_EFs,MATCH(C176,Fuels_for_EF,0)))/(D166*1000),(IF(D176="m3",(E176*(INDEX(Fuel_Densities,MATCH(C176,Fuels_for_Densities,0)))*INDEX(Fuel_LHV,MATCH(C176,Fuels_for_LHV,0))*INDEX(Fuel_EFs,MATCH(C176,Fuels_for_EF,0)))/(D166*1000),IF(D176="kg",(E176*INDEX(Fuel_LHV,MATCH(C176,Fuels_for_LHV,0))*INDEX(Fuel_EFs,MATCH(C176,Fuels_for_EF,0)))/(D166*1000),IF(D176="tonnes",(E176*INDEX(Fuel_LHV,MATCH(C176,Fuels_for_LHV,0))*1000*INDEX(Fuel_EFs,MATCH(C176,Fuels_for_EF,0)))/(D166*1000),IF(D176="MWh",(E176*'Reference values'!$D$47*INDEX(Fuel_EFs,MATCH(C176,Fuels_for_EF,0)))/(D166*1000),IF(D176="kWh",(E176*'Reference values'!$D$47*INDEX(Fuel_EFs,MATCH(C176,Fuels_for_EF,0))/1000)/(D166*1000),(IF(D176="litres/tonne(output)",(E176*(INDEX(Fuel_Densities,MATCH(C176,Fuels_for_Densities,0))/1000)*INDEX(Fuel_LHV,MATCH(C176,Fuels_for_LHV,0))*INDEX(Fuel_EFs,MATCH(C176,Fuels_for_EF,0)))/1000,(IF(D176="m3/tonne(output)",(E176*(INDEX(Fuel_Densities,MATCH(C176,Fuels_for_Densities,0)))*INDEX(Fuel_LHV,MATCH(C176,Fuels_for_LHV,0))*INDEX(Fuel_EFs,MATCH(C176,Fuels_for_EF,0)))/1000,IF(D176="kg/tonne(output)",(E176*INDEX(Fuel_LHV,MATCH(C176,Fuels_for_LHV,0))*INDEX(Fuel_EFs,MATCH(C176,Fuels_for_EF,0)))/1000,IF(D176="tonnes/tonne(output)",(E176*INDEX(Fuel_LHV,MATCH(C176,Fuels_for_LHV,0))*1000*INDEX(Fuel_EFs,MATCH(C176,Fuels_for_EF,0)))/1000,IF(D176="MWh/tonne(output)",(E176*'Reference values'!$D$47*INDEX(Fuel_EFs,MATCH(C176,Fuels_for_EF,0)))/1000,IF(D176="kWh/tonne(output)",(E176*'Reference values'!$D$47*INDEX(Fuel_EFs,MATCH(C176,Fuels_for_EF,0))/1000)/1000,"Insert unit")))))))))))))))))),""),"Insert data")</f>
        <v/>
      </c>
      <c r="K176" s="44"/>
      <c r="L176" s="54"/>
    </row>
    <row r="177" spans="1:12" s="4" customFormat="1" outlineLevel="1" x14ac:dyDescent="0.4">
      <c r="A177" s="765"/>
      <c r="B177" s="51"/>
      <c r="C177" s="134"/>
      <c r="D177" s="141"/>
      <c r="E177" s="144"/>
      <c r="F177" s="1"/>
      <c r="G177" s="1"/>
      <c r="H177" s="43"/>
      <c r="I177" s="27" t="str">
        <f>IF(C177&gt;0,C177,"")</f>
        <v/>
      </c>
      <c r="J177" s="31" t="str">
        <f>IFERROR(IF(C177&gt;0,IF(ISBLANK(E177),"Insert data",IF(E163="No",0,(IF(D177="litres",(E177*(INDEX(Fuel_Densities,MATCH(C177,Fuels_for_Densities,0))/1000)*INDEX(Fuel_LHV,MATCH(C177,Fuels_for_LHV,0))*INDEX(Fuel_EFs,MATCH(C177,Fuels_for_EF,0)))/(D166*1000),(IF(D177="m3",(E177*(INDEX(Fuel_Densities,MATCH(C177,Fuels_for_Densities,0)))*INDEX(Fuel_LHV,MATCH(C177,Fuels_for_LHV,0))*INDEX(Fuel_EFs,MATCH(C177,Fuels_for_EF,0)))/(D166*1000),IF(D177="kg",(E177*INDEX(Fuel_LHV,MATCH(C177,Fuels_for_LHV,0))*INDEX(Fuel_EFs,MATCH(C177,Fuels_for_EF,0)))/(D166*1000),IF(D177="tonnes",(E177*INDEX(Fuel_LHV,MATCH(C177,Fuels_for_LHV,0))*1000*INDEX(Fuel_EFs,MATCH(C177,Fuels_for_EF,0)))/(D166*1000),IF(D177="MWh",(E177*'Reference values'!$D$47*INDEX(Fuel_EFs,MATCH(C177,Fuels_for_EF,0)))/(D166*1000),IF(D177="kWh",(E177*'Reference values'!$D$47*INDEX(Fuel_EFs,MATCH(C177,Fuels_for_EF,0))/1000)/(D166*1000),(IF(D177="litres/tonne(output)",(E177*(INDEX(Fuel_Densities,MATCH(C177,Fuels_for_Densities,0))/1000)*INDEX(Fuel_LHV,MATCH(C177,Fuels_for_LHV,0))*INDEX(Fuel_EFs,MATCH(C177,Fuels_for_EF,0)))/1000,(IF(D177="m3/tonne(output)",(E177*(INDEX(Fuel_Densities,MATCH(C177,Fuels_for_Densities,0)))*INDEX(Fuel_LHV,MATCH(C177,Fuels_for_LHV,0))*INDEX(Fuel_EFs,MATCH(C177,Fuels_for_EF,0)))/1000,IF(D177="kg/tonne(output)",(E177*INDEX(Fuel_LHV,MATCH(C177,Fuels_for_LHV,0))*INDEX(Fuel_EFs,MATCH(C177,Fuels_for_EF,0)))/1000,IF(D177="tonnes/tonne(output)",(E177*INDEX(Fuel_LHV,MATCH(C177,Fuels_for_LHV,0))*1000*INDEX(Fuel_EFs,MATCH(C177,Fuels_for_EF,0)))/1000,IF(D177="MWh/tonne(output)",(E177*'Reference values'!$D$47*INDEX(Fuel_EFs,MATCH(C177,Fuels_for_EF,0)))/1000,IF(D177="kWh/tonne(output)",(E177*'Reference values'!$D$47*INDEX(Fuel_EFs,MATCH(C177,Fuels_for_EF,0))/1000)/1000,"Insert unit")))))))))))))))))),""),"Insert data")</f>
        <v/>
      </c>
      <c r="K177" s="44"/>
      <c r="L177" s="54"/>
    </row>
    <row r="178" spans="1:12" s="4" customFormat="1" outlineLevel="1" x14ac:dyDescent="0.4">
      <c r="A178" s="765"/>
      <c r="B178" s="51"/>
      <c r="C178" s="134"/>
      <c r="D178" s="141"/>
      <c r="E178" s="144"/>
      <c r="F178" s="1"/>
      <c r="G178" s="1"/>
      <c r="H178" s="43"/>
      <c r="I178" s="27" t="str">
        <f>IF(C178&gt;0,C178,"")</f>
        <v/>
      </c>
      <c r="J178" s="31" t="str">
        <f>IFERROR(IF(C178&gt;0,IF(ISBLANK(E178),"Insert data",IF(E163="No",0,(IF(D178="litres",(E178*(INDEX(Fuel_Densities,MATCH(C178,Fuels_for_Densities,0))/1000)*INDEX(Fuel_LHV,MATCH(C178,Fuels_for_LHV,0))*INDEX(Fuel_EFs,MATCH(C178,Fuels_for_EF,0)))/(D166*1000),(IF(D178="m3",(E178*(INDEX(Fuel_Densities,MATCH(C178,Fuels_for_Densities,0)))*INDEX(Fuel_LHV,MATCH(C178,Fuels_for_LHV,0))*INDEX(Fuel_EFs,MATCH(C178,Fuels_for_EF,0)))/(D166*1000),IF(D178="kg",(E178*INDEX(Fuel_LHV,MATCH(C178,Fuels_for_LHV,0))*INDEX(Fuel_EFs,MATCH(C178,Fuels_for_EF,0)))/(D166*1000),IF(D178="tonnes",(E178*INDEX(Fuel_LHV,MATCH(C178,Fuels_for_LHV,0))*1000*INDEX(Fuel_EFs,MATCH(C178,Fuels_for_EF,0)))/(D166*1000),IF(D178="MWh",(E178*'Reference values'!$D$47*INDEX(Fuel_EFs,MATCH(C178,Fuels_for_EF,0)))/(D166*1000),IF(D178="kWh",(E178*'Reference values'!$D$47*INDEX(Fuel_EFs,MATCH(C178,Fuels_for_EF,0))/1000)/(D166*1000),(IF(D178="litres/tonne(output)",(E178*(INDEX(Fuel_Densities,MATCH(C178,Fuels_for_Densities,0))/1000)*INDEX(Fuel_LHV,MATCH(C178,Fuels_for_LHV,0))*INDEX(Fuel_EFs,MATCH(C178,Fuels_for_EF,0)))/1000,(IF(D178="m3/tonne(output)",(E178*(INDEX(Fuel_Densities,MATCH(C178,Fuels_for_Densities,0)))*INDEX(Fuel_LHV,MATCH(C178,Fuels_for_LHV,0))*INDEX(Fuel_EFs,MATCH(C178,Fuels_for_EF,0)))/1000,IF(D178="kg/tonne(output)",(E178*INDEX(Fuel_LHV,MATCH(C178,Fuels_for_LHV,0))*INDEX(Fuel_EFs,MATCH(C178,Fuels_for_EF,0)))/1000,IF(D178="tonnes/tonne(output)",(E178*INDEX(Fuel_LHV,MATCH(C178,Fuels_for_LHV,0))*1000*INDEX(Fuel_EFs,MATCH(C178,Fuels_for_EF,0)))/1000,IF(D178="MWh/tonne(output)",(E178*'Reference values'!$D$47*INDEX(Fuel_EFs,MATCH(C178,Fuels_for_EF,0)))/1000,IF(D178="kWh/tonne(output)",(E178*'Reference values'!$D$47*INDEX(Fuel_EFs,MATCH(C178,Fuels_for_EF,0))/1000)/1000,"Insert unit")))))))))))))))))),""),"Insert data")</f>
        <v/>
      </c>
      <c r="K178" s="44"/>
      <c r="L178" s="54"/>
    </row>
    <row r="179" spans="1:12" s="4" customFormat="1" outlineLevel="1" x14ac:dyDescent="0.4">
      <c r="A179" s="765"/>
      <c r="B179" s="51"/>
      <c r="C179" s="1"/>
      <c r="D179" s="1"/>
      <c r="E179" s="1"/>
      <c r="F179" s="1"/>
      <c r="G179" s="53"/>
      <c r="H179" s="56"/>
      <c r="I179" s="57"/>
      <c r="J179" s="34"/>
      <c r="K179" s="44"/>
      <c r="L179" s="54"/>
    </row>
    <row r="180" spans="1:12" s="4" customFormat="1" outlineLevel="1" x14ac:dyDescent="0.4">
      <c r="A180" s="765"/>
      <c r="B180" s="51"/>
      <c r="C180" s="25" t="s">
        <v>191</v>
      </c>
      <c r="D180" s="1"/>
      <c r="E180" s="1"/>
      <c r="F180" s="1"/>
      <c r="G180" s="53"/>
      <c r="H180" s="56"/>
      <c r="I180" s="34"/>
      <c r="J180" s="34"/>
      <c r="K180" s="44"/>
      <c r="L180" s="54"/>
    </row>
    <row r="181" spans="1:12" s="4" customFormat="1" outlineLevel="1" x14ac:dyDescent="0.4">
      <c r="A181" s="765"/>
      <c r="B181" s="51"/>
      <c r="C181" s="164" t="s">
        <v>192</v>
      </c>
      <c r="D181" s="164" t="s">
        <v>151</v>
      </c>
      <c r="E181" s="164" t="s">
        <v>140</v>
      </c>
      <c r="F181" s="1"/>
      <c r="G181" s="1"/>
      <c r="H181" s="43"/>
      <c r="I181" s="164" t="s">
        <v>192</v>
      </c>
      <c r="J181" s="182" t="s">
        <v>141</v>
      </c>
      <c r="K181" s="44"/>
      <c r="L181" s="54"/>
    </row>
    <row r="182" spans="1:12" s="4" customFormat="1" outlineLevel="1" x14ac:dyDescent="0.4">
      <c r="A182" s="765"/>
      <c r="B182" s="51"/>
      <c r="C182" s="134"/>
      <c r="D182" s="141"/>
      <c r="E182" s="144"/>
      <c r="F182" s="1"/>
      <c r="G182" s="1"/>
      <c r="H182" s="43"/>
      <c r="I182" s="27" t="str">
        <f t="shared" ref="I182:I189" si="3">IF(C182&gt;0,C182,"")</f>
        <v/>
      </c>
      <c r="J182" s="31" t="str">
        <f>IFERROR(IF(C182&gt;0,IF(ISBLANK(E182),"Insert data",IF(E163="No",0,IF(D182="kg",E182*INDEX(Chemical_Emission_Factors,MATCH(C182,Chemicals,0))/(D166*1000),IF(D182="tonnes",E182*INDEX(Chemical_Emission_Factors,MATCH(C182,Chemicals,0))*1000/(D166*1000),IF(D182="kg/tonne(output)",E182*INDEX(Chemical_Emission_Factors,MATCH(C182,Chemicals,0))/1000,IF(D182="tonnes/tonne(output)",E182*INDEX(Chemical_Emission_Factors,MATCH(C182,Chemicals,0))*1000/1000,"Insert unit")))))),""),"Insert data")</f>
        <v/>
      </c>
      <c r="K182" s="44"/>
      <c r="L182" s="54"/>
    </row>
    <row r="183" spans="1:12" s="4" customFormat="1" outlineLevel="1" x14ac:dyDescent="0.4">
      <c r="A183" s="765"/>
      <c r="B183" s="51"/>
      <c r="C183" s="134"/>
      <c r="D183" s="141"/>
      <c r="E183" s="144"/>
      <c r="F183" s="1"/>
      <c r="G183" s="1"/>
      <c r="H183" s="43"/>
      <c r="I183" s="27" t="str">
        <f t="shared" si="3"/>
        <v/>
      </c>
      <c r="J183" s="31" t="str">
        <f>IFERROR(IF(C183&gt;0,IF(ISBLANK(E183),"Insert data",IF(E163="No",0,IF(D183="kg",E183*INDEX(Chemical_Emission_Factors,MATCH(C183,Chemicals,0))/(D166*1000),IF(D183="tonnes",E183*INDEX(Chemical_Emission_Factors,MATCH(C183,Chemicals,0))*1000/(D166*1000),IF(D183="kg/tonne(output)",E183*INDEX(Chemical_Emission_Factors,MATCH(C183,Chemicals,0))/1000,IF(D183="tonnes/tonne(output)",E183*INDEX(Chemical_Emission_Factors,MATCH(C183,Chemicals,0))*1000/1000,"Insert unit")))))),""),"Insert data")</f>
        <v/>
      </c>
      <c r="K183" s="44"/>
      <c r="L183" s="54"/>
    </row>
    <row r="184" spans="1:12" s="4" customFormat="1" outlineLevel="1" x14ac:dyDescent="0.4">
      <c r="A184" s="765"/>
      <c r="B184" s="51"/>
      <c r="C184" s="134"/>
      <c r="D184" s="141"/>
      <c r="E184" s="144"/>
      <c r="F184" s="1"/>
      <c r="G184" s="1"/>
      <c r="H184" s="43"/>
      <c r="I184" s="27" t="str">
        <f t="shared" si="3"/>
        <v/>
      </c>
      <c r="J184" s="31" t="str">
        <f>IFERROR(IF(C184&gt;0,IF(ISBLANK(E184),"Insert data",IF(E163="No",0,IF(D184="kg",E184*INDEX(Chemical_Emission_Factors,MATCH(C184,Chemicals,0))/(D166*1000),IF(D184="tonnes",E184*INDEX(Chemical_Emission_Factors,MATCH(C184,Chemicals,0))*1000/(D166*1000),IF(D184="kg/tonne(output)",E184*INDEX(Chemical_Emission_Factors,MATCH(C184,Chemicals,0))/1000,IF(D184="tonnes/tonne(output)",E184*INDEX(Chemical_Emission_Factors,MATCH(C184,Chemicals,0))*1000/1000,"Insert unit")))))),""),"Insert data")</f>
        <v/>
      </c>
      <c r="K184" s="44"/>
      <c r="L184" s="54"/>
    </row>
    <row r="185" spans="1:12" s="4" customFormat="1" outlineLevel="1" x14ac:dyDescent="0.4">
      <c r="A185" s="765"/>
      <c r="B185" s="51"/>
      <c r="C185" s="134"/>
      <c r="D185" s="141"/>
      <c r="E185" s="144"/>
      <c r="F185" s="1"/>
      <c r="G185" s="1"/>
      <c r="H185" s="43"/>
      <c r="I185" s="27" t="str">
        <f t="shared" si="3"/>
        <v/>
      </c>
      <c r="J185" s="31" t="str">
        <f>IFERROR(IF(C185&gt;0,IF(ISBLANK(E185),"Insert data",IF(E163="No",0,IF(D185="kg",E185*INDEX(Chemical_Emission_Factors,MATCH(C185,Chemicals,0))/(D166*1000),IF(D185="tonnes",E185*INDEX(Chemical_Emission_Factors,MATCH(C185,Chemicals,0))*1000/(D166*1000),IF(D185="kg/tonne(output)",E185*INDEX(Chemical_Emission_Factors,MATCH(C185,Chemicals,0))/1000,IF(D185="tonnes/tonne(output)",E185*INDEX(Chemical_Emission_Factors,MATCH(C185,Chemicals,0))*1000/1000,"Insert unit")))))),""),"Insert data")</f>
        <v/>
      </c>
      <c r="K185" s="44"/>
      <c r="L185" s="54"/>
    </row>
    <row r="186" spans="1:12" s="4" customFormat="1" outlineLevel="1" x14ac:dyDescent="0.4">
      <c r="A186" s="765"/>
      <c r="B186" s="51"/>
      <c r="C186" s="134"/>
      <c r="D186" s="141"/>
      <c r="E186" s="144"/>
      <c r="F186" s="1"/>
      <c r="G186" s="1"/>
      <c r="H186" s="43"/>
      <c r="I186" s="27" t="str">
        <f t="shared" si="3"/>
        <v/>
      </c>
      <c r="J186" s="31" t="str">
        <f>IFERROR(IF(C186&gt;0,IF(ISBLANK(E186),"Insert data",IF(E163="No",0,IF(D186="kg",E186*INDEX(Chemical_Emission_Factors,MATCH(C186,Chemicals,0))/(D166*1000),IF(D186="tonnes",E186*INDEX(Chemical_Emission_Factors,MATCH(C186,Chemicals,0))*1000/(D166*1000),IF(D186="kg/tonne(output)",E186*INDEX(Chemical_Emission_Factors,MATCH(C186,Chemicals,0))/1000,IF(D186="tonnes/tonne(output)",E186*INDEX(Chemical_Emission_Factors,MATCH(C186,Chemicals,0))*1000/1000,"Insert unit")))))),""),"Insert data")</f>
        <v/>
      </c>
      <c r="K186" s="44"/>
      <c r="L186" s="54"/>
    </row>
    <row r="187" spans="1:12" s="4" customFormat="1" outlineLevel="1" x14ac:dyDescent="0.4">
      <c r="A187" s="765"/>
      <c r="B187" s="51"/>
      <c r="C187" s="134"/>
      <c r="D187" s="141"/>
      <c r="E187" s="144"/>
      <c r="F187" s="1"/>
      <c r="G187" s="1"/>
      <c r="H187" s="43"/>
      <c r="I187" s="27" t="str">
        <f t="shared" si="3"/>
        <v/>
      </c>
      <c r="J187" s="31" t="str">
        <f>IFERROR(IF(C187&gt;0,IF(ISBLANK(E187),"Insert data",IF(E163="No",0,IF(D187="kg",E187*INDEX(Chemical_Emission_Factors,MATCH(C187,Chemicals,0))/(D166*1000),IF(D187="tonnes",E187*INDEX(Chemical_Emission_Factors,MATCH(C187,Chemicals,0))*1000/(D166*1000),IF(D187="kg/tonne(output)",E187*INDEX(Chemical_Emission_Factors,MATCH(C187,Chemicals,0))/1000,IF(D187="tonnes/tonne(output)",E187*INDEX(Chemical_Emission_Factors,MATCH(C187,Chemicals,0))*1000/1000,"Insert unit")))))),""),"Insert data")</f>
        <v/>
      </c>
      <c r="K187" s="44"/>
      <c r="L187" s="54"/>
    </row>
    <row r="188" spans="1:12" s="4" customFormat="1" outlineLevel="1" x14ac:dyDescent="0.4">
      <c r="A188" s="765"/>
      <c r="B188" s="51"/>
      <c r="C188" s="134"/>
      <c r="D188" s="141"/>
      <c r="E188" s="144"/>
      <c r="F188" s="1"/>
      <c r="G188" s="1"/>
      <c r="H188" s="43"/>
      <c r="I188" s="27" t="str">
        <f t="shared" si="3"/>
        <v/>
      </c>
      <c r="J188" s="31" t="str">
        <f>IFERROR(IF(C188&gt;0,IF(ISBLANK(E188),"Insert data",IF(E163="No",0,IF(D188="kg",E188*INDEX(Chemical_Emission_Factors,MATCH(C188,Chemicals,0))/(D166*1000),IF(D188="tonnes",E188*INDEX(Chemical_Emission_Factors,MATCH(C188,Chemicals,0))*1000/(D166*1000),IF(D188="kg/tonne(output)",E188*INDEX(Chemical_Emission_Factors,MATCH(C188,Chemicals,0))/1000,IF(D188="tonnes/tonne(output)",E188*INDEX(Chemical_Emission_Factors,MATCH(C188,Chemicals,0))*1000/1000,"Insert unit")))))),""),"Insert data")</f>
        <v/>
      </c>
      <c r="K188" s="44"/>
      <c r="L188" s="54"/>
    </row>
    <row r="189" spans="1:12" s="4" customFormat="1" outlineLevel="1" x14ac:dyDescent="0.4">
      <c r="A189" s="765"/>
      <c r="B189" s="51"/>
      <c r="C189" s="134"/>
      <c r="D189" s="141"/>
      <c r="E189" s="144"/>
      <c r="F189" s="1"/>
      <c r="G189" s="1"/>
      <c r="H189" s="43"/>
      <c r="I189" s="27" t="str">
        <f t="shared" si="3"/>
        <v/>
      </c>
      <c r="J189" s="31" t="str">
        <f>IFERROR(IF(C189&gt;0,IF(ISBLANK(E189),"Insert data",IF(E163="No",0,IF(D189="kg",E189*INDEX(Chemical_Emission_Factors,MATCH(C189,Chemicals,0))/(D166*1000),IF(D189="tonnes",E189*INDEX(Chemical_Emission_Factors,MATCH(C189,Chemicals,0))*1000/(D166*1000),IF(D189="kg/tonne(output)",E189*INDEX(Chemical_Emission_Factors,MATCH(C189,Chemicals,0))/1000,IF(D189="tonnes/tonne(output)",E189*INDEX(Chemical_Emission_Factors,MATCH(C189,Chemicals,0))*1000/1000,"Insert unit")))))),""),"Insert data")</f>
        <v/>
      </c>
      <c r="K189" s="44"/>
      <c r="L189" s="54"/>
    </row>
    <row r="190" spans="1:12" s="4" customFormat="1" ht="12.75" customHeight="1" outlineLevel="1" x14ac:dyDescent="0.4">
      <c r="B190" s="20"/>
      <c r="C190" s="21"/>
      <c r="D190" s="21"/>
      <c r="E190" s="21"/>
      <c r="F190" s="1"/>
      <c r="G190" s="21"/>
      <c r="H190" s="46"/>
      <c r="I190" s="58"/>
      <c r="J190" s="58"/>
      <c r="K190" s="59"/>
      <c r="L190" s="35"/>
    </row>
    <row r="191" spans="1:12" s="4" customFormat="1" outlineLevel="1" x14ac:dyDescent="0.4">
      <c r="B191" s="20"/>
      <c r="C191" s="243" t="s">
        <v>193</v>
      </c>
      <c r="D191" s="21"/>
      <c r="E191" s="21"/>
      <c r="F191" s="1"/>
      <c r="G191" s="21"/>
      <c r="H191" s="21"/>
      <c r="I191" s="21"/>
      <c r="J191" s="21"/>
      <c r="K191" s="21"/>
      <c r="L191" s="35"/>
    </row>
    <row r="192" spans="1:12" s="4" customFormat="1" outlineLevel="1" x14ac:dyDescent="0.4">
      <c r="B192" s="20"/>
      <c r="C192" s="766" t="s">
        <v>194</v>
      </c>
      <c r="D192" s="767"/>
      <c r="E192" s="299" t="s">
        <v>178</v>
      </c>
      <c r="F192" s="1"/>
      <c r="G192" s="21"/>
      <c r="H192" s="302"/>
      <c r="I192" s="47"/>
      <c r="J192" s="47"/>
      <c r="K192" s="45"/>
      <c r="L192" s="35"/>
    </row>
    <row r="193" spans="2:12" s="4" customFormat="1" ht="6.75" customHeight="1" outlineLevel="1" x14ac:dyDescent="0.4">
      <c r="B193" s="20"/>
      <c r="C193" s="21"/>
      <c r="D193" s="21"/>
      <c r="E193" s="21"/>
      <c r="F193" s="21"/>
      <c r="G193" s="21"/>
      <c r="H193" s="41"/>
      <c r="I193" s="36"/>
      <c r="J193" s="301"/>
      <c r="K193" s="37"/>
      <c r="L193" s="35"/>
    </row>
    <row r="194" spans="2:12" s="4" customFormat="1" outlineLevel="1" x14ac:dyDescent="0.4">
      <c r="B194" s="20"/>
      <c r="C194" s="21"/>
      <c r="D194" s="164" t="s">
        <v>151</v>
      </c>
      <c r="E194" s="164" t="s">
        <v>140</v>
      </c>
      <c r="F194" s="1"/>
      <c r="G194" s="21"/>
      <c r="H194" s="41"/>
      <c r="I194" s="36"/>
      <c r="J194" s="164" t="s">
        <v>195</v>
      </c>
      <c r="K194" s="37"/>
      <c r="L194" s="35"/>
    </row>
    <row r="195" spans="2:12" s="4" customFormat="1" outlineLevel="1" x14ac:dyDescent="0.4">
      <c r="B195" s="20"/>
      <c r="C195" s="164" t="s">
        <v>196</v>
      </c>
      <c r="D195" s="297" t="s">
        <v>197</v>
      </c>
      <c r="E195" s="299"/>
      <c r="F195" s="1"/>
      <c r="G195" s="21"/>
      <c r="H195" s="41"/>
      <c r="I195" s="164" t="s">
        <v>198</v>
      </c>
      <c r="J195" s="309" t="str">
        <f>IFERROR(IF(E192="No", "", IF(AND(E192="yes",OR(ISBLANK(E195),ISBLANK(E196),ISBLANK(E197))),"Insert data",E196/(E196+E197*E195))), "")</f>
        <v/>
      </c>
      <c r="K195" s="37"/>
      <c r="L195" s="35"/>
    </row>
    <row r="196" spans="2:12" s="4" customFormat="1" outlineLevel="1" x14ac:dyDescent="0.4">
      <c r="B196" s="20"/>
      <c r="C196" s="164" t="s">
        <v>199</v>
      </c>
      <c r="D196" s="296" t="s">
        <v>200</v>
      </c>
      <c r="E196" s="299"/>
      <c r="F196" s="1"/>
      <c r="G196" s="21"/>
      <c r="H196" s="41"/>
      <c r="I196" s="164" t="s">
        <v>201</v>
      </c>
      <c r="J196" s="309" t="str">
        <f>IFERROR(IF(E192="No", "", IF(AND(E192="yes",OR(ISBLANK(E195),ISBLANK(E196),ISBLANK(E197))),"Insert data",(E197*E195)/(E197*E195+E196))),"")</f>
        <v/>
      </c>
      <c r="K196" s="37"/>
      <c r="L196" s="35"/>
    </row>
    <row r="197" spans="2:12" s="4" customFormat="1" outlineLevel="1" x14ac:dyDescent="0.4">
      <c r="B197" s="20"/>
      <c r="C197" s="164" t="s">
        <v>202</v>
      </c>
      <c r="D197" s="296" t="s">
        <v>200</v>
      </c>
      <c r="E197" s="299"/>
      <c r="F197" s="1"/>
      <c r="G197" s="21"/>
      <c r="H197" s="46"/>
      <c r="I197" s="58"/>
      <c r="J197" s="58"/>
      <c r="K197" s="59"/>
      <c r="L197" s="35"/>
    </row>
    <row r="198" spans="2:12" s="4" customFormat="1" ht="6.75" customHeight="1" outlineLevel="1" x14ac:dyDescent="0.4">
      <c r="B198" s="20"/>
      <c r="C198" s="21"/>
      <c r="D198" s="21"/>
      <c r="E198" s="21"/>
      <c r="F198" s="21"/>
      <c r="G198" s="21"/>
      <c r="H198" s="21"/>
      <c r="I198" s="21"/>
      <c r="J198" s="21"/>
      <c r="K198" s="21"/>
      <c r="L198" s="35"/>
    </row>
    <row r="199" spans="2:12" s="4" customFormat="1" ht="12.75" customHeight="1" outlineLevel="1" x14ac:dyDescent="0.4">
      <c r="B199" s="20"/>
      <c r="C199" s="300" t="s">
        <v>203</v>
      </c>
      <c r="D199" s="21"/>
      <c r="E199" s="21"/>
      <c r="F199" s="21"/>
      <c r="G199" s="21"/>
      <c r="H199" s="21"/>
      <c r="I199" s="21"/>
      <c r="J199" s="21"/>
      <c r="K199" s="21"/>
      <c r="L199" s="35"/>
    </row>
    <row r="200" spans="2:12" s="4" customFormat="1" ht="12.75" customHeight="1" outlineLevel="1" x14ac:dyDescent="0.4">
      <c r="B200" s="20"/>
      <c r="C200" s="300" t="s">
        <v>204</v>
      </c>
      <c r="D200" s="21"/>
      <c r="E200" s="21"/>
      <c r="F200" s="21"/>
      <c r="G200" s="21"/>
      <c r="H200" s="21"/>
      <c r="I200" s="21"/>
      <c r="J200" s="21"/>
      <c r="K200" s="21"/>
      <c r="L200" s="35"/>
    </row>
    <row r="201" spans="2:12" s="4" customFormat="1" ht="6.75" customHeight="1" outlineLevel="1" x14ac:dyDescent="0.4">
      <c r="B201" s="28"/>
      <c r="C201" s="298"/>
      <c r="D201" s="29"/>
      <c r="E201" s="29"/>
      <c r="F201" s="29"/>
      <c r="G201" s="29"/>
      <c r="H201" s="29"/>
      <c r="I201" s="29"/>
      <c r="J201" s="29"/>
      <c r="K201" s="29"/>
      <c r="L201" s="60"/>
    </row>
    <row r="202" spans="2:12" s="4" customFormat="1" x14ac:dyDescent="0.4"/>
    <row r="203" spans="2:12" s="4" customFormat="1" hidden="1" x14ac:dyDescent="0.4"/>
    <row r="204" spans="2:12" s="4" customFormat="1" hidden="1" x14ac:dyDescent="0.4"/>
    <row r="205" spans="2:12" s="4" customFormat="1" hidden="1" x14ac:dyDescent="0.4"/>
    <row r="206" spans="2:12" s="4" customFormat="1" hidden="1" x14ac:dyDescent="0.4"/>
    <row r="207" spans="2:12" s="4" customFormat="1" hidden="1" x14ac:dyDescent="0.4"/>
    <row r="208" spans="2:12" s="4" customFormat="1" ht="19.2" x14ac:dyDescent="0.45">
      <c r="B208" s="754" t="str">
        <f>"Feedstock Conversion"&amp;" - "&amp;Feedstocks!C15</f>
        <v xml:space="preserve">Feedstock Conversion - </v>
      </c>
      <c r="C208" s="755"/>
      <c r="D208" s="755"/>
      <c r="E208" s="755"/>
      <c r="F208" s="755"/>
      <c r="G208" s="755"/>
      <c r="H208" s="755"/>
      <c r="I208" s="755"/>
      <c r="J208" s="755"/>
      <c r="K208" s="755"/>
      <c r="L208" s="756"/>
    </row>
    <row r="209" spans="1:14" s="4" customFormat="1" outlineLevel="1" x14ac:dyDescent="0.4">
      <c r="B209" s="17"/>
      <c r="C209" s="19"/>
      <c r="D209" s="19"/>
      <c r="E209" s="19"/>
      <c r="F209" s="19"/>
      <c r="G209" s="19"/>
      <c r="H209" s="19"/>
      <c r="I209" s="19"/>
      <c r="J209" s="19"/>
      <c r="K209" s="19"/>
      <c r="L209" s="50"/>
    </row>
    <row r="210" spans="1:14" s="4" customFormat="1" outlineLevel="1" x14ac:dyDescent="0.4">
      <c r="B210" s="20"/>
      <c r="C210" s="21"/>
      <c r="D210" s="760"/>
      <c r="E210" s="762"/>
      <c r="F210" s="21"/>
      <c r="G210" s="1"/>
      <c r="H210" s="69" t="s">
        <v>122</v>
      </c>
      <c r="I210" s="47"/>
      <c r="J210" s="47"/>
      <c r="K210" s="45"/>
      <c r="L210" s="35"/>
    </row>
    <row r="211" spans="1:14" s="4" customFormat="1" outlineLevel="1" x14ac:dyDescent="0.4">
      <c r="B211" s="20"/>
      <c r="C211" s="160" t="s">
        <v>123</v>
      </c>
      <c r="D211" s="753" t="str">
        <f>IF(Feedstocks!$H$15&gt;0,Feedstocks!$H$15,"")</f>
        <v/>
      </c>
      <c r="E211" s="753"/>
      <c r="F211" s="21"/>
      <c r="G211" s="76"/>
      <c r="H211" s="41"/>
      <c r="I211" s="36"/>
      <c r="J211" s="164" t="s">
        <v>124</v>
      </c>
      <c r="K211" s="37"/>
      <c r="L211" s="35"/>
    </row>
    <row r="212" spans="1:14" s="4" customFormat="1" outlineLevel="1" x14ac:dyDescent="0.4">
      <c r="B212" s="20"/>
      <c r="C212" s="21"/>
      <c r="D212" s="21"/>
      <c r="E212" s="21"/>
      <c r="F212" s="21"/>
      <c r="G212" s="21"/>
      <c r="H212" s="41"/>
      <c r="I212" s="164" t="s">
        <v>125</v>
      </c>
      <c r="J212" s="52" t="str">
        <f>IFERROR((J216/('Transport 2'!F219*('Digestion &amp; outputs'!$G$20/1000)))*'Digestion &amp; outputs'!$K$23,"")</f>
        <v/>
      </c>
      <c r="K212" s="37"/>
      <c r="L212" s="35"/>
    </row>
    <row r="213" spans="1:14" s="4" customFormat="1" ht="16.5" customHeight="1" outlineLevel="1" x14ac:dyDescent="0.4">
      <c r="B213" s="20"/>
      <c r="C213" s="759" t="s">
        <v>183</v>
      </c>
      <c r="D213" s="759"/>
      <c r="E213" s="134" t="s">
        <v>178</v>
      </c>
      <c r="F213" s="21"/>
      <c r="G213" s="21"/>
      <c r="H213" s="41"/>
      <c r="I213" s="36"/>
      <c r="J213" s="36"/>
      <c r="K213" s="37"/>
      <c r="L213" s="35"/>
    </row>
    <row r="214" spans="1:14" s="4" customFormat="1" outlineLevel="1" x14ac:dyDescent="0.4">
      <c r="B214" s="20"/>
      <c r="C214" s="763" t="s">
        <v>184</v>
      </c>
      <c r="D214" s="764"/>
      <c r="E214" s="134" t="s">
        <v>96</v>
      </c>
      <c r="F214" s="21"/>
      <c r="G214" s="21"/>
      <c r="H214" s="41"/>
      <c r="I214" s="36"/>
      <c r="J214" s="36"/>
      <c r="K214" s="37"/>
      <c r="L214" s="35"/>
    </row>
    <row r="215" spans="1:14" s="4" customFormat="1" outlineLevel="1" x14ac:dyDescent="0.4">
      <c r="B215" s="20"/>
      <c r="C215" s="21"/>
      <c r="D215" s="21"/>
      <c r="E215" s="21"/>
      <c r="F215" s="21"/>
      <c r="G215" s="21"/>
      <c r="H215" s="43"/>
      <c r="I215" s="34"/>
      <c r="J215" s="164" t="s">
        <v>141</v>
      </c>
      <c r="K215" s="44"/>
      <c r="L215" s="35"/>
    </row>
    <row r="216" spans="1:14" s="4" customFormat="1" outlineLevel="1" x14ac:dyDescent="0.4">
      <c r="A216" s="765"/>
      <c r="B216" s="51"/>
      <c r="C216" s="164" t="s">
        <v>185</v>
      </c>
      <c r="D216" s="70">
        <f>IFERROR(Feedstocks!D15/'Transport 2'!F219,"Insert data")</f>
        <v>0</v>
      </c>
      <c r="E216" s="21"/>
      <c r="F216" s="21"/>
      <c r="G216" s="21"/>
      <c r="H216" s="43"/>
      <c r="I216" s="164" t="s">
        <v>167</v>
      </c>
      <c r="J216" s="52">
        <f>IFERROR(IF(AND(E213="YES",ISBLANK(F217)),"Insert yield",SUM(J232:J239,J225:J228,J221)*IF(E242="Yes",J245,1)),"Insert data")</f>
        <v>0</v>
      </c>
      <c r="K216" s="44"/>
      <c r="L216" s="35"/>
    </row>
    <row r="217" spans="1:14" s="4" customFormat="1" outlineLevel="1" x14ac:dyDescent="0.4">
      <c r="A217" s="765"/>
      <c r="B217" s="51"/>
      <c r="C217" s="164" t="s">
        <v>186</v>
      </c>
      <c r="D217" s="680">
        <v>0.9</v>
      </c>
      <c r="E217" s="134"/>
      <c r="F217" s="623">
        <f>IF(E213="No", 1, IF(E214="Default",D217, IF(E214="Actual", IF(E217&gt;0, E217, "insert data"), "error")))</f>
        <v>1</v>
      </c>
      <c r="G217" s="21"/>
      <c r="H217" s="49"/>
      <c r="I217" s="65"/>
      <c r="J217" s="65"/>
      <c r="K217" s="66"/>
      <c r="L217" s="35"/>
    </row>
    <row r="218" spans="1:14" s="4" customFormat="1" outlineLevel="1" x14ac:dyDescent="0.4">
      <c r="A218" s="765"/>
      <c r="B218" s="51"/>
      <c r="C218" s="21"/>
      <c r="D218" s="21"/>
      <c r="E218" s="21"/>
      <c r="F218" s="21"/>
      <c r="G218" s="21"/>
      <c r="H218" s="29"/>
      <c r="I218" s="29"/>
      <c r="J218" s="29"/>
      <c r="K218" s="29"/>
      <c r="L218" s="35"/>
    </row>
    <row r="219" spans="1:14" s="4" customFormat="1" outlineLevel="1" x14ac:dyDescent="0.4">
      <c r="A219" s="765"/>
      <c r="B219" s="51"/>
      <c r="C219" s="25" t="s">
        <v>187</v>
      </c>
      <c r="D219" s="1"/>
      <c r="E219" s="1"/>
      <c r="F219" s="1"/>
      <c r="G219" s="1"/>
      <c r="H219" s="69" t="s">
        <v>136</v>
      </c>
      <c r="I219" s="79"/>
      <c r="J219" s="79"/>
      <c r="K219" s="61"/>
      <c r="L219" s="54"/>
      <c r="M219" s="12"/>
      <c r="N219" s="12"/>
    </row>
    <row r="220" spans="1:14" s="4" customFormat="1" outlineLevel="1" x14ac:dyDescent="0.4">
      <c r="A220" s="765"/>
      <c r="B220" s="51"/>
      <c r="C220" s="166" t="s">
        <v>188</v>
      </c>
      <c r="D220" s="164" t="s">
        <v>151</v>
      </c>
      <c r="E220" s="164" t="s">
        <v>140</v>
      </c>
      <c r="F220" s="1"/>
      <c r="G220" s="1"/>
      <c r="H220" s="43"/>
      <c r="I220" s="34"/>
      <c r="J220" s="164" t="s">
        <v>141</v>
      </c>
      <c r="K220" s="44"/>
      <c r="L220" s="54"/>
    </row>
    <row r="221" spans="1:14" s="4" customFormat="1" outlineLevel="1" x14ac:dyDescent="0.4">
      <c r="A221" s="765"/>
      <c r="B221" s="51"/>
      <c r="C221" s="145"/>
      <c r="D221" s="141"/>
      <c r="E221" s="144"/>
      <c r="F221" s="1"/>
      <c r="G221" s="1"/>
      <c r="H221" s="43"/>
      <c r="I221" s="164" t="s">
        <v>189</v>
      </c>
      <c r="J221" s="31">
        <f>IFERROR(IF(E213="No",0,IF(D221="MWh",(E221*'Reference values'!$D$47*INDEX(Electricity_Emission_Factors,MATCH(C221,Electricity_Source,0)))/(D216*1000),IF(D221="kWh",(E221*'Reference values'!$D$47*INDEX(Electricity_Emission_Factors,MATCH(C221,Electricity_Source,0))/1000)/(D216*1000),IF(D221="MWh/tonne(output)",(E221*'Reference values'!$D$47*INDEX(Electricity_Emission_Factors,MATCH(C221,Electricity_Source,0)))/1000,IF(D221="kWh/tonne(output)",(E221*'Reference values'!$D$47*INDEX(Electricity_Emission_Factors,MATCH(C221,Electricity_Source,0))/1000)/1000,""))))),"")</f>
        <v>0</v>
      </c>
      <c r="K221" s="44"/>
      <c r="L221" s="54"/>
    </row>
    <row r="222" spans="1:14" s="4" customFormat="1" outlineLevel="1" x14ac:dyDescent="0.4">
      <c r="A222" s="765"/>
      <c r="B222" s="51"/>
      <c r="C222" s="1"/>
      <c r="D222" s="1"/>
      <c r="E222" s="1"/>
      <c r="F222" s="1"/>
      <c r="G222" s="1"/>
      <c r="H222" s="43"/>
      <c r="I222" s="34"/>
      <c r="J222" s="34"/>
      <c r="K222" s="44"/>
      <c r="L222" s="54"/>
    </row>
    <row r="223" spans="1:14" s="4" customFormat="1" outlineLevel="1" x14ac:dyDescent="0.4">
      <c r="A223" s="765"/>
      <c r="B223" s="51"/>
      <c r="C223" s="25" t="s">
        <v>190</v>
      </c>
      <c r="D223" s="1"/>
      <c r="E223" s="1"/>
      <c r="F223" s="1"/>
      <c r="G223" s="1"/>
      <c r="H223" s="43"/>
      <c r="I223" s="34"/>
      <c r="J223" s="34"/>
      <c r="K223" s="44"/>
      <c r="L223" s="54"/>
    </row>
    <row r="224" spans="1:14" s="4" customFormat="1" outlineLevel="1" x14ac:dyDescent="0.4">
      <c r="A224" s="765"/>
      <c r="B224" s="51"/>
      <c r="C224" s="164" t="s">
        <v>160</v>
      </c>
      <c r="D224" s="164" t="s">
        <v>151</v>
      </c>
      <c r="E224" s="164" t="s">
        <v>140</v>
      </c>
      <c r="F224" s="1"/>
      <c r="G224" s="1"/>
      <c r="H224" s="43"/>
      <c r="I224" s="164" t="s">
        <v>160</v>
      </c>
      <c r="J224" s="182" t="s">
        <v>141</v>
      </c>
      <c r="K224" s="44"/>
      <c r="L224" s="54"/>
    </row>
    <row r="225" spans="1:12" s="4" customFormat="1" outlineLevel="1" x14ac:dyDescent="0.4">
      <c r="A225" s="765"/>
      <c r="B225" s="51"/>
      <c r="C225" s="27" t="str">
        <f>IF(E214="Default", "Diesel", "")</f>
        <v>Diesel</v>
      </c>
      <c r="D225" s="74" t="str">
        <f>IF(E214="Default", "kWh/tonne(output)", "")</f>
        <v>kWh/tonne(output)</v>
      </c>
      <c r="E225" s="74">
        <f>IF(E214="Default", 3.881, "")</f>
        <v>3.8809999999999998</v>
      </c>
      <c r="F225" s="1"/>
      <c r="G225" s="1"/>
      <c r="H225" s="43"/>
      <c r="I225" s="27" t="str">
        <f>IF(C225&gt;0,C225,"")</f>
        <v>Diesel</v>
      </c>
      <c r="J225" s="31">
        <f>IF(E214="Actual","",IFERROR(IF(C225&gt;0,IF(ISBLANK(E225),"Insert data",IF(E213="No",0,(IF(D225="litres",(E225*(INDEX(Fuel_Densities,MATCH(C225,Fuels_for_Densities,0))/1000)*INDEX(Fuel_LHV,MATCH(C225,Fuels_for_LHV,0))*INDEX(Fuel_EFs,MATCH(C225,Fuels_for_EF,0)))/(D216*1000),(IF(D225="m3",(E225*(INDEX(Fuel_Densities,MATCH(C225,Fuels_for_Densities,0)))*INDEX(Fuel_LHV,MATCH(C225,Fuels_for_LHV,0))*INDEX(Fuel_EFs,MATCH(C225,Fuels_for_EF,0)))/(D216*1000),IF(D225="kg",(E225*INDEX(Fuel_LHV,MATCH(C225,Fuels_for_LHV,0))*INDEX(Fuel_EFs,MATCH(C225,Fuels_for_EF,0)))/(D216*1000),IF(D225="tonnes",(E225*INDEX(Fuel_LHV,MATCH(C225,Fuels_for_LHV,0))*1000*INDEX(Fuel_EFs,MATCH(C225,Fuels_for_EF,0)))/(D216*1000),IF(D225="MWh",(E225*'Reference values'!$D$47*INDEX(Fuel_EFs,MATCH(C225,Fuels_for_EF,0)))/(D216*1000),IF(D225="kWh",(E225*'Reference values'!$D$47*INDEX(Fuel_EFs,MATCH(C225,Fuels_for_EF,0))/1000)/(D216*1000),(IF(D225="litres/tonne(output)",(E225*(INDEX(Fuel_Densities,MATCH(C225,Fuels_for_Densities,0))/1000)*INDEX(Fuel_LHV,MATCH(C225,Fuels_for_LHV,0))*INDEX(Fuel_EFs,MATCH(C225,Fuels_for_EF,0)))/1000,(IF(D225="m3/tonne(output)",(E225*(INDEX(Fuel_Densities,MATCH(C225,Fuels_for_Densities,0)))*INDEX(Fuel_LHV,MATCH(C225,Fuels_for_LHV,0))*INDEX(Fuel_EFs,MATCH(C225,Fuels_for_EF,0)))/1000,IF(D225="kg/tonne(output)",(E225*INDEX(Fuel_LHV,MATCH(C225,Fuels_for_LHV,0))*INDEX(Fuel_EFs,MATCH(C225,Fuels_for_EF,0)))/1000,IF(D225="tonnes/tonne(output)",(E225*INDEX(Fuel_LHV,MATCH(C225,Fuels_for_LHV,0))*1000*INDEX(Fuel_EFs,MATCH(C225,Fuels_for_EF,0)))/1000,IF(D225="MWh/tonne(output)",(E225*'Reference values'!$D$47*INDEX(Fuel_EFs,MATCH(C225,Fuels_for_EF,0)))/1000,IF(D225="kWh/tonne(output)",(E225*'Reference values'!$D$47*INDEX(Fuel_EFs,MATCH(C225,Fuels_for_EF,0))/1000)/1000,"Insert unit")))))))))))))))))),""),"Insert data"))</f>
        <v>0</v>
      </c>
      <c r="K225" s="44"/>
      <c r="L225" s="54"/>
    </row>
    <row r="226" spans="1:12" s="4" customFormat="1" outlineLevel="1" x14ac:dyDescent="0.4">
      <c r="A226" s="765"/>
      <c r="B226" s="51"/>
      <c r="C226" s="134"/>
      <c r="D226" s="141"/>
      <c r="E226" s="144"/>
      <c r="F226" s="1"/>
      <c r="G226" s="1"/>
      <c r="H226" s="43"/>
      <c r="I226" s="27" t="str">
        <f>IF(C226&gt;0,C226,"")</f>
        <v/>
      </c>
      <c r="J226" s="31" t="str">
        <f>IFERROR(IF(C226&gt;0,IF(ISBLANK(E226),"Insert data",IF(E213="No",0,(IF(D226="litres",(E226*(INDEX(Fuel_Densities,MATCH(C226,Fuels_for_Densities,0))/1000)*INDEX(Fuel_LHV,MATCH(C226,Fuels_for_LHV,0))*INDEX(Fuel_EFs,MATCH(C226,Fuels_for_EF,0)))/(D216*1000),(IF(D226="m3",(E226*(INDEX(Fuel_Densities,MATCH(C226,Fuels_for_Densities,0)))*INDEX(Fuel_LHV,MATCH(C226,Fuels_for_LHV,0))*INDEX(Fuel_EFs,MATCH(C226,Fuels_for_EF,0)))/(D216*1000),IF(D226="kg",(E226*INDEX(Fuel_LHV,MATCH(C226,Fuels_for_LHV,0))*INDEX(Fuel_EFs,MATCH(C226,Fuels_for_EF,0)))/(D216*1000),IF(D226="tonnes",(E226*INDEX(Fuel_LHV,MATCH(C226,Fuels_for_LHV,0))*1000*INDEX(Fuel_EFs,MATCH(C226,Fuels_for_EF,0)))/(D216*1000),IF(D226="MWh",(E226*'Reference values'!$D$47*INDEX(Fuel_EFs,MATCH(C226,Fuels_for_EF,0)))/(D216*1000),IF(D226="kWh",(E226*'Reference values'!$D$47*INDEX(Fuel_EFs,MATCH(C226,Fuels_for_EF,0))/1000)/(D216*1000),(IF(D226="litres/tonne(output)",(E226*(INDEX(Fuel_Densities,MATCH(C226,Fuels_for_Densities,0))/1000)*INDEX(Fuel_LHV,MATCH(C226,Fuels_for_LHV,0))*INDEX(Fuel_EFs,MATCH(C226,Fuels_for_EF,0)))/1000,(IF(D226="m3/tonne(output)",(E226*(INDEX(Fuel_Densities,MATCH(C226,Fuels_for_Densities,0)))*INDEX(Fuel_LHV,MATCH(C226,Fuels_for_LHV,0))*INDEX(Fuel_EFs,MATCH(C226,Fuels_for_EF,0)))/1000,IF(D226="kg/tonne(output)",(E226*INDEX(Fuel_LHV,MATCH(C226,Fuels_for_LHV,0))*INDEX(Fuel_EFs,MATCH(C226,Fuels_for_EF,0)))/1000,IF(D226="tonnes/tonne(output)",(E226*INDEX(Fuel_LHV,MATCH(C226,Fuels_for_LHV,0))*1000*INDEX(Fuel_EFs,MATCH(C226,Fuels_for_EF,0)))/1000,IF(D226="MWh/tonne(output)",(E226*'Reference values'!$D$47*INDEX(Fuel_EFs,MATCH(C226,Fuels_for_EF,0)))/1000,IF(D226="kWh/tonne(output)",(E226*'Reference values'!$D$47*INDEX(Fuel_EFs,MATCH(C226,Fuels_for_EF,0))/1000)/1000,"Insert unit")))))))))))))))))),""),"Insert data")</f>
        <v/>
      </c>
      <c r="K226" s="44"/>
      <c r="L226" s="54"/>
    </row>
    <row r="227" spans="1:12" s="4" customFormat="1" outlineLevel="1" x14ac:dyDescent="0.4">
      <c r="A227" s="765"/>
      <c r="B227" s="51"/>
      <c r="C227" s="134"/>
      <c r="D227" s="141"/>
      <c r="E227" s="144"/>
      <c r="F227" s="1"/>
      <c r="G227" s="1"/>
      <c r="H227" s="43"/>
      <c r="I227" s="27" t="str">
        <f>IF(C227&gt;0,C227,"")</f>
        <v/>
      </c>
      <c r="J227" s="31" t="str">
        <f>IFERROR(IF(C227&gt;0,IF(ISBLANK(E227),"Insert data",IF(E213="No",0,(IF(D227="litres",(E227*(INDEX(Fuel_Densities,MATCH(C227,Fuels_for_Densities,0))/1000)*INDEX(Fuel_LHV,MATCH(C227,Fuels_for_LHV,0))*INDEX(Fuel_EFs,MATCH(C227,Fuels_for_EF,0)))/(D216*1000),(IF(D227="m3",(E227*(INDEX(Fuel_Densities,MATCH(C227,Fuels_for_Densities,0)))*INDEX(Fuel_LHV,MATCH(C227,Fuels_for_LHV,0))*INDEX(Fuel_EFs,MATCH(C227,Fuels_for_EF,0)))/(D216*1000),IF(D227="kg",(E227*INDEX(Fuel_LHV,MATCH(C227,Fuels_for_LHV,0))*INDEX(Fuel_EFs,MATCH(C227,Fuels_for_EF,0)))/(D216*1000),IF(D227="tonnes",(E227*INDEX(Fuel_LHV,MATCH(C227,Fuels_for_LHV,0))*1000*INDEX(Fuel_EFs,MATCH(C227,Fuels_for_EF,0)))/(D216*1000),IF(D227="MWh",(E227*'Reference values'!$D$47*INDEX(Fuel_EFs,MATCH(C227,Fuels_for_EF,0)))/(D216*1000),IF(D227="kWh",(E227*'Reference values'!$D$47*INDEX(Fuel_EFs,MATCH(C227,Fuels_for_EF,0))/1000)/(D216*1000),(IF(D227="litres/tonne(output)",(E227*(INDEX(Fuel_Densities,MATCH(C227,Fuels_for_Densities,0))/1000)*INDEX(Fuel_LHV,MATCH(C227,Fuels_for_LHV,0))*INDEX(Fuel_EFs,MATCH(C227,Fuels_for_EF,0)))/1000,(IF(D227="m3/tonne(output)",(E227*(INDEX(Fuel_Densities,MATCH(C227,Fuels_for_Densities,0)))*INDEX(Fuel_LHV,MATCH(C227,Fuels_for_LHV,0))*INDEX(Fuel_EFs,MATCH(C227,Fuels_for_EF,0)))/1000,IF(D227="kg/tonne(output)",(E227*INDEX(Fuel_LHV,MATCH(C227,Fuels_for_LHV,0))*INDEX(Fuel_EFs,MATCH(C227,Fuels_for_EF,0)))/1000,IF(D227="tonnes/tonne(output)",(E227*INDEX(Fuel_LHV,MATCH(C227,Fuels_for_LHV,0))*1000*INDEX(Fuel_EFs,MATCH(C227,Fuels_for_EF,0)))/1000,IF(D227="MWh/tonne(output)",(E227*'Reference values'!$D$47*INDEX(Fuel_EFs,MATCH(C227,Fuels_for_EF,0)))/1000,IF(D227="kWh/tonne(output)",(E227*'Reference values'!$D$47*INDEX(Fuel_EFs,MATCH(C227,Fuels_for_EF,0))/1000)/1000,"Insert unit")))))))))))))))))),""),"Insert data")</f>
        <v/>
      </c>
      <c r="K227" s="44"/>
      <c r="L227" s="54"/>
    </row>
    <row r="228" spans="1:12" s="4" customFormat="1" outlineLevel="1" x14ac:dyDescent="0.4">
      <c r="A228" s="765"/>
      <c r="B228" s="51"/>
      <c r="C228" s="134"/>
      <c r="D228" s="141"/>
      <c r="E228" s="144"/>
      <c r="F228" s="1"/>
      <c r="G228" s="1"/>
      <c r="H228" s="43"/>
      <c r="I228" s="27" t="str">
        <f>IF(C228&gt;0,C228,"")</f>
        <v/>
      </c>
      <c r="J228" s="31" t="str">
        <f>IFERROR(IF(C228&gt;0,IF(ISBLANK(E228),"Insert data",IF(E213="No",0,(IF(D228="litres",(E228*(INDEX(Fuel_Densities,MATCH(C228,Fuels_for_Densities,0))/1000)*INDEX(Fuel_LHV,MATCH(C228,Fuels_for_LHV,0))*INDEX(Fuel_EFs,MATCH(C228,Fuels_for_EF,0)))/(D216*1000),(IF(D228="m3",(E228*(INDEX(Fuel_Densities,MATCH(C228,Fuels_for_Densities,0)))*INDEX(Fuel_LHV,MATCH(C228,Fuels_for_LHV,0))*INDEX(Fuel_EFs,MATCH(C228,Fuels_for_EF,0)))/(D216*1000),IF(D228="kg",(E228*INDEX(Fuel_LHV,MATCH(C228,Fuels_for_LHV,0))*INDEX(Fuel_EFs,MATCH(C228,Fuels_for_EF,0)))/(D216*1000),IF(D228="tonnes",(E228*INDEX(Fuel_LHV,MATCH(C228,Fuels_for_LHV,0))*1000*INDEX(Fuel_EFs,MATCH(C228,Fuels_for_EF,0)))/(D216*1000),IF(D228="MWh",(E228*'Reference values'!$D$47*INDEX(Fuel_EFs,MATCH(C228,Fuels_for_EF,0)))/(D216*1000),IF(D228="kWh",(E228*'Reference values'!$D$47*INDEX(Fuel_EFs,MATCH(C228,Fuels_for_EF,0))/1000)/(D216*1000),(IF(D228="litres/tonne(output)",(E228*(INDEX(Fuel_Densities,MATCH(C228,Fuels_for_Densities,0))/1000)*INDEX(Fuel_LHV,MATCH(C228,Fuels_for_LHV,0))*INDEX(Fuel_EFs,MATCH(C228,Fuels_for_EF,0)))/1000,(IF(D228="m3/tonne(output)",(E228*(INDEX(Fuel_Densities,MATCH(C228,Fuels_for_Densities,0)))*INDEX(Fuel_LHV,MATCH(C228,Fuels_for_LHV,0))*INDEX(Fuel_EFs,MATCH(C228,Fuels_for_EF,0)))/1000,IF(D228="kg/tonne(output)",(E228*INDEX(Fuel_LHV,MATCH(C228,Fuels_for_LHV,0))*INDEX(Fuel_EFs,MATCH(C228,Fuels_for_EF,0)))/1000,IF(D228="tonnes/tonne(output)",(E228*INDEX(Fuel_LHV,MATCH(C228,Fuels_for_LHV,0))*1000*INDEX(Fuel_EFs,MATCH(C228,Fuels_for_EF,0)))/1000,IF(D228="MWh/tonne(output)",(E228*'Reference values'!$D$47*INDEX(Fuel_EFs,MATCH(C228,Fuels_for_EF,0)))/1000,IF(D228="kWh/tonne(output)",(E228*'Reference values'!$D$47*INDEX(Fuel_EFs,MATCH(C228,Fuels_for_EF,0))/1000)/1000,"Insert unit")))))))))))))))))),""),"Insert data")</f>
        <v/>
      </c>
      <c r="K228" s="44"/>
      <c r="L228" s="54"/>
    </row>
    <row r="229" spans="1:12" s="4" customFormat="1" outlineLevel="1" x14ac:dyDescent="0.4">
      <c r="A229" s="765"/>
      <c r="B229" s="51"/>
      <c r="C229" s="1"/>
      <c r="D229" s="1"/>
      <c r="E229" s="1"/>
      <c r="F229" s="1"/>
      <c r="G229" s="53"/>
      <c r="H229" s="56"/>
      <c r="I229" s="57"/>
      <c r="J229" s="34"/>
      <c r="K229" s="44"/>
      <c r="L229" s="54"/>
    </row>
    <row r="230" spans="1:12" s="4" customFormat="1" outlineLevel="1" x14ac:dyDescent="0.4">
      <c r="A230" s="765"/>
      <c r="B230" s="51"/>
      <c r="C230" s="25" t="s">
        <v>191</v>
      </c>
      <c r="D230" s="1"/>
      <c r="E230" s="1"/>
      <c r="F230" s="1"/>
      <c r="G230" s="53"/>
      <c r="H230" s="56"/>
      <c r="I230" s="34"/>
      <c r="J230" s="34"/>
      <c r="K230" s="44"/>
      <c r="L230" s="54"/>
    </row>
    <row r="231" spans="1:12" s="4" customFormat="1" outlineLevel="1" x14ac:dyDescent="0.4">
      <c r="A231" s="765"/>
      <c r="B231" s="51"/>
      <c r="C231" s="164" t="s">
        <v>192</v>
      </c>
      <c r="D231" s="164" t="s">
        <v>151</v>
      </c>
      <c r="E231" s="164" t="s">
        <v>140</v>
      </c>
      <c r="F231" s="1"/>
      <c r="G231" s="1"/>
      <c r="H231" s="43"/>
      <c r="I231" s="164" t="s">
        <v>192</v>
      </c>
      <c r="J231" s="182" t="s">
        <v>141</v>
      </c>
      <c r="K231" s="44"/>
      <c r="L231" s="54"/>
    </row>
    <row r="232" spans="1:12" s="4" customFormat="1" outlineLevel="1" x14ac:dyDescent="0.4">
      <c r="A232" s="765"/>
      <c r="B232" s="51"/>
      <c r="C232" s="134"/>
      <c r="D232" s="141"/>
      <c r="E232" s="144"/>
      <c r="F232" s="1"/>
      <c r="G232" s="1"/>
      <c r="H232" s="43"/>
      <c r="I232" s="27" t="str">
        <f t="shared" ref="I232:I239" si="4">IF(C232&gt;0,C232,"")</f>
        <v/>
      </c>
      <c r="J232" s="31" t="str">
        <f>IFERROR(IF(C232&gt;0,IF(ISBLANK(E232),"Insert data",IF(E213="No",0,IF(D232="kg",E232*INDEX(Chemical_Emission_Factors,MATCH(C232,Chemicals,0))/(D216*1000),IF(D232="tonnes",E232*INDEX(Chemical_Emission_Factors,MATCH(C232,Chemicals,0))*1000/(D216*1000),IF(D232="kg/tonne(output)",E232*INDEX(Chemical_Emission_Factors,MATCH(C232,Chemicals,0))/1000,IF(D232="tonnes/tonne(output)",E232*INDEX(Chemical_Emission_Factors,MATCH(C232,Chemicals,0))*1000/1000,"Insert unit")))))),""),"Insert data")</f>
        <v/>
      </c>
      <c r="K232" s="44"/>
      <c r="L232" s="54"/>
    </row>
    <row r="233" spans="1:12" s="4" customFormat="1" outlineLevel="1" x14ac:dyDescent="0.4">
      <c r="A233" s="765"/>
      <c r="B233" s="51"/>
      <c r="C233" s="134"/>
      <c r="D233" s="141"/>
      <c r="E233" s="144"/>
      <c r="F233" s="1"/>
      <c r="G233" s="1"/>
      <c r="H233" s="43"/>
      <c r="I233" s="27" t="str">
        <f t="shared" si="4"/>
        <v/>
      </c>
      <c r="J233" s="31" t="str">
        <f>IFERROR(IF(C233&gt;0,IF(ISBLANK(E233),"Insert data",IF(E213="No",0,IF(D233="kg",E233*INDEX(Chemical_Emission_Factors,MATCH(C233,Chemicals,0))/(D216*1000),IF(D233="tonnes",E233*INDEX(Chemical_Emission_Factors,MATCH(C233,Chemicals,0))*1000/(D216*1000),IF(D233="kg/tonne(output)",E233*INDEX(Chemical_Emission_Factors,MATCH(C233,Chemicals,0))/1000,IF(D233="tonnes/tonne(output)",E233*INDEX(Chemical_Emission_Factors,MATCH(C233,Chemicals,0))*1000/1000,"Insert unit")))))),""),"Insert data")</f>
        <v/>
      </c>
      <c r="K233" s="44"/>
      <c r="L233" s="54"/>
    </row>
    <row r="234" spans="1:12" s="4" customFormat="1" outlineLevel="1" x14ac:dyDescent="0.4">
      <c r="A234" s="765"/>
      <c r="B234" s="51"/>
      <c r="C234" s="134"/>
      <c r="D234" s="141"/>
      <c r="E234" s="144"/>
      <c r="F234" s="1"/>
      <c r="G234" s="1"/>
      <c r="H234" s="43"/>
      <c r="I234" s="27" t="str">
        <f t="shared" si="4"/>
        <v/>
      </c>
      <c r="J234" s="31" t="str">
        <f>IFERROR(IF(C234&gt;0,IF(ISBLANK(E234),"Insert data",IF(E213="No",0,IF(D234="kg",E234*INDEX(Chemical_Emission_Factors,MATCH(C234,Chemicals,0))/(D216*1000),IF(D234="tonnes",E234*INDEX(Chemical_Emission_Factors,MATCH(C234,Chemicals,0))*1000/(D216*1000),IF(D234="kg/tonne(output)",E234*INDEX(Chemical_Emission_Factors,MATCH(C234,Chemicals,0))/1000,IF(D234="tonnes/tonne(output)",E234*INDEX(Chemical_Emission_Factors,MATCH(C234,Chemicals,0))*1000/1000,"Insert unit")))))),""),"Insert data")</f>
        <v/>
      </c>
      <c r="K234" s="44"/>
      <c r="L234" s="54"/>
    </row>
    <row r="235" spans="1:12" s="4" customFormat="1" outlineLevel="1" x14ac:dyDescent="0.4">
      <c r="A235" s="765"/>
      <c r="B235" s="51"/>
      <c r="C235" s="134"/>
      <c r="D235" s="141"/>
      <c r="E235" s="144"/>
      <c r="F235" s="1"/>
      <c r="G235" s="1"/>
      <c r="H235" s="43"/>
      <c r="I235" s="27" t="str">
        <f t="shared" si="4"/>
        <v/>
      </c>
      <c r="J235" s="31" t="str">
        <f>IFERROR(IF(C235&gt;0,IF(ISBLANK(E235),"Insert data",IF(E213="No",0,IF(D235="kg",E235*INDEX(Chemical_Emission_Factors,MATCH(C235,Chemicals,0))/(D216*1000),IF(D235="tonnes",E235*INDEX(Chemical_Emission_Factors,MATCH(C235,Chemicals,0))*1000/(D216*1000),IF(D235="kg/tonne(output)",E235*INDEX(Chemical_Emission_Factors,MATCH(C235,Chemicals,0))/1000,IF(D235="tonnes/tonne(output)",E235*INDEX(Chemical_Emission_Factors,MATCH(C235,Chemicals,0))*1000/1000,"Insert unit")))))),""),"Insert data")</f>
        <v/>
      </c>
      <c r="K235" s="44"/>
      <c r="L235" s="54"/>
    </row>
    <row r="236" spans="1:12" s="4" customFormat="1" outlineLevel="1" x14ac:dyDescent="0.4">
      <c r="A236" s="765"/>
      <c r="B236" s="51"/>
      <c r="C236" s="134"/>
      <c r="D236" s="141"/>
      <c r="E236" s="144"/>
      <c r="F236" s="1"/>
      <c r="G236" s="1"/>
      <c r="H236" s="43"/>
      <c r="I236" s="27" t="str">
        <f t="shared" si="4"/>
        <v/>
      </c>
      <c r="J236" s="31" t="str">
        <f>IFERROR(IF(C236&gt;0,IF(ISBLANK(E236),"Insert data",IF(E213="No",0,IF(D236="kg",E236*INDEX(Chemical_Emission_Factors,MATCH(C236,Chemicals,0))/(D216*1000),IF(D236="tonnes",E236*INDEX(Chemical_Emission_Factors,MATCH(C236,Chemicals,0))*1000/(D216*1000),IF(D236="kg/tonne(output)",E236*INDEX(Chemical_Emission_Factors,MATCH(C236,Chemicals,0))/1000,IF(D236="tonnes/tonne(output)",E236*INDEX(Chemical_Emission_Factors,MATCH(C236,Chemicals,0))*1000/1000,"Insert unit")))))),""),"Insert data")</f>
        <v/>
      </c>
      <c r="K236" s="44"/>
      <c r="L236" s="54"/>
    </row>
    <row r="237" spans="1:12" s="4" customFormat="1" outlineLevel="1" x14ac:dyDescent="0.4">
      <c r="A237" s="765"/>
      <c r="B237" s="51"/>
      <c r="C237" s="134"/>
      <c r="D237" s="141"/>
      <c r="E237" s="144"/>
      <c r="F237" s="1"/>
      <c r="G237" s="1"/>
      <c r="H237" s="43"/>
      <c r="I237" s="27" t="str">
        <f t="shared" si="4"/>
        <v/>
      </c>
      <c r="J237" s="31" t="str">
        <f>IFERROR(IF(C237&gt;0,IF(ISBLANK(E237),"Insert data",IF(E213="No",0,IF(D237="kg",E237*INDEX(Chemical_Emission_Factors,MATCH(C237,Chemicals,0))/(D216*1000),IF(D237="tonnes",E237*INDEX(Chemical_Emission_Factors,MATCH(C237,Chemicals,0))*1000/(D216*1000),IF(D237="kg/tonne(output)",E237*INDEX(Chemical_Emission_Factors,MATCH(C237,Chemicals,0))/1000,IF(D237="tonnes/tonne(output)",E237*INDEX(Chemical_Emission_Factors,MATCH(C237,Chemicals,0))*1000/1000,"Insert unit")))))),""),"Insert data")</f>
        <v/>
      </c>
      <c r="K237" s="44"/>
      <c r="L237" s="54"/>
    </row>
    <row r="238" spans="1:12" s="4" customFormat="1" outlineLevel="1" x14ac:dyDescent="0.4">
      <c r="A238" s="765"/>
      <c r="B238" s="51"/>
      <c r="C238" s="134"/>
      <c r="D238" s="141"/>
      <c r="E238" s="144"/>
      <c r="F238" s="1"/>
      <c r="G238" s="1"/>
      <c r="H238" s="43"/>
      <c r="I238" s="27" t="str">
        <f t="shared" si="4"/>
        <v/>
      </c>
      <c r="J238" s="31" t="str">
        <f>IFERROR(IF(C238&gt;0,IF(ISBLANK(E238),"Insert data",IF(E213="No",0,IF(D238="kg",E238*INDEX(Chemical_Emission_Factors,MATCH(C238,Chemicals,0))/(D216*1000),IF(D238="tonnes",E238*INDEX(Chemical_Emission_Factors,MATCH(C238,Chemicals,0))*1000/(D216*1000),IF(D238="kg/tonne(output)",E238*INDEX(Chemical_Emission_Factors,MATCH(C238,Chemicals,0))/1000,IF(D238="tonnes/tonne(output)",E238*INDEX(Chemical_Emission_Factors,MATCH(C238,Chemicals,0))*1000/1000,"Insert unit")))))),""),"Insert data")</f>
        <v/>
      </c>
      <c r="K238" s="44"/>
      <c r="L238" s="54"/>
    </row>
    <row r="239" spans="1:12" s="4" customFormat="1" outlineLevel="1" x14ac:dyDescent="0.4">
      <c r="A239" s="765"/>
      <c r="B239" s="51"/>
      <c r="C239" s="134"/>
      <c r="D239" s="141"/>
      <c r="E239" s="144"/>
      <c r="F239" s="1"/>
      <c r="G239" s="1"/>
      <c r="H239" s="43"/>
      <c r="I239" s="27" t="str">
        <f t="shared" si="4"/>
        <v/>
      </c>
      <c r="J239" s="31" t="str">
        <f>IFERROR(IF(C239&gt;0,IF(ISBLANK(E239),"Insert data",IF(E213="No",0,IF(D239="kg",E239*INDEX(Chemical_Emission_Factors,MATCH(C239,Chemicals,0))/(D216*1000),IF(D239="tonnes",E239*INDEX(Chemical_Emission_Factors,MATCH(C239,Chemicals,0))*1000/(D216*1000),IF(D239="kg/tonne(output)",E239*INDEX(Chemical_Emission_Factors,MATCH(C239,Chemicals,0))/1000,IF(D239="tonnes/tonne(output)",E239*INDEX(Chemical_Emission_Factors,MATCH(C239,Chemicals,0))*1000/1000,"Insert unit")))))),""),"Insert data")</f>
        <v/>
      </c>
      <c r="K239" s="44"/>
      <c r="L239" s="54"/>
    </row>
    <row r="240" spans="1:12" s="4" customFormat="1" ht="12.75" customHeight="1" outlineLevel="1" x14ac:dyDescent="0.4">
      <c r="B240" s="20"/>
      <c r="C240" s="21"/>
      <c r="D240" s="21"/>
      <c r="E240" s="21"/>
      <c r="F240" s="1"/>
      <c r="G240" s="21"/>
      <c r="H240" s="46"/>
      <c r="I240" s="58"/>
      <c r="J240" s="58"/>
      <c r="K240" s="59"/>
      <c r="L240" s="35"/>
    </row>
    <row r="241" spans="2:12" s="4" customFormat="1" outlineLevel="1" x14ac:dyDescent="0.4">
      <c r="B241" s="20"/>
      <c r="C241" s="243" t="s">
        <v>193</v>
      </c>
      <c r="D241" s="21"/>
      <c r="E241" s="21"/>
      <c r="F241" s="1"/>
      <c r="G241" s="21"/>
      <c r="H241" s="21"/>
      <c r="I241" s="21"/>
      <c r="J241" s="21"/>
      <c r="K241" s="21"/>
      <c r="L241" s="35"/>
    </row>
    <row r="242" spans="2:12" s="4" customFormat="1" outlineLevel="1" x14ac:dyDescent="0.4">
      <c r="B242" s="20"/>
      <c r="C242" s="766" t="s">
        <v>194</v>
      </c>
      <c r="D242" s="767"/>
      <c r="E242" s="299" t="s">
        <v>178</v>
      </c>
      <c r="F242" s="1"/>
      <c r="G242" s="21"/>
      <c r="H242" s="302"/>
      <c r="I242" s="47"/>
      <c r="J242" s="47"/>
      <c r="K242" s="45"/>
      <c r="L242" s="35"/>
    </row>
    <row r="243" spans="2:12" s="4" customFormat="1" ht="6.75" customHeight="1" outlineLevel="1" x14ac:dyDescent="0.4">
      <c r="B243" s="20"/>
      <c r="C243" s="21"/>
      <c r="D243" s="21"/>
      <c r="E243" s="21"/>
      <c r="F243" s="1"/>
      <c r="G243" s="21"/>
      <c r="H243" s="41"/>
      <c r="I243" s="36"/>
      <c r="J243" s="301"/>
      <c r="K243" s="37"/>
      <c r="L243" s="35"/>
    </row>
    <row r="244" spans="2:12" s="4" customFormat="1" outlineLevel="1" x14ac:dyDescent="0.4">
      <c r="B244" s="20"/>
      <c r="C244" s="21"/>
      <c r="D244" s="164" t="s">
        <v>151</v>
      </c>
      <c r="E244" s="164" t="s">
        <v>140</v>
      </c>
      <c r="F244" s="1"/>
      <c r="G244" s="21"/>
      <c r="H244" s="41"/>
      <c r="I244" s="36"/>
      <c r="J244" s="164" t="s">
        <v>195</v>
      </c>
      <c r="K244" s="37"/>
      <c r="L244" s="35"/>
    </row>
    <row r="245" spans="2:12" s="4" customFormat="1" outlineLevel="1" x14ac:dyDescent="0.4">
      <c r="B245" s="20"/>
      <c r="C245" s="164" t="s">
        <v>196</v>
      </c>
      <c r="D245" s="297" t="s">
        <v>197</v>
      </c>
      <c r="E245" s="299"/>
      <c r="F245" s="1"/>
      <c r="G245" s="21"/>
      <c r="H245" s="41"/>
      <c r="I245" s="164" t="s">
        <v>198</v>
      </c>
      <c r="J245" s="309" t="str">
        <f>IFERROR(IF(E242="No", "", IF(AND(E242="yes",OR(ISBLANK(E245),ISBLANK(E246),ISBLANK(E247))),"Insert data",E246/(E246+E247*E245))), "")</f>
        <v/>
      </c>
      <c r="K245" s="37"/>
      <c r="L245" s="35"/>
    </row>
    <row r="246" spans="2:12" s="4" customFormat="1" outlineLevel="1" x14ac:dyDescent="0.4">
      <c r="B246" s="20"/>
      <c r="C246" s="164" t="s">
        <v>199</v>
      </c>
      <c r="D246" s="296" t="s">
        <v>200</v>
      </c>
      <c r="E246" s="299"/>
      <c r="F246" s="1"/>
      <c r="G246" s="21"/>
      <c r="H246" s="41"/>
      <c r="I246" s="164" t="s">
        <v>201</v>
      </c>
      <c r="J246" s="309" t="str">
        <f>IFERROR(IF(E242="No", "", IF(AND(E242="yes",OR(ISBLANK(E245),ISBLANK(E246),ISBLANK(E247))),"Insert data",(E247*E245)/(E247*E245+E246))),"")</f>
        <v/>
      </c>
      <c r="K246" s="37"/>
      <c r="L246" s="35"/>
    </row>
    <row r="247" spans="2:12" s="4" customFormat="1" outlineLevel="1" x14ac:dyDescent="0.4">
      <c r="B247" s="20"/>
      <c r="C247" s="164" t="s">
        <v>202</v>
      </c>
      <c r="D247" s="296" t="s">
        <v>200</v>
      </c>
      <c r="E247" s="299"/>
      <c r="F247" s="1"/>
      <c r="G247" s="21"/>
      <c r="H247" s="46"/>
      <c r="I247" s="58"/>
      <c r="J247" s="58"/>
      <c r="K247" s="59"/>
      <c r="L247" s="35"/>
    </row>
    <row r="248" spans="2:12" s="4" customFormat="1" ht="6.75" customHeight="1" outlineLevel="1" x14ac:dyDescent="0.4">
      <c r="B248" s="20"/>
      <c r="C248" s="21"/>
      <c r="D248" s="21"/>
      <c r="E248" s="21"/>
      <c r="F248" s="21"/>
      <c r="G248" s="21"/>
      <c r="H248" s="21"/>
      <c r="I248" s="21"/>
      <c r="J248" s="21"/>
      <c r="K248" s="21"/>
      <c r="L248" s="35"/>
    </row>
    <row r="249" spans="2:12" s="4" customFormat="1" ht="12.75" customHeight="1" outlineLevel="1" x14ac:dyDescent="0.4">
      <c r="B249" s="20"/>
      <c r="C249" s="300" t="s">
        <v>203</v>
      </c>
      <c r="D249" s="21"/>
      <c r="E249" s="21"/>
      <c r="F249" s="21"/>
      <c r="G249" s="21"/>
      <c r="H249" s="21"/>
      <c r="I249" s="21"/>
      <c r="J249" s="21"/>
      <c r="K249" s="21"/>
      <c r="L249" s="35"/>
    </row>
    <row r="250" spans="2:12" s="4" customFormat="1" ht="12.75" customHeight="1" outlineLevel="1" x14ac:dyDescent="0.4">
      <c r="B250" s="20"/>
      <c r="C250" s="300" t="s">
        <v>204</v>
      </c>
      <c r="D250" s="21"/>
      <c r="E250" s="21"/>
      <c r="F250" s="21"/>
      <c r="G250" s="21"/>
      <c r="H250" s="21"/>
      <c r="I250" s="21"/>
      <c r="J250" s="21"/>
      <c r="K250" s="21"/>
      <c r="L250" s="35"/>
    </row>
    <row r="251" spans="2:12" s="4" customFormat="1" ht="6.75" customHeight="1" outlineLevel="1" x14ac:dyDescent="0.4">
      <c r="B251" s="28"/>
      <c r="C251" s="298"/>
      <c r="D251" s="29"/>
      <c r="E251" s="29"/>
      <c r="F251" s="29"/>
      <c r="G251" s="29"/>
      <c r="H251" s="29"/>
      <c r="I251" s="29"/>
      <c r="J251" s="29"/>
      <c r="K251" s="29"/>
      <c r="L251" s="60"/>
    </row>
    <row r="252" spans="2:12" s="4" customFormat="1" x14ac:dyDescent="0.4"/>
    <row r="253" spans="2:12" s="4" customFormat="1" hidden="1" x14ac:dyDescent="0.4"/>
    <row r="254" spans="2:12" s="4" customFormat="1" hidden="1" x14ac:dyDescent="0.4"/>
    <row r="255" spans="2:12" s="4" customFormat="1" hidden="1" x14ac:dyDescent="0.4"/>
    <row r="256" spans="2:12" s="4" customFormat="1" hidden="1" x14ac:dyDescent="0.4"/>
    <row r="257" spans="1:14" s="4" customFormat="1" hidden="1" x14ac:dyDescent="0.4"/>
    <row r="258" spans="1:14" s="4" customFormat="1" ht="19.2" x14ac:dyDescent="0.45">
      <c r="B258" s="754" t="str">
        <f>"Feedstock Conversion"&amp;" - "&amp;Feedstocks!C16</f>
        <v xml:space="preserve">Feedstock Conversion - </v>
      </c>
      <c r="C258" s="755"/>
      <c r="D258" s="755"/>
      <c r="E258" s="755"/>
      <c r="F258" s="755"/>
      <c r="G258" s="755"/>
      <c r="H258" s="755"/>
      <c r="I258" s="755"/>
      <c r="J258" s="755"/>
      <c r="K258" s="755"/>
      <c r="L258" s="756"/>
    </row>
    <row r="259" spans="1:14" s="4" customFormat="1" outlineLevel="1" x14ac:dyDescent="0.4">
      <c r="B259" s="17"/>
      <c r="C259" s="19"/>
      <c r="D259" s="19"/>
      <c r="E259" s="19"/>
      <c r="F259" s="19"/>
      <c r="G259" s="19"/>
      <c r="H259" s="19"/>
      <c r="I259" s="19"/>
      <c r="J259" s="19"/>
      <c r="K259" s="19"/>
      <c r="L259" s="50"/>
    </row>
    <row r="260" spans="1:14" s="4" customFormat="1" outlineLevel="1" x14ac:dyDescent="0.4">
      <c r="B260" s="20"/>
      <c r="C260" s="21"/>
      <c r="D260" s="760"/>
      <c r="E260" s="762"/>
      <c r="F260" s="21"/>
      <c r="G260" s="1"/>
      <c r="H260" s="69" t="s">
        <v>122</v>
      </c>
      <c r="I260" s="47"/>
      <c r="J260" s="47"/>
      <c r="K260" s="45"/>
      <c r="L260" s="35"/>
    </row>
    <row r="261" spans="1:14" s="4" customFormat="1" outlineLevel="1" x14ac:dyDescent="0.4">
      <c r="B261" s="20"/>
      <c r="C261" s="160" t="s">
        <v>123</v>
      </c>
      <c r="D261" s="753" t="str">
        <f>IF(Feedstocks!$H$16&gt;0,Feedstocks!$H$16,"")</f>
        <v/>
      </c>
      <c r="E261" s="753"/>
      <c r="F261" s="21"/>
      <c r="G261" s="76"/>
      <c r="H261" s="41"/>
      <c r="I261" s="36"/>
      <c r="J261" s="164" t="s">
        <v>124</v>
      </c>
      <c r="K261" s="37"/>
      <c r="L261" s="35"/>
    </row>
    <row r="262" spans="1:14" s="4" customFormat="1" outlineLevel="1" x14ac:dyDescent="0.4">
      <c r="B262" s="20"/>
      <c r="C262" s="21"/>
      <c r="D262" s="21"/>
      <c r="E262" s="21"/>
      <c r="F262" s="21"/>
      <c r="G262" s="21"/>
      <c r="H262" s="41"/>
      <c r="I262" s="164" t="s">
        <v>125</v>
      </c>
      <c r="J262" s="52" t="str">
        <f>IFERROR((J266/('Transport 2'!F269*('Digestion &amp; outputs'!$G$21/1000)))*'Digestion &amp; outputs'!$K$23,"")</f>
        <v/>
      </c>
      <c r="K262" s="37"/>
      <c r="L262" s="35"/>
    </row>
    <row r="263" spans="1:14" s="4" customFormat="1" ht="16.5" customHeight="1" outlineLevel="1" x14ac:dyDescent="0.4">
      <c r="B263" s="20"/>
      <c r="C263" s="759" t="s">
        <v>183</v>
      </c>
      <c r="D263" s="759"/>
      <c r="E263" s="134" t="s">
        <v>178</v>
      </c>
      <c r="F263" s="21"/>
      <c r="G263" s="21"/>
      <c r="H263" s="41"/>
      <c r="I263" s="36"/>
      <c r="J263" s="36"/>
      <c r="K263" s="37"/>
      <c r="L263" s="35"/>
    </row>
    <row r="264" spans="1:14" s="4" customFormat="1" outlineLevel="1" x14ac:dyDescent="0.4">
      <c r="B264" s="20"/>
      <c r="C264" s="763" t="s">
        <v>184</v>
      </c>
      <c r="D264" s="764"/>
      <c r="E264" s="134" t="s">
        <v>96</v>
      </c>
      <c r="F264" s="21"/>
      <c r="G264" s="21"/>
      <c r="H264" s="41"/>
      <c r="I264" s="36"/>
      <c r="J264" s="36"/>
      <c r="K264" s="37"/>
      <c r="L264" s="35"/>
    </row>
    <row r="265" spans="1:14" s="4" customFormat="1" outlineLevel="1" x14ac:dyDescent="0.4">
      <c r="B265" s="20"/>
      <c r="C265" s="21"/>
      <c r="D265" s="21"/>
      <c r="E265" s="21"/>
      <c r="F265" s="21"/>
      <c r="G265" s="21"/>
      <c r="H265" s="43"/>
      <c r="I265" s="34"/>
      <c r="J265" s="164" t="s">
        <v>141</v>
      </c>
      <c r="K265" s="44"/>
      <c r="L265" s="35"/>
    </row>
    <row r="266" spans="1:14" s="4" customFormat="1" outlineLevel="1" x14ac:dyDescent="0.4">
      <c r="A266" s="765"/>
      <c r="B266" s="51"/>
      <c r="C266" s="164" t="s">
        <v>185</v>
      </c>
      <c r="D266" s="70">
        <f>IFERROR(Feedstocks!D16/'Transport 2'!F269,"Insert data")</f>
        <v>0</v>
      </c>
      <c r="E266" s="21"/>
      <c r="F266" s="21"/>
      <c r="G266" s="21"/>
      <c r="H266" s="43"/>
      <c r="I266" s="164" t="s">
        <v>167</v>
      </c>
      <c r="J266" s="52">
        <f>IFERROR(IF(AND(E263="YES",ISBLANK(F267)),"Insert yield",SUM(J282:J289,J275:J278,J271)*IF(E292="Yes",J295,1)),"Insert data")</f>
        <v>0</v>
      </c>
      <c r="K266" s="44"/>
      <c r="L266" s="35"/>
    </row>
    <row r="267" spans="1:14" s="4" customFormat="1" outlineLevel="1" x14ac:dyDescent="0.4">
      <c r="A267" s="765"/>
      <c r="B267" s="51"/>
      <c r="C267" s="164" t="s">
        <v>186</v>
      </c>
      <c r="D267" s="680">
        <v>0.9</v>
      </c>
      <c r="E267" s="134"/>
      <c r="F267" s="623">
        <f>IF(E263="No", 1,IF(E264="Default",D267,IF(E264="Actual",IF(E267&gt;0,E267,"insert data"),"error")))</f>
        <v>1</v>
      </c>
      <c r="G267" s="21"/>
      <c r="H267" s="49"/>
      <c r="I267" s="65"/>
      <c r="J267" s="65"/>
      <c r="K267" s="66"/>
      <c r="L267" s="35"/>
    </row>
    <row r="268" spans="1:14" s="4" customFormat="1" outlineLevel="1" x14ac:dyDescent="0.4">
      <c r="A268" s="765"/>
      <c r="B268" s="51"/>
      <c r="C268" s="21"/>
      <c r="D268" s="21"/>
      <c r="E268" s="21"/>
      <c r="F268" s="21"/>
      <c r="G268" s="21"/>
      <c r="H268" s="29"/>
      <c r="I268" s="29"/>
      <c r="J268" s="29"/>
      <c r="K268" s="29"/>
      <c r="L268" s="35"/>
    </row>
    <row r="269" spans="1:14" s="4" customFormat="1" outlineLevel="1" x14ac:dyDescent="0.4">
      <c r="A269" s="765"/>
      <c r="B269" s="51"/>
      <c r="C269" s="25" t="s">
        <v>187</v>
      </c>
      <c r="D269" s="1"/>
      <c r="E269" s="1"/>
      <c r="F269" s="1"/>
      <c r="G269" s="1"/>
      <c r="H269" s="69" t="s">
        <v>136</v>
      </c>
      <c r="I269" s="79"/>
      <c r="J269" s="79"/>
      <c r="K269" s="61"/>
      <c r="L269" s="54"/>
      <c r="M269" s="12"/>
      <c r="N269" s="12"/>
    </row>
    <row r="270" spans="1:14" s="4" customFormat="1" outlineLevel="1" x14ac:dyDescent="0.4">
      <c r="A270" s="765"/>
      <c r="B270" s="51"/>
      <c r="C270" s="166" t="s">
        <v>188</v>
      </c>
      <c r="D270" s="164" t="s">
        <v>151</v>
      </c>
      <c r="E270" s="164" t="s">
        <v>140</v>
      </c>
      <c r="F270" s="1"/>
      <c r="G270" s="1"/>
      <c r="H270" s="43"/>
      <c r="I270" s="34"/>
      <c r="J270" s="164" t="s">
        <v>141</v>
      </c>
      <c r="K270" s="44"/>
      <c r="L270" s="54"/>
    </row>
    <row r="271" spans="1:14" s="4" customFormat="1" outlineLevel="1" x14ac:dyDescent="0.4">
      <c r="A271" s="765"/>
      <c r="B271" s="51"/>
      <c r="C271" s="145"/>
      <c r="D271" s="141"/>
      <c r="E271" s="144"/>
      <c r="F271" s="1"/>
      <c r="G271" s="1"/>
      <c r="H271" s="43"/>
      <c r="I271" s="164" t="s">
        <v>189</v>
      </c>
      <c r="J271" s="31">
        <f>IFERROR(IF(E263="No",0,IF(D271="MWh",(E271*'Reference values'!$D$47*INDEX(Electricity_Emission_Factors,MATCH(C271,Electricity_Source,0)))/(D266*1000),IF(D271="kWh",(E271*'Reference values'!$D$47*INDEX(Electricity_Emission_Factors,MATCH(C271,Electricity_Source,0))/1000)/(D266*1000),IF(D271="MWh/tonne(output)",(E271*'Reference values'!$D$47*INDEX(Electricity_Emission_Factors,MATCH(C271,Electricity_Source,0)))/1000,IF(D271="kWh/tonne(output)",(E271*'Reference values'!$D$47*INDEX(Electricity_Emission_Factors,MATCH(C271,Electricity_Source,0))/1000)/1000,""))))),"")</f>
        <v>0</v>
      </c>
      <c r="K271" s="44"/>
      <c r="L271" s="54"/>
    </row>
    <row r="272" spans="1:14" s="4" customFormat="1" outlineLevel="1" x14ac:dyDescent="0.4">
      <c r="A272" s="765"/>
      <c r="B272" s="51"/>
      <c r="C272" s="1"/>
      <c r="D272" s="1"/>
      <c r="E272" s="1"/>
      <c r="F272" s="1"/>
      <c r="G272" s="1"/>
      <c r="H272" s="43"/>
      <c r="I272" s="34"/>
      <c r="J272" s="34"/>
      <c r="K272" s="44"/>
      <c r="L272" s="54"/>
    </row>
    <row r="273" spans="1:12" s="4" customFormat="1" outlineLevel="1" x14ac:dyDescent="0.4">
      <c r="A273" s="765"/>
      <c r="B273" s="51"/>
      <c r="C273" s="25" t="s">
        <v>190</v>
      </c>
      <c r="D273" s="1"/>
      <c r="E273" s="1"/>
      <c r="F273" s="1"/>
      <c r="G273" s="1"/>
      <c r="H273" s="43"/>
      <c r="I273" s="34"/>
      <c r="J273" s="34"/>
      <c r="K273" s="44"/>
      <c r="L273" s="54"/>
    </row>
    <row r="274" spans="1:12" s="4" customFormat="1" outlineLevel="1" x14ac:dyDescent="0.4">
      <c r="A274" s="765"/>
      <c r="B274" s="51"/>
      <c r="C274" s="164" t="s">
        <v>160</v>
      </c>
      <c r="D274" s="164" t="s">
        <v>151</v>
      </c>
      <c r="E274" s="164" t="s">
        <v>140</v>
      </c>
      <c r="F274" s="1"/>
      <c r="G274" s="1"/>
      <c r="H274" s="43"/>
      <c r="I274" s="164" t="s">
        <v>160</v>
      </c>
      <c r="J274" s="182" t="s">
        <v>141</v>
      </c>
      <c r="K274" s="44"/>
      <c r="L274" s="54"/>
    </row>
    <row r="275" spans="1:12" s="4" customFormat="1" outlineLevel="1" x14ac:dyDescent="0.4">
      <c r="A275" s="765"/>
      <c r="B275" s="51"/>
      <c r="C275" s="27" t="str">
        <f>IF(E264="Default", "Diesel", "")</f>
        <v>Diesel</v>
      </c>
      <c r="D275" s="74" t="str">
        <f>IF(E264="Default", "kWh/tonne(output)", "")</f>
        <v>kWh/tonne(output)</v>
      </c>
      <c r="E275" s="74">
        <f>IF(E264="Default", 3.881, "")</f>
        <v>3.8809999999999998</v>
      </c>
      <c r="F275" s="1"/>
      <c r="G275" s="1"/>
      <c r="H275" s="43"/>
      <c r="I275" s="27" t="str">
        <f>IF(C275&gt;0,C275,"")</f>
        <v>Diesel</v>
      </c>
      <c r="J275" s="31">
        <f>IF(E264="Actual","",IFERROR(IF(C275&gt;0,IF(ISBLANK(E275),"Insert data",IF(E263="No",0,(IF(D275="litres",(E275*(INDEX(Fuel_Densities,MATCH(C275,Fuels_for_Densities,0))/1000)*INDEX(Fuel_LHV,MATCH(C275,Fuels_for_LHV,0))*INDEX(Fuel_EFs,MATCH(C275,Fuels_for_EF,0)))/(D266*1000),(IF(D275="m3",(E275*(INDEX(Fuel_Densities,MATCH(C275,Fuels_for_Densities,0)))*INDEX(Fuel_LHV,MATCH(C275,Fuels_for_LHV,0))*INDEX(Fuel_EFs,MATCH(C275,Fuels_for_EF,0)))/(D266*1000),IF(D275="kg",(E275*INDEX(Fuel_LHV,MATCH(C275,Fuels_for_LHV,0))*INDEX(Fuel_EFs,MATCH(C275,Fuels_for_EF,0)))/(D266*1000),IF(D275="tonnes",(E275*INDEX(Fuel_LHV,MATCH(C275,Fuels_for_LHV,0))*1000*INDEX(Fuel_EFs,MATCH(C275,Fuels_for_EF,0)))/(D266*1000),IF(D275="MWh",(E275*'Reference values'!$D$47*INDEX(Fuel_EFs,MATCH(C275,Fuels_for_EF,0)))/(D266*1000),IF(D275="kWh",(E275*'Reference values'!$D$47*INDEX(Fuel_EFs,MATCH(C275,Fuels_for_EF,0))/1000)/(D266*1000),(IF(D275="litres/tonne(output)",(E275*(INDEX(Fuel_Densities,MATCH(C275,Fuels_for_Densities,0))/1000)*INDEX(Fuel_LHV,MATCH(C275,Fuels_for_LHV,0))*INDEX(Fuel_EFs,MATCH(C275,Fuels_for_EF,0)))/1000,(IF(D275="m3/tonne(output)",(E275*(INDEX(Fuel_Densities,MATCH(C275,Fuels_for_Densities,0)))*INDEX(Fuel_LHV,MATCH(C275,Fuels_for_LHV,0))*INDEX(Fuel_EFs,MATCH(C275,Fuels_for_EF,0)))/1000,IF(D275="kg/tonne(output)",(E275*INDEX(Fuel_LHV,MATCH(C275,Fuels_for_LHV,0))*INDEX(Fuel_EFs,MATCH(C275,Fuels_for_EF,0)))/1000,IF(D275="tonnes/tonne(output)",(E275*INDEX(Fuel_LHV,MATCH(C275,Fuels_for_LHV,0))*1000*INDEX(Fuel_EFs,MATCH(C275,Fuels_for_EF,0)))/1000,IF(D275="MWh/tonne(output)",(E275*'Reference values'!$D$47*INDEX(Fuel_EFs,MATCH(C275,Fuels_for_EF,0)))/1000,IF(D275="kWh/tonne(output)",(E275*'Reference values'!$D$47*INDEX(Fuel_EFs,MATCH(C275,Fuels_for_EF,0))/1000)/1000,"Insert unit")))))))))))))))))),""),"Insert data"))</f>
        <v>0</v>
      </c>
      <c r="K275" s="44"/>
      <c r="L275" s="54"/>
    </row>
    <row r="276" spans="1:12" s="4" customFormat="1" outlineLevel="1" x14ac:dyDescent="0.4">
      <c r="A276" s="765"/>
      <c r="B276" s="51"/>
      <c r="C276" s="134"/>
      <c r="D276" s="141"/>
      <c r="E276" s="144"/>
      <c r="F276" s="1"/>
      <c r="G276" s="1"/>
      <c r="H276" s="43"/>
      <c r="I276" s="27" t="str">
        <f>IF(C276&gt;0,C276,"")</f>
        <v/>
      </c>
      <c r="J276" s="31" t="str">
        <f>IFERROR(IF(C276&gt;0,IF(ISBLANK(E276),"Insert data",IF(E263="No",0,(IF(D276="litres",(E276*(INDEX(Fuel_Densities,MATCH(C276,Fuels_for_Densities,0))/1000)*INDEX(Fuel_LHV,MATCH(C276,Fuels_for_LHV,0))*INDEX(Fuel_EFs,MATCH(C276,Fuels_for_EF,0)))/(D266*1000),(IF(D276="m3",(E276*(INDEX(Fuel_Densities,MATCH(C276,Fuels_for_Densities,0)))*INDEX(Fuel_LHV,MATCH(C276,Fuels_for_LHV,0))*INDEX(Fuel_EFs,MATCH(C276,Fuels_for_EF,0)))/(D266*1000),IF(D276="kg",(E276*INDEX(Fuel_LHV,MATCH(C276,Fuels_for_LHV,0))*INDEX(Fuel_EFs,MATCH(C276,Fuels_for_EF,0)))/(D266*1000),IF(D276="tonnes",(E276*INDEX(Fuel_LHV,MATCH(C276,Fuels_for_LHV,0))*1000*INDEX(Fuel_EFs,MATCH(C276,Fuels_for_EF,0)))/(D266*1000),IF(D276="MWh",(E276*'Reference values'!$D$47*INDEX(Fuel_EFs,MATCH(C276,Fuels_for_EF,0)))/(D266*1000),IF(D276="kWh",(E276*'Reference values'!$D$47*INDEX(Fuel_EFs,MATCH(C276,Fuels_for_EF,0))/1000)/(D266*1000),(IF(D276="litres/tonne(output)",(E276*(INDEX(Fuel_Densities,MATCH(C276,Fuels_for_Densities,0))/1000)*INDEX(Fuel_LHV,MATCH(C276,Fuels_for_LHV,0))*INDEX(Fuel_EFs,MATCH(C276,Fuels_for_EF,0)))/1000,(IF(D276="m3/tonne(output)",(E276*(INDEX(Fuel_Densities,MATCH(C276,Fuels_for_Densities,0)))*INDEX(Fuel_LHV,MATCH(C276,Fuels_for_LHV,0))*INDEX(Fuel_EFs,MATCH(C276,Fuels_for_EF,0)))/1000,IF(D276="kg/tonne(output)",(E276*INDEX(Fuel_LHV,MATCH(C276,Fuels_for_LHV,0))*INDEX(Fuel_EFs,MATCH(C276,Fuels_for_EF,0)))/1000,IF(D276="tonnes/tonne(output)",(E276*INDEX(Fuel_LHV,MATCH(C276,Fuels_for_LHV,0))*1000*INDEX(Fuel_EFs,MATCH(C276,Fuels_for_EF,0)))/1000,IF(D276="MWh/tonne(output)",(E276*'Reference values'!$D$47*INDEX(Fuel_EFs,MATCH(C276,Fuels_for_EF,0)))/1000,IF(D276="kWh/tonne(output)",(E276*'Reference values'!$D$47*INDEX(Fuel_EFs,MATCH(C276,Fuels_for_EF,0))/1000)/1000,"Insert unit")))))))))))))))))),""),"Insert data")</f>
        <v/>
      </c>
      <c r="K276" s="44"/>
      <c r="L276" s="54"/>
    </row>
    <row r="277" spans="1:12" s="4" customFormat="1" outlineLevel="1" x14ac:dyDescent="0.4">
      <c r="A277" s="765"/>
      <c r="B277" s="51"/>
      <c r="C277" s="134"/>
      <c r="D277" s="141"/>
      <c r="E277" s="144"/>
      <c r="F277" s="1"/>
      <c r="G277" s="1"/>
      <c r="H277" s="43"/>
      <c r="I277" s="27" t="str">
        <f>IF(C277&gt;0,C277,"")</f>
        <v/>
      </c>
      <c r="J277" s="31" t="str">
        <f>IFERROR(IF(C277&gt;0,IF(ISBLANK(E277),"Insert data",IF(E263="No",0,(IF(D277="litres",(E277*(INDEX(Fuel_Densities,MATCH(C277,Fuels_for_Densities,0))/1000)*INDEX(Fuel_LHV,MATCH(C277,Fuels_for_LHV,0))*INDEX(Fuel_EFs,MATCH(C277,Fuels_for_EF,0)))/(D266*1000),(IF(D277="m3",(E277*(INDEX(Fuel_Densities,MATCH(C277,Fuels_for_Densities,0)))*INDEX(Fuel_LHV,MATCH(C277,Fuels_for_LHV,0))*INDEX(Fuel_EFs,MATCH(C277,Fuels_for_EF,0)))/(D266*1000),IF(D277="kg",(E277*INDEX(Fuel_LHV,MATCH(C277,Fuels_for_LHV,0))*INDEX(Fuel_EFs,MATCH(C277,Fuels_for_EF,0)))/(D266*1000),IF(D277="tonnes",(E277*INDEX(Fuel_LHV,MATCH(C277,Fuels_for_LHV,0))*1000*INDEX(Fuel_EFs,MATCH(C277,Fuels_for_EF,0)))/(D266*1000),IF(D277="MWh",(E277*'Reference values'!$D$47*INDEX(Fuel_EFs,MATCH(C277,Fuels_for_EF,0)))/(D266*1000),IF(D277="kWh",(E277*'Reference values'!$D$47*INDEX(Fuel_EFs,MATCH(C277,Fuels_for_EF,0))/1000)/(D266*1000),(IF(D277="litres/tonne(output)",(E277*(INDEX(Fuel_Densities,MATCH(C277,Fuels_for_Densities,0))/1000)*INDEX(Fuel_LHV,MATCH(C277,Fuels_for_LHV,0))*INDEX(Fuel_EFs,MATCH(C277,Fuels_for_EF,0)))/1000,(IF(D277="m3/tonne(output)",(E277*(INDEX(Fuel_Densities,MATCH(C277,Fuels_for_Densities,0)))*INDEX(Fuel_LHV,MATCH(C277,Fuels_for_LHV,0))*INDEX(Fuel_EFs,MATCH(C277,Fuels_for_EF,0)))/1000,IF(D277="kg/tonne(output)",(E277*INDEX(Fuel_LHV,MATCH(C277,Fuels_for_LHV,0))*INDEX(Fuel_EFs,MATCH(C277,Fuels_for_EF,0)))/1000,IF(D277="tonnes/tonne(output)",(E277*INDEX(Fuel_LHV,MATCH(C277,Fuels_for_LHV,0))*1000*INDEX(Fuel_EFs,MATCH(C277,Fuels_for_EF,0)))/1000,IF(D277="MWh/tonne(output)",(E277*'Reference values'!$D$47*INDEX(Fuel_EFs,MATCH(C277,Fuels_for_EF,0)))/1000,IF(D277="kWh/tonne(output)",(E277*'Reference values'!$D$47*INDEX(Fuel_EFs,MATCH(C277,Fuels_for_EF,0))/1000)/1000,"Insert unit")))))))))))))))))),""),"Insert data")</f>
        <v/>
      </c>
      <c r="K277" s="44"/>
      <c r="L277" s="54"/>
    </row>
    <row r="278" spans="1:12" s="4" customFormat="1" outlineLevel="1" x14ac:dyDescent="0.4">
      <c r="A278" s="765"/>
      <c r="B278" s="51"/>
      <c r="C278" s="134"/>
      <c r="D278" s="141"/>
      <c r="E278" s="144"/>
      <c r="F278" s="1"/>
      <c r="G278" s="1"/>
      <c r="H278" s="43"/>
      <c r="I278" s="27" t="str">
        <f>IF(C278&gt;0,C278,"")</f>
        <v/>
      </c>
      <c r="J278" s="31" t="str">
        <f>IFERROR(IF(C278&gt;0,IF(ISBLANK(E278),"Insert data",IF(E263="No",0,(IF(D278="litres",(E278*(INDEX(Fuel_Densities,MATCH(C278,Fuels_for_Densities,0))/1000)*INDEX(Fuel_LHV,MATCH(C278,Fuels_for_LHV,0))*INDEX(Fuel_EFs,MATCH(C278,Fuels_for_EF,0)))/(D266*1000),(IF(D278="m3",(E278*(INDEX(Fuel_Densities,MATCH(C278,Fuels_for_Densities,0)))*INDEX(Fuel_LHV,MATCH(C278,Fuels_for_LHV,0))*INDEX(Fuel_EFs,MATCH(C278,Fuels_for_EF,0)))/(D266*1000),IF(D278="kg",(E278*INDEX(Fuel_LHV,MATCH(C278,Fuels_for_LHV,0))*INDEX(Fuel_EFs,MATCH(C278,Fuels_for_EF,0)))/(D266*1000),IF(D278="tonnes",(E278*INDEX(Fuel_LHV,MATCH(C278,Fuels_for_LHV,0))*1000*INDEX(Fuel_EFs,MATCH(C278,Fuels_for_EF,0)))/(D266*1000),IF(D278="MWh",(E278*'Reference values'!$D$47*INDEX(Fuel_EFs,MATCH(C278,Fuels_for_EF,0)))/(D266*1000),IF(D278="kWh",(E278*'Reference values'!$D$47*INDEX(Fuel_EFs,MATCH(C278,Fuels_for_EF,0))/1000)/(D266*1000),(IF(D278="litres/tonne(output)",(E278*(INDEX(Fuel_Densities,MATCH(C278,Fuels_for_Densities,0))/1000)*INDEX(Fuel_LHV,MATCH(C278,Fuels_for_LHV,0))*INDEX(Fuel_EFs,MATCH(C278,Fuels_for_EF,0)))/1000,(IF(D278="m3/tonne(output)",(E278*(INDEX(Fuel_Densities,MATCH(C278,Fuels_for_Densities,0)))*INDEX(Fuel_LHV,MATCH(C278,Fuels_for_LHV,0))*INDEX(Fuel_EFs,MATCH(C278,Fuels_for_EF,0)))/1000,IF(D278="kg/tonne(output)",(E278*INDEX(Fuel_LHV,MATCH(C278,Fuels_for_LHV,0))*INDEX(Fuel_EFs,MATCH(C278,Fuels_for_EF,0)))/1000,IF(D278="tonnes/tonne(output)",(E278*INDEX(Fuel_LHV,MATCH(C278,Fuels_for_LHV,0))*1000*INDEX(Fuel_EFs,MATCH(C278,Fuels_for_EF,0)))/1000,IF(D278="MWh/tonne(output)",(E278*'Reference values'!$D$47*INDEX(Fuel_EFs,MATCH(C278,Fuels_for_EF,0)))/1000,IF(D278="kWh/tonne(output)",(E278*'Reference values'!$D$47*INDEX(Fuel_EFs,MATCH(C278,Fuels_for_EF,0))/1000)/1000,"Insert unit")))))))))))))))))),""),"Insert data")</f>
        <v/>
      </c>
      <c r="K278" s="44"/>
      <c r="L278" s="54"/>
    </row>
    <row r="279" spans="1:12" s="4" customFormat="1" outlineLevel="1" x14ac:dyDescent="0.4">
      <c r="A279" s="765"/>
      <c r="B279" s="51"/>
      <c r="C279" s="1"/>
      <c r="D279" s="1"/>
      <c r="E279" s="1"/>
      <c r="F279" s="1"/>
      <c r="G279" s="53"/>
      <c r="H279" s="56"/>
      <c r="I279" s="57"/>
      <c r="J279" s="34"/>
      <c r="K279" s="44"/>
      <c r="L279" s="54"/>
    </row>
    <row r="280" spans="1:12" s="4" customFormat="1" outlineLevel="1" x14ac:dyDescent="0.4">
      <c r="A280" s="765"/>
      <c r="B280" s="51"/>
      <c r="C280" s="25" t="s">
        <v>191</v>
      </c>
      <c r="D280" s="1"/>
      <c r="E280" s="1"/>
      <c r="F280" s="1"/>
      <c r="G280" s="53"/>
      <c r="H280" s="56"/>
      <c r="I280" s="34"/>
      <c r="J280" s="34"/>
      <c r="K280" s="44"/>
      <c r="L280" s="54"/>
    </row>
    <row r="281" spans="1:12" s="4" customFormat="1" outlineLevel="1" x14ac:dyDescent="0.4">
      <c r="A281" s="765"/>
      <c r="B281" s="51"/>
      <c r="C281" s="164" t="s">
        <v>192</v>
      </c>
      <c r="D281" s="164" t="s">
        <v>151</v>
      </c>
      <c r="E281" s="164" t="s">
        <v>140</v>
      </c>
      <c r="F281" s="1"/>
      <c r="G281" s="1"/>
      <c r="H281" s="43"/>
      <c r="I281" s="164" t="s">
        <v>192</v>
      </c>
      <c r="J281" s="182" t="s">
        <v>141</v>
      </c>
      <c r="K281" s="44"/>
      <c r="L281" s="54"/>
    </row>
    <row r="282" spans="1:12" s="4" customFormat="1" outlineLevel="1" x14ac:dyDescent="0.4">
      <c r="A282" s="765"/>
      <c r="B282" s="51"/>
      <c r="C282" s="134"/>
      <c r="D282" s="141"/>
      <c r="E282" s="144"/>
      <c r="F282" s="1"/>
      <c r="G282" s="1"/>
      <c r="H282" s="43"/>
      <c r="I282" s="27" t="str">
        <f t="shared" ref="I282:I289" si="5">IF(C282&gt;0,C282,"")</f>
        <v/>
      </c>
      <c r="J282" s="31" t="str">
        <f>IFERROR(IF(C282&gt;0,IF(ISBLANK(E282),"Insert data",IF(E263="No",0,IF(D282="kg",E282*INDEX(Chemical_Emission_Factors,MATCH(C282,Chemicals,0))/(D266*1000),IF(D282="tonnes",E282*INDEX(Chemical_Emission_Factors,MATCH(C282,Chemicals,0))*1000/(D266*1000),IF(D282="kg/tonne(output)",E282*INDEX(Chemical_Emission_Factors,MATCH(C282,Chemicals,0))/1000,IF(D282="tonnes/tonne(output)",E282*INDEX(Chemical_Emission_Factors,MATCH(C282,Chemicals,0))*1000/1000,"Insert unit")))))),""),"Insert data")</f>
        <v/>
      </c>
      <c r="K282" s="44"/>
      <c r="L282" s="54"/>
    </row>
    <row r="283" spans="1:12" s="4" customFormat="1" outlineLevel="1" x14ac:dyDescent="0.4">
      <c r="A283" s="765"/>
      <c r="B283" s="51"/>
      <c r="C283" s="134"/>
      <c r="D283" s="141"/>
      <c r="E283" s="144"/>
      <c r="F283" s="1"/>
      <c r="G283" s="1"/>
      <c r="H283" s="43"/>
      <c r="I283" s="27" t="str">
        <f t="shared" si="5"/>
        <v/>
      </c>
      <c r="J283" s="31" t="str">
        <f>IFERROR(IF(C283&gt;0,IF(ISBLANK(E283),"Insert data",IF(E263="No",0,IF(D283="kg",E283*INDEX(Chemical_Emission_Factors,MATCH(C283,Chemicals,0))/(D266*1000),IF(D283="tonnes",E283*INDEX(Chemical_Emission_Factors,MATCH(C283,Chemicals,0))*1000/(D266*1000),IF(D283="kg/tonne(output)",E283*INDEX(Chemical_Emission_Factors,MATCH(C283,Chemicals,0))/1000,IF(D283="tonnes/tonne(output)",E283*INDEX(Chemical_Emission_Factors,MATCH(C283,Chemicals,0))*1000/1000,"Insert unit")))))),""),"Insert data")</f>
        <v/>
      </c>
      <c r="K283" s="44"/>
      <c r="L283" s="54"/>
    </row>
    <row r="284" spans="1:12" s="4" customFormat="1" outlineLevel="1" x14ac:dyDescent="0.4">
      <c r="A284" s="765"/>
      <c r="B284" s="51"/>
      <c r="C284" s="134"/>
      <c r="D284" s="141"/>
      <c r="E284" s="144"/>
      <c r="F284" s="1"/>
      <c r="G284" s="1"/>
      <c r="H284" s="43"/>
      <c r="I284" s="27" t="str">
        <f t="shared" si="5"/>
        <v/>
      </c>
      <c r="J284" s="31" t="str">
        <f>IFERROR(IF(C284&gt;0,IF(ISBLANK(E284),"Insert data",IF(E263="No",0,IF(D284="kg",E284*INDEX(Chemical_Emission_Factors,MATCH(C284,Chemicals,0))/(D266*1000),IF(D284="tonnes",E284*INDEX(Chemical_Emission_Factors,MATCH(C284,Chemicals,0))*1000/(D266*1000),IF(D284="kg/tonne(output)",E284*INDEX(Chemical_Emission_Factors,MATCH(C284,Chemicals,0))/1000,IF(D284="tonnes/tonne(output)",E284*INDEX(Chemical_Emission_Factors,MATCH(C284,Chemicals,0))*1000/1000,"Insert unit")))))),""),"Insert data")</f>
        <v/>
      </c>
      <c r="K284" s="44"/>
      <c r="L284" s="54"/>
    </row>
    <row r="285" spans="1:12" s="4" customFormat="1" outlineLevel="1" x14ac:dyDescent="0.4">
      <c r="A285" s="765"/>
      <c r="B285" s="51"/>
      <c r="C285" s="134"/>
      <c r="D285" s="141"/>
      <c r="E285" s="144"/>
      <c r="F285" s="1"/>
      <c r="G285" s="1"/>
      <c r="H285" s="43"/>
      <c r="I285" s="27" t="str">
        <f t="shared" si="5"/>
        <v/>
      </c>
      <c r="J285" s="31" t="str">
        <f>IFERROR(IF(C285&gt;0,IF(ISBLANK(E285),"Insert data",IF(E263="No",0,IF(D285="kg",E285*INDEX(Chemical_Emission_Factors,MATCH(C285,Chemicals,0))/(D266*1000),IF(D285="tonnes",E285*INDEX(Chemical_Emission_Factors,MATCH(C285,Chemicals,0))*1000/(D266*1000),IF(D285="kg/tonne(output)",E285*INDEX(Chemical_Emission_Factors,MATCH(C285,Chemicals,0))/1000,IF(D285="tonnes/tonne(output)",E285*INDEX(Chemical_Emission_Factors,MATCH(C285,Chemicals,0))*1000/1000,"Insert unit")))))),""),"Insert data")</f>
        <v/>
      </c>
      <c r="K285" s="44"/>
      <c r="L285" s="54"/>
    </row>
    <row r="286" spans="1:12" s="4" customFormat="1" outlineLevel="1" x14ac:dyDescent="0.4">
      <c r="A286" s="765"/>
      <c r="B286" s="51"/>
      <c r="C286" s="134"/>
      <c r="D286" s="141"/>
      <c r="E286" s="144"/>
      <c r="F286" s="1"/>
      <c r="G286" s="1"/>
      <c r="H286" s="43"/>
      <c r="I286" s="27" t="str">
        <f t="shared" si="5"/>
        <v/>
      </c>
      <c r="J286" s="31" t="str">
        <f>IFERROR(IF(C286&gt;0,IF(ISBLANK(E286),"Insert data",IF(E263="No",0,IF(D286="kg",E286*INDEX(Chemical_Emission_Factors,MATCH(C286,Chemicals,0))/(D266*1000),IF(D286="tonnes",E286*INDEX(Chemical_Emission_Factors,MATCH(C286,Chemicals,0))*1000/(D266*1000),IF(D286="kg/tonne(output)",E286*INDEX(Chemical_Emission_Factors,MATCH(C286,Chemicals,0))/1000,IF(D286="tonnes/tonne(output)",E286*INDEX(Chemical_Emission_Factors,MATCH(C286,Chemicals,0))*1000/1000,"Insert unit")))))),""),"Insert data")</f>
        <v/>
      </c>
      <c r="K286" s="44"/>
      <c r="L286" s="54"/>
    </row>
    <row r="287" spans="1:12" s="4" customFormat="1" outlineLevel="1" x14ac:dyDescent="0.4">
      <c r="A287" s="765"/>
      <c r="B287" s="51"/>
      <c r="C287" s="134"/>
      <c r="D287" s="141"/>
      <c r="E287" s="144"/>
      <c r="F287" s="1"/>
      <c r="G287" s="1"/>
      <c r="H287" s="43"/>
      <c r="I287" s="27" t="str">
        <f t="shared" si="5"/>
        <v/>
      </c>
      <c r="J287" s="31" t="str">
        <f>IFERROR(IF(C287&gt;0,IF(ISBLANK(E287),"Insert data",IF(E263="No",0,IF(D287="kg",E287*INDEX(Chemical_Emission_Factors,MATCH(C287,Chemicals,0))/(D266*1000),IF(D287="tonnes",E287*INDEX(Chemical_Emission_Factors,MATCH(C287,Chemicals,0))*1000/(D266*1000),IF(D287="kg/tonne(output)",E287*INDEX(Chemical_Emission_Factors,MATCH(C287,Chemicals,0))/1000,IF(D287="tonnes/tonne(output)",E287*INDEX(Chemical_Emission_Factors,MATCH(C287,Chemicals,0))*1000/1000,"Insert unit")))))),""),"Insert data")</f>
        <v/>
      </c>
      <c r="K287" s="44"/>
      <c r="L287" s="54"/>
    </row>
    <row r="288" spans="1:12" s="4" customFormat="1" outlineLevel="1" x14ac:dyDescent="0.4">
      <c r="A288" s="765"/>
      <c r="B288" s="51"/>
      <c r="C288" s="134"/>
      <c r="D288" s="141"/>
      <c r="E288" s="144"/>
      <c r="F288" s="1"/>
      <c r="G288" s="1"/>
      <c r="H288" s="43"/>
      <c r="I288" s="27" t="str">
        <f t="shared" si="5"/>
        <v/>
      </c>
      <c r="J288" s="31" t="str">
        <f>IFERROR(IF(C288&gt;0,IF(ISBLANK(E288),"Insert data",IF(E263="No",0,IF(D288="kg",E288*INDEX(Chemical_Emission_Factors,MATCH(C288,Chemicals,0))/(D266*1000),IF(D288="tonnes",E288*INDEX(Chemical_Emission_Factors,MATCH(C288,Chemicals,0))*1000/(D266*1000),IF(D288="kg/tonne(output)",E288*INDEX(Chemical_Emission_Factors,MATCH(C288,Chemicals,0))/1000,IF(D288="tonnes/tonne(output)",E288*INDEX(Chemical_Emission_Factors,MATCH(C288,Chemicals,0))*1000/1000,"Insert unit")))))),""),"Insert data")</f>
        <v/>
      </c>
      <c r="K288" s="44"/>
      <c r="L288" s="54"/>
    </row>
    <row r="289" spans="1:12" s="4" customFormat="1" outlineLevel="1" x14ac:dyDescent="0.4">
      <c r="A289" s="765"/>
      <c r="B289" s="51"/>
      <c r="C289" s="134"/>
      <c r="D289" s="141"/>
      <c r="E289" s="144"/>
      <c r="F289" s="1"/>
      <c r="G289" s="1"/>
      <c r="H289" s="43"/>
      <c r="I289" s="27" t="str">
        <f t="shared" si="5"/>
        <v/>
      </c>
      <c r="J289" s="31" t="str">
        <f>IFERROR(IF(C289&gt;0,IF(ISBLANK(E289),"Insert data",IF(E263="No",0,IF(D289="kg",E289*INDEX(Chemical_Emission_Factors,MATCH(C289,Chemicals,0))/(D266*1000),IF(D289="tonnes",E289*INDEX(Chemical_Emission_Factors,MATCH(C289,Chemicals,0))*1000/(D266*1000),IF(D289="kg/tonne(output)",E289*INDEX(Chemical_Emission_Factors,MATCH(C289,Chemicals,0))/1000,IF(D289="tonnes/tonne(output)",E289*INDEX(Chemical_Emission_Factors,MATCH(C289,Chemicals,0))*1000/1000,"Insert unit")))))),""),"Insert data")</f>
        <v/>
      </c>
      <c r="K289" s="44"/>
      <c r="L289" s="54"/>
    </row>
    <row r="290" spans="1:12" s="4" customFormat="1" ht="12.75" customHeight="1" outlineLevel="1" x14ac:dyDescent="0.4">
      <c r="B290" s="20"/>
      <c r="C290" s="21"/>
      <c r="D290" s="21"/>
      <c r="E290" s="21"/>
      <c r="F290" s="1"/>
      <c r="G290" s="21"/>
      <c r="H290" s="46"/>
      <c r="I290" s="58"/>
      <c r="J290" s="58"/>
      <c r="K290" s="59"/>
      <c r="L290" s="35"/>
    </row>
    <row r="291" spans="1:12" s="4" customFormat="1" outlineLevel="1" x14ac:dyDescent="0.4">
      <c r="B291" s="20"/>
      <c r="C291" s="243" t="s">
        <v>193</v>
      </c>
      <c r="D291" s="21"/>
      <c r="E291" s="21"/>
      <c r="F291" s="1"/>
      <c r="G291" s="21"/>
      <c r="H291" s="21"/>
      <c r="I291" s="21"/>
      <c r="J291" s="21"/>
      <c r="K291" s="21"/>
      <c r="L291" s="35"/>
    </row>
    <row r="292" spans="1:12" s="4" customFormat="1" outlineLevel="1" x14ac:dyDescent="0.4">
      <c r="B292" s="20"/>
      <c r="C292" s="766" t="s">
        <v>194</v>
      </c>
      <c r="D292" s="767"/>
      <c r="E292" s="299" t="s">
        <v>178</v>
      </c>
      <c r="F292" s="1"/>
      <c r="G292" s="21"/>
      <c r="H292" s="302"/>
      <c r="I292" s="47"/>
      <c r="J292" s="47"/>
      <c r="K292" s="45"/>
      <c r="L292" s="35"/>
    </row>
    <row r="293" spans="1:12" s="4" customFormat="1" ht="6.75" customHeight="1" outlineLevel="1" x14ac:dyDescent="0.4">
      <c r="B293" s="20"/>
      <c r="C293" s="21"/>
      <c r="D293" s="21"/>
      <c r="E293" s="21"/>
      <c r="F293" s="1"/>
      <c r="G293" s="21"/>
      <c r="H293" s="41"/>
      <c r="I293" s="36"/>
      <c r="J293" s="301"/>
      <c r="K293" s="37"/>
      <c r="L293" s="35"/>
    </row>
    <row r="294" spans="1:12" s="4" customFormat="1" outlineLevel="1" x14ac:dyDescent="0.4">
      <c r="B294" s="20"/>
      <c r="C294" s="21"/>
      <c r="D294" s="164" t="s">
        <v>151</v>
      </c>
      <c r="E294" s="164" t="s">
        <v>140</v>
      </c>
      <c r="F294" s="1"/>
      <c r="G294" s="21"/>
      <c r="H294" s="41"/>
      <c r="I294" s="36"/>
      <c r="J294" s="164" t="s">
        <v>195</v>
      </c>
      <c r="K294" s="37"/>
      <c r="L294" s="35"/>
    </row>
    <row r="295" spans="1:12" s="4" customFormat="1" outlineLevel="1" x14ac:dyDescent="0.4">
      <c r="B295" s="20"/>
      <c r="C295" s="164" t="s">
        <v>196</v>
      </c>
      <c r="D295" s="297" t="s">
        <v>197</v>
      </c>
      <c r="E295" s="299"/>
      <c r="F295" s="1"/>
      <c r="G295" s="21"/>
      <c r="H295" s="41"/>
      <c r="I295" s="164" t="s">
        <v>198</v>
      </c>
      <c r="J295" s="309" t="str">
        <f>IFERROR(IF(E292="No", "", IF(AND(E292="yes",OR(ISBLANK(E295),ISBLANK(E296),ISBLANK(E297))),"Insert data",E296/(E296+E297*E295))), "")</f>
        <v/>
      </c>
      <c r="K295" s="37"/>
      <c r="L295" s="35"/>
    </row>
    <row r="296" spans="1:12" s="4" customFormat="1" outlineLevel="1" x14ac:dyDescent="0.4">
      <c r="B296" s="20"/>
      <c r="C296" s="164" t="s">
        <v>199</v>
      </c>
      <c r="D296" s="296" t="s">
        <v>200</v>
      </c>
      <c r="E296" s="299"/>
      <c r="F296" s="1"/>
      <c r="G296" s="21"/>
      <c r="H296" s="41"/>
      <c r="I296" s="164" t="s">
        <v>201</v>
      </c>
      <c r="J296" s="309" t="str">
        <f>IFERROR(IF(E292="No", "", IF(AND(E292="yes",OR(ISBLANK(E295),ISBLANK(E296),ISBLANK(E297))),"Insert data",(E297*E295)/(E297*E295+E296))),"")</f>
        <v/>
      </c>
      <c r="K296" s="37"/>
      <c r="L296" s="35"/>
    </row>
    <row r="297" spans="1:12" s="4" customFormat="1" outlineLevel="1" x14ac:dyDescent="0.4">
      <c r="B297" s="20"/>
      <c r="C297" s="164" t="s">
        <v>202</v>
      </c>
      <c r="D297" s="296" t="s">
        <v>200</v>
      </c>
      <c r="E297" s="299"/>
      <c r="F297" s="1"/>
      <c r="G297" s="21"/>
      <c r="H297" s="46"/>
      <c r="I297" s="58"/>
      <c r="J297" s="58"/>
      <c r="K297" s="59"/>
      <c r="L297" s="35"/>
    </row>
    <row r="298" spans="1:12" s="4" customFormat="1" ht="6.75" customHeight="1" outlineLevel="1" x14ac:dyDescent="0.4">
      <c r="B298" s="20"/>
      <c r="C298" s="21"/>
      <c r="D298" s="21"/>
      <c r="E298" s="21"/>
      <c r="F298" s="21"/>
      <c r="G298" s="21"/>
      <c r="H298" s="21"/>
      <c r="I298" s="21"/>
      <c r="J298" s="21"/>
      <c r="K298" s="21"/>
      <c r="L298" s="35"/>
    </row>
    <row r="299" spans="1:12" s="4" customFormat="1" ht="12.75" customHeight="1" outlineLevel="1" x14ac:dyDescent="0.4">
      <c r="B299" s="20"/>
      <c r="C299" s="300" t="s">
        <v>203</v>
      </c>
      <c r="D299" s="21"/>
      <c r="E299" s="21"/>
      <c r="F299" s="21"/>
      <c r="G299" s="21"/>
      <c r="H299" s="21"/>
      <c r="I299" s="21"/>
      <c r="J299" s="21"/>
      <c r="K299" s="21"/>
      <c r="L299" s="35"/>
    </row>
    <row r="300" spans="1:12" s="4" customFormat="1" ht="12.75" customHeight="1" outlineLevel="1" x14ac:dyDescent="0.4">
      <c r="B300" s="20"/>
      <c r="C300" s="300" t="s">
        <v>204</v>
      </c>
      <c r="D300" s="21"/>
      <c r="E300" s="21"/>
      <c r="F300" s="21"/>
      <c r="G300" s="21"/>
      <c r="H300" s="21"/>
      <c r="I300" s="21"/>
      <c r="J300" s="21"/>
      <c r="K300" s="21"/>
      <c r="L300" s="35"/>
    </row>
    <row r="301" spans="1:12" s="4" customFormat="1" ht="6.75" customHeight="1" outlineLevel="1" x14ac:dyDescent="0.4">
      <c r="B301" s="28"/>
      <c r="C301" s="298"/>
      <c r="D301" s="29"/>
      <c r="E301" s="29"/>
      <c r="F301" s="29"/>
      <c r="G301" s="29"/>
      <c r="H301" s="29"/>
      <c r="I301" s="29"/>
      <c r="J301" s="29"/>
      <c r="K301" s="29"/>
      <c r="L301" s="60"/>
    </row>
    <row r="302" spans="1:12" s="4" customFormat="1" x14ac:dyDescent="0.4"/>
    <row r="303" spans="1:12" s="4" customFormat="1" hidden="1" x14ac:dyDescent="0.4"/>
    <row r="304" spans="1:12" s="4" customFormat="1" hidden="1" x14ac:dyDescent="0.4"/>
    <row r="305" spans="1:14" s="4" customFormat="1" hidden="1" x14ac:dyDescent="0.4"/>
    <row r="306" spans="1:14" s="4" customFormat="1" hidden="1" x14ac:dyDescent="0.4"/>
    <row r="307" spans="1:14" s="4" customFormat="1" hidden="1" x14ac:dyDescent="0.4"/>
    <row r="308" spans="1:14" s="4" customFormat="1" ht="19.2" x14ac:dyDescent="0.45">
      <c r="B308" s="754" t="str">
        <f>"Feedstock Conversion"&amp;" - "&amp;Feedstocks!C17</f>
        <v xml:space="preserve">Feedstock Conversion - </v>
      </c>
      <c r="C308" s="755"/>
      <c r="D308" s="755"/>
      <c r="E308" s="755"/>
      <c r="F308" s="755"/>
      <c r="G308" s="755"/>
      <c r="H308" s="755"/>
      <c r="I308" s="755"/>
      <c r="J308" s="755"/>
      <c r="K308" s="755"/>
      <c r="L308" s="756"/>
    </row>
    <row r="309" spans="1:14" s="4" customFormat="1" outlineLevel="1" x14ac:dyDescent="0.4">
      <c r="B309" s="17"/>
      <c r="C309" s="19"/>
      <c r="D309" s="19"/>
      <c r="E309" s="19"/>
      <c r="F309" s="19"/>
      <c r="G309" s="19"/>
      <c r="H309" s="19"/>
      <c r="I309" s="19"/>
      <c r="J309" s="19"/>
      <c r="K309" s="19"/>
      <c r="L309" s="50"/>
    </row>
    <row r="310" spans="1:14" s="4" customFormat="1" outlineLevel="1" x14ac:dyDescent="0.4">
      <c r="B310" s="20"/>
      <c r="C310" s="21"/>
      <c r="D310" s="760"/>
      <c r="E310" s="762"/>
      <c r="F310" s="21"/>
      <c r="G310" s="1"/>
      <c r="H310" s="69" t="s">
        <v>122</v>
      </c>
      <c r="I310" s="47"/>
      <c r="J310" s="47"/>
      <c r="K310" s="45"/>
      <c r="L310" s="35"/>
    </row>
    <row r="311" spans="1:14" s="4" customFormat="1" outlineLevel="1" x14ac:dyDescent="0.4">
      <c r="B311" s="20"/>
      <c r="C311" s="160" t="s">
        <v>123</v>
      </c>
      <c r="D311" s="753" t="str">
        <f>IF(Feedstocks!$H$17&gt;0,Feedstocks!$H$17,"")</f>
        <v/>
      </c>
      <c r="E311" s="753"/>
      <c r="F311" s="21"/>
      <c r="G311" s="76"/>
      <c r="H311" s="41"/>
      <c r="I311" s="36"/>
      <c r="J311" s="164" t="s">
        <v>124</v>
      </c>
      <c r="K311" s="37"/>
      <c r="L311" s="35"/>
    </row>
    <row r="312" spans="1:14" s="4" customFormat="1" outlineLevel="1" x14ac:dyDescent="0.4">
      <c r="B312" s="20"/>
      <c r="C312" s="21"/>
      <c r="D312" s="21"/>
      <c r="E312" s="21"/>
      <c r="F312" s="21"/>
      <c r="G312" s="21"/>
      <c r="H312" s="41"/>
      <c r="I312" s="164" t="s">
        <v>125</v>
      </c>
      <c r="J312" s="52" t="str">
        <f>IFERROR((J316/('Transport 2'!F319*('Digestion &amp; outputs'!$G$22/1000)))*'Digestion &amp; outputs'!$K$23,"")</f>
        <v/>
      </c>
      <c r="K312" s="37"/>
      <c r="L312" s="35"/>
    </row>
    <row r="313" spans="1:14" s="4" customFormat="1" ht="16.5" customHeight="1" outlineLevel="1" x14ac:dyDescent="0.4">
      <c r="B313" s="20"/>
      <c r="C313" s="759" t="s">
        <v>183</v>
      </c>
      <c r="D313" s="759"/>
      <c r="E313" s="134" t="s">
        <v>178</v>
      </c>
      <c r="F313" s="21"/>
      <c r="G313" s="21"/>
      <c r="H313" s="41"/>
      <c r="I313" s="36"/>
      <c r="J313" s="36"/>
      <c r="K313" s="37"/>
      <c r="L313" s="35"/>
    </row>
    <row r="314" spans="1:14" s="4" customFormat="1" outlineLevel="1" x14ac:dyDescent="0.4">
      <c r="B314" s="20"/>
      <c r="C314" s="763" t="s">
        <v>184</v>
      </c>
      <c r="D314" s="764"/>
      <c r="E314" s="134" t="s">
        <v>96</v>
      </c>
      <c r="F314" s="21"/>
      <c r="G314" s="21"/>
      <c r="H314" s="41"/>
      <c r="I314" s="36"/>
      <c r="J314" s="36"/>
      <c r="K314" s="37"/>
      <c r="L314" s="35"/>
    </row>
    <row r="315" spans="1:14" s="4" customFormat="1" outlineLevel="1" x14ac:dyDescent="0.4">
      <c r="B315" s="20"/>
      <c r="C315" s="21"/>
      <c r="D315" s="21"/>
      <c r="E315" s="21"/>
      <c r="F315" s="21"/>
      <c r="G315" s="21"/>
      <c r="H315" s="43"/>
      <c r="I315" s="34"/>
      <c r="J315" s="164" t="s">
        <v>141</v>
      </c>
      <c r="K315" s="44"/>
      <c r="L315" s="35"/>
    </row>
    <row r="316" spans="1:14" s="4" customFormat="1" outlineLevel="1" x14ac:dyDescent="0.4">
      <c r="A316" s="765"/>
      <c r="B316" s="51"/>
      <c r="C316" s="164" t="s">
        <v>185</v>
      </c>
      <c r="D316" s="70">
        <f>IFERROR(Feedstocks!D17/'Transport 2'!F319,"Insert data")</f>
        <v>0</v>
      </c>
      <c r="E316" s="21"/>
      <c r="F316" s="21"/>
      <c r="G316" s="21"/>
      <c r="H316" s="43"/>
      <c r="I316" s="164" t="s">
        <v>167</v>
      </c>
      <c r="J316" s="52">
        <f>IFERROR(IF(AND(E313="YES",ISBLANK(F317)),"Insert yield",SUM(J332:J339,J325:J328,J321)*IF(E342="Yes",J345,1)),"Insert data")</f>
        <v>0</v>
      </c>
      <c r="K316" s="44"/>
      <c r="L316" s="35"/>
    </row>
    <row r="317" spans="1:14" s="4" customFormat="1" outlineLevel="1" x14ac:dyDescent="0.4">
      <c r="A317" s="765"/>
      <c r="B317" s="51"/>
      <c r="C317" s="164" t="s">
        <v>186</v>
      </c>
      <c r="D317" s="680">
        <v>0.9</v>
      </c>
      <c r="E317" s="134"/>
      <c r="F317" s="623">
        <f>IF(E313="No", 1, IF(E314="Default",D317, IF(E314="Actual", IF(E317&gt;0, E317, "insert data"), "error")))</f>
        <v>1</v>
      </c>
      <c r="G317" s="21"/>
      <c r="H317" s="49"/>
      <c r="I317" s="65"/>
      <c r="J317" s="65"/>
      <c r="K317" s="66"/>
      <c r="L317" s="35"/>
    </row>
    <row r="318" spans="1:14" s="4" customFormat="1" outlineLevel="1" x14ac:dyDescent="0.4">
      <c r="A318" s="765"/>
      <c r="B318" s="51"/>
      <c r="C318" s="21"/>
      <c r="D318" s="21"/>
      <c r="E318" s="21"/>
      <c r="F318" s="21"/>
      <c r="G318" s="21"/>
      <c r="H318" s="29"/>
      <c r="I318" s="29"/>
      <c r="J318" s="29"/>
      <c r="K318" s="29"/>
      <c r="L318" s="35"/>
    </row>
    <row r="319" spans="1:14" s="4" customFormat="1" outlineLevel="1" x14ac:dyDescent="0.4">
      <c r="A319" s="765"/>
      <c r="B319" s="51"/>
      <c r="C319" s="25" t="s">
        <v>187</v>
      </c>
      <c r="D319" s="1"/>
      <c r="E319" s="1"/>
      <c r="F319" s="1"/>
      <c r="G319" s="1"/>
      <c r="H319" s="69" t="s">
        <v>136</v>
      </c>
      <c r="I319" s="79"/>
      <c r="J319" s="79"/>
      <c r="K319" s="61"/>
      <c r="L319" s="54"/>
      <c r="M319" s="12"/>
      <c r="N319" s="12"/>
    </row>
    <row r="320" spans="1:14" s="4" customFormat="1" outlineLevel="1" x14ac:dyDescent="0.4">
      <c r="A320" s="765"/>
      <c r="B320" s="51"/>
      <c r="C320" s="166" t="s">
        <v>188</v>
      </c>
      <c r="D320" s="164" t="s">
        <v>151</v>
      </c>
      <c r="E320" s="164" t="s">
        <v>140</v>
      </c>
      <c r="F320" s="21"/>
      <c r="G320" s="1"/>
      <c r="H320" s="43"/>
      <c r="I320" s="34"/>
      <c r="J320" s="164" t="s">
        <v>141</v>
      </c>
      <c r="K320" s="44"/>
      <c r="L320" s="54"/>
    </row>
    <row r="321" spans="1:12" s="4" customFormat="1" outlineLevel="1" x14ac:dyDescent="0.4">
      <c r="A321" s="765"/>
      <c r="B321" s="51"/>
      <c r="C321" s="145"/>
      <c r="D321" s="141"/>
      <c r="E321" s="144"/>
      <c r="F321" s="21"/>
      <c r="G321" s="1"/>
      <c r="H321" s="43"/>
      <c r="I321" s="164" t="s">
        <v>189</v>
      </c>
      <c r="J321" s="31">
        <f>IFERROR(IF(E313="No",0,IF(D321="MWh",(E321*'Reference values'!$D$47*INDEX(Electricity_Emission_Factors,MATCH(C321,Electricity_Source,0)))/(D316*1000),IF(D321="kWh",(E321*'Reference values'!$D$47*INDEX(Electricity_Emission_Factors,MATCH(C321,Electricity_Source,0))/1000)/(D316*1000),IF(D321="MWh/tonne(output)",(E321*'Reference values'!$D$47*INDEX(Electricity_Emission_Factors,MATCH(C321,Electricity_Source,0)))/1000,IF(D321="kWh/tonne(output)",(E321*'Reference values'!$D$47*INDEX(Electricity_Emission_Factors,MATCH(C321,Electricity_Source,0))/1000)/1000,""))))),"")</f>
        <v>0</v>
      </c>
      <c r="K321" s="44"/>
      <c r="L321" s="54"/>
    </row>
    <row r="322" spans="1:12" s="4" customFormat="1" outlineLevel="1" x14ac:dyDescent="0.4">
      <c r="A322" s="765"/>
      <c r="B322" s="51"/>
      <c r="C322" s="1"/>
      <c r="D322" s="1"/>
      <c r="E322" s="1"/>
      <c r="F322" s="21"/>
      <c r="G322" s="1"/>
      <c r="H322" s="43"/>
      <c r="I322" s="34"/>
      <c r="J322" s="34"/>
      <c r="K322" s="44"/>
      <c r="L322" s="54"/>
    </row>
    <row r="323" spans="1:12" s="4" customFormat="1" outlineLevel="1" x14ac:dyDescent="0.4">
      <c r="A323" s="765"/>
      <c r="B323" s="51"/>
      <c r="C323" s="25" t="s">
        <v>190</v>
      </c>
      <c r="D323" s="1"/>
      <c r="E323" s="1"/>
      <c r="F323" s="21"/>
      <c r="G323" s="1"/>
      <c r="H323" s="43"/>
      <c r="I323" s="34"/>
      <c r="J323" s="34"/>
      <c r="K323" s="44"/>
      <c r="L323" s="54"/>
    </row>
    <row r="324" spans="1:12" s="4" customFormat="1" outlineLevel="1" x14ac:dyDescent="0.4">
      <c r="A324" s="765"/>
      <c r="B324" s="51"/>
      <c r="C324" s="164" t="s">
        <v>160</v>
      </c>
      <c r="D324" s="164" t="s">
        <v>151</v>
      </c>
      <c r="E324" s="164" t="s">
        <v>140</v>
      </c>
      <c r="F324" s="21"/>
      <c r="G324" s="1"/>
      <c r="H324" s="43"/>
      <c r="I324" s="164" t="s">
        <v>160</v>
      </c>
      <c r="J324" s="182" t="s">
        <v>141</v>
      </c>
      <c r="K324" s="44"/>
      <c r="L324" s="54"/>
    </row>
    <row r="325" spans="1:12" s="4" customFormat="1" outlineLevel="1" x14ac:dyDescent="0.4">
      <c r="A325" s="765"/>
      <c r="B325" s="51"/>
      <c r="C325" s="27" t="str">
        <f>IF(E314="Default", "Diesel", "")</f>
        <v>Diesel</v>
      </c>
      <c r="D325" s="74" t="str">
        <f>IF(E314="Default", "kWh/tonne(output)", "")</f>
        <v>kWh/tonne(output)</v>
      </c>
      <c r="E325" s="74">
        <f>IF(E314="Default", 3.881, "")</f>
        <v>3.8809999999999998</v>
      </c>
      <c r="F325" s="21"/>
      <c r="G325" s="1"/>
      <c r="H325" s="43"/>
      <c r="I325" s="27" t="str">
        <f>IF(C325&gt;0,C325,"")</f>
        <v>Diesel</v>
      </c>
      <c r="J325" s="31">
        <f>IF(E314="Actual","",IFERROR(IF(C325&gt;0,IF(ISBLANK(E325),"Insert data",IF(E313="No",0,(IF(D325="litres",(E325*(INDEX(Fuel_Densities,MATCH(C325,Fuels_for_Densities,0))/1000)*INDEX(Fuel_LHV,MATCH(C325,Fuels_for_LHV,0))*INDEX(Fuel_EFs,MATCH(C325,Fuels_for_EF,0)))/(D316*1000),(IF(D325="m3",(E325*(INDEX(Fuel_Densities,MATCH(C325,Fuels_for_Densities,0)))*INDEX(Fuel_LHV,MATCH(C325,Fuels_for_LHV,0))*INDEX(Fuel_EFs,MATCH(C325,Fuels_for_EF,0)))/(D316*1000),IF(D325="kg",(E325*INDEX(Fuel_LHV,MATCH(C325,Fuels_for_LHV,0))*INDEX(Fuel_EFs,MATCH(C325,Fuels_for_EF,0)))/(D316*1000),IF(D325="tonnes",(E325*INDEX(Fuel_LHV,MATCH(C325,Fuels_for_LHV,0))*1000*INDEX(Fuel_EFs,MATCH(C325,Fuels_for_EF,0)))/(D316*1000),IF(D325="MWh",(E325*'Reference values'!$D$47*INDEX(Fuel_EFs,MATCH(C325,Fuels_for_EF,0)))/(D316*1000),IF(D325="kWh",(E325*'Reference values'!$D$47*INDEX(Fuel_EFs,MATCH(C325,Fuels_for_EF,0))/1000)/(D316*1000),(IF(D325="litres/tonne(output)",(E325*(INDEX(Fuel_Densities,MATCH(C325,Fuels_for_Densities,0))/1000)*INDEX(Fuel_LHV,MATCH(C325,Fuels_for_LHV,0))*INDEX(Fuel_EFs,MATCH(C325,Fuels_for_EF,0)))/1000,(IF(D325="m3/tonne(output)",(E325*(INDEX(Fuel_Densities,MATCH(C325,Fuels_for_Densities,0)))*INDEX(Fuel_LHV,MATCH(C325,Fuels_for_LHV,0))*INDEX(Fuel_EFs,MATCH(C325,Fuels_for_EF,0)))/1000,IF(D325="kg/tonne(output)",(E325*INDEX(Fuel_LHV,MATCH(C325,Fuels_for_LHV,0))*INDEX(Fuel_EFs,MATCH(C325,Fuels_for_EF,0)))/1000,IF(D325="tonnes/tonne(output)",(E325*INDEX(Fuel_LHV,MATCH(C325,Fuels_for_LHV,0))*1000*INDEX(Fuel_EFs,MATCH(C325,Fuels_for_EF,0)))/1000,IF(D325="MWh/tonne(output)",(E325*'Reference values'!$D$47*INDEX(Fuel_EFs,MATCH(C325,Fuels_for_EF,0)))/1000,IF(D325="kWh/tonne(output)",(E325*'Reference values'!$D$47*INDEX(Fuel_EFs,MATCH(C325,Fuels_for_EF,0))/1000)/1000,"Insert unit")))))))))))))))))),""),"Insert data"))</f>
        <v>0</v>
      </c>
      <c r="K325" s="44"/>
      <c r="L325" s="54"/>
    </row>
    <row r="326" spans="1:12" s="4" customFormat="1" outlineLevel="1" x14ac:dyDescent="0.4">
      <c r="A326" s="765"/>
      <c r="B326" s="51"/>
      <c r="C326" s="134"/>
      <c r="D326" s="141"/>
      <c r="E326" s="144"/>
      <c r="F326" s="21"/>
      <c r="G326" s="1"/>
      <c r="H326" s="43"/>
      <c r="I326" s="27" t="str">
        <f>IF(C326&gt;0,C326,"")</f>
        <v/>
      </c>
      <c r="J326" s="31" t="str">
        <f>IFERROR(IF(C326&gt;0,IF(ISBLANK(E326),"Insert data",IF(E313="No",0,(IF(D326="litres",(E326*(INDEX(Fuel_Densities,MATCH(C326,Fuels_for_Densities,0))/1000)*INDEX(Fuel_LHV,MATCH(C326,Fuels_for_LHV,0))*INDEX(Fuel_EFs,MATCH(C326,Fuels_for_EF,0)))/(D316*1000),(IF(D326="m3",(E326*(INDEX(Fuel_Densities,MATCH(C326,Fuels_for_Densities,0)))*INDEX(Fuel_LHV,MATCH(C326,Fuels_for_LHV,0))*INDEX(Fuel_EFs,MATCH(C326,Fuels_for_EF,0)))/(D316*1000),IF(D326="kg",(E326*INDEX(Fuel_LHV,MATCH(C326,Fuels_for_LHV,0))*INDEX(Fuel_EFs,MATCH(C326,Fuels_for_EF,0)))/(D316*1000),IF(D326="tonnes",(E326*INDEX(Fuel_LHV,MATCH(C326,Fuels_for_LHV,0))*1000*INDEX(Fuel_EFs,MATCH(C326,Fuels_for_EF,0)))/(D316*1000),IF(D326="MWh",(E326*'Reference values'!$D$47*INDEX(Fuel_EFs,MATCH(C326,Fuels_for_EF,0)))/(D316*1000),IF(D326="kWh",(E326*'Reference values'!$D$47*INDEX(Fuel_EFs,MATCH(C326,Fuels_for_EF,0))/1000)/(D316*1000),(IF(D326="litres/tonne(output)",(E326*(INDEX(Fuel_Densities,MATCH(C326,Fuels_for_Densities,0))/1000)*INDEX(Fuel_LHV,MATCH(C326,Fuels_for_LHV,0))*INDEX(Fuel_EFs,MATCH(C326,Fuels_for_EF,0)))/1000,(IF(D326="m3/tonne(output)",(E326*(INDEX(Fuel_Densities,MATCH(C326,Fuels_for_Densities,0)))*INDEX(Fuel_LHV,MATCH(C326,Fuels_for_LHV,0))*INDEX(Fuel_EFs,MATCH(C326,Fuels_for_EF,0)))/1000,IF(D326="kg/tonne(output)",(E326*INDEX(Fuel_LHV,MATCH(C326,Fuels_for_LHV,0))*INDEX(Fuel_EFs,MATCH(C326,Fuels_for_EF,0)))/1000,IF(D326="tonnes/tonne(output)",(E326*INDEX(Fuel_LHV,MATCH(C326,Fuels_for_LHV,0))*1000*INDEX(Fuel_EFs,MATCH(C326,Fuels_for_EF,0)))/1000,IF(D326="MWh/tonne(output)",(E326*'Reference values'!$D$47*INDEX(Fuel_EFs,MATCH(C326,Fuels_for_EF,0)))/1000,IF(D326="kWh/tonne(output)",(E326*'Reference values'!$D$47*INDEX(Fuel_EFs,MATCH(C326,Fuels_for_EF,0))/1000)/1000,"Insert unit")))))))))))))))))),""),"Insert data")</f>
        <v/>
      </c>
      <c r="K326" s="44"/>
      <c r="L326" s="54"/>
    </row>
    <row r="327" spans="1:12" s="4" customFormat="1" outlineLevel="1" x14ac:dyDescent="0.4">
      <c r="A327" s="765"/>
      <c r="B327" s="51"/>
      <c r="C327" s="134"/>
      <c r="D327" s="141"/>
      <c r="E327" s="144"/>
      <c r="F327" s="21"/>
      <c r="G327" s="1"/>
      <c r="H327" s="43"/>
      <c r="I327" s="27" t="str">
        <f>IF(C327&gt;0,C327,"")</f>
        <v/>
      </c>
      <c r="J327" s="31" t="str">
        <f>IFERROR(IF(C327&gt;0,IF(ISBLANK(E327),"Insert data",IF(E313="No",0,(IF(D327="litres",(E327*(INDEX(Fuel_Densities,MATCH(C327,Fuels_for_Densities,0))/1000)*INDEX(Fuel_LHV,MATCH(C327,Fuels_for_LHV,0))*INDEX(Fuel_EFs,MATCH(C327,Fuels_for_EF,0)))/(D316*1000),(IF(D327="m3",(E327*(INDEX(Fuel_Densities,MATCH(C327,Fuels_for_Densities,0)))*INDEX(Fuel_LHV,MATCH(C327,Fuels_for_LHV,0))*INDEX(Fuel_EFs,MATCH(C327,Fuels_for_EF,0)))/(D316*1000),IF(D327="kg",(E327*INDEX(Fuel_LHV,MATCH(C327,Fuels_for_LHV,0))*INDEX(Fuel_EFs,MATCH(C327,Fuels_for_EF,0)))/(D316*1000),IF(D327="tonnes",(E327*INDEX(Fuel_LHV,MATCH(C327,Fuels_for_LHV,0))*1000*INDEX(Fuel_EFs,MATCH(C327,Fuels_for_EF,0)))/(D316*1000),IF(D327="MWh",(E327*'Reference values'!$D$47*INDEX(Fuel_EFs,MATCH(C327,Fuels_for_EF,0)))/(D316*1000),IF(D327="kWh",(E327*'Reference values'!$D$47*INDEX(Fuel_EFs,MATCH(C327,Fuels_for_EF,0))/1000)/(D316*1000),(IF(D327="litres/tonne(output)",(E327*(INDEX(Fuel_Densities,MATCH(C327,Fuels_for_Densities,0))/1000)*INDEX(Fuel_LHV,MATCH(C327,Fuels_for_LHV,0))*INDEX(Fuel_EFs,MATCH(C327,Fuels_for_EF,0)))/1000,(IF(D327="m3/tonne(output)",(E327*(INDEX(Fuel_Densities,MATCH(C327,Fuels_for_Densities,0)))*INDEX(Fuel_LHV,MATCH(C327,Fuels_for_LHV,0))*INDEX(Fuel_EFs,MATCH(C327,Fuels_for_EF,0)))/1000,IF(D327="kg/tonne(output)",(E327*INDEX(Fuel_LHV,MATCH(C327,Fuels_for_LHV,0))*INDEX(Fuel_EFs,MATCH(C327,Fuels_for_EF,0)))/1000,IF(D327="tonnes/tonne(output)",(E327*INDEX(Fuel_LHV,MATCH(C327,Fuels_for_LHV,0))*1000*INDEX(Fuel_EFs,MATCH(C327,Fuels_for_EF,0)))/1000,IF(D327="MWh/tonne(output)",(E327*'Reference values'!$D$47*INDEX(Fuel_EFs,MATCH(C327,Fuels_for_EF,0)))/1000,IF(D327="kWh/tonne(output)",(E327*'Reference values'!$D$47*INDEX(Fuel_EFs,MATCH(C327,Fuels_for_EF,0))/1000)/1000,"Insert unit")))))))))))))))))),""),"Insert data")</f>
        <v/>
      </c>
      <c r="K327" s="44"/>
      <c r="L327" s="54"/>
    </row>
    <row r="328" spans="1:12" s="4" customFormat="1" outlineLevel="1" x14ac:dyDescent="0.4">
      <c r="A328" s="765"/>
      <c r="B328" s="51"/>
      <c r="C328" s="134"/>
      <c r="D328" s="141"/>
      <c r="E328" s="144"/>
      <c r="F328" s="21"/>
      <c r="G328" s="1"/>
      <c r="H328" s="43"/>
      <c r="I328" s="27" t="str">
        <f>IF(C328&gt;0,C328,"")</f>
        <v/>
      </c>
      <c r="J328" s="31" t="str">
        <f>IFERROR(IF(C328&gt;0,IF(ISBLANK(E328),"Insert data",IF(E313="No",0,(IF(D328="litres",(E328*(INDEX(Fuel_Densities,MATCH(C328,Fuels_for_Densities,0))/1000)*INDEX(Fuel_LHV,MATCH(C328,Fuels_for_LHV,0))*INDEX(Fuel_EFs,MATCH(C328,Fuels_for_EF,0)))/(D316*1000),(IF(D328="m3",(E328*(INDEX(Fuel_Densities,MATCH(C328,Fuels_for_Densities,0)))*INDEX(Fuel_LHV,MATCH(C328,Fuels_for_LHV,0))*INDEX(Fuel_EFs,MATCH(C328,Fuels_for_EF,0)))/(D316*1000),IF(D328="kg",(E328*INDEX(Fuel_LHV,MATCH(C328,Fuels_for_LHV,0))*INDEX(Fuel_EFs,MATCH(C328,Fuels_for_EF,0)))/(D316*1000),IF(D328="tonnes",(E328*INDEX(Fuel_LHV,MATCH(C328,Fuels_for_LHV,0))*1000*INDEX(Fuel_EFs,MATCH(C328,Fuels_for_EF,0)))/(D316*1000),IF(D328="MWh",(E328*'Reference values'!$D$47*INDEX(Fuel_EFs,MATCH(C328,Fuels_for_EF,0)))/(D316*1000),IF(D328="kWh",(E328*'Reference values'!$D$47*INDEX(Fuel_EFs,MATCH(C328,Fuels_for_EF,0))/1000)/(D316*1000),(IF(D328="litres/tonne(output)",(E328*(INDEX(Fuel_Densities,MATCH(C328,Fuels_for_Densities,0))/1000)*INDEX(Fuel_LHV,MATCH(C328,Fuels_for_LHV,0))*INDEX(Fuel_EFs,MATCH(C328,Fuels_for_EF,0)))/1000,(IF(D328="m3/tonne(output)",(E328*(INDEX(Fuel_Densities,MATCH(C328,Fuels_for_Densities,0)))*INDEX(Fuel_LHV,MATCH(C328,Fuels_for_LHV,0))*INDEX(Fuel_EFs,MATCH(C328,Fuels_for_EF,0)))/1000,IF(D328="kg/tonne(output)",(E328*INDEX(Fuel_LHV,MATCH(C328,Fuels_for_LHV,0))*INDEX(Fuel_EFs,MATCH(C328,Fuels_for_EF,0)))/1000,IF(D328="tonnes/tonne(output)",(E328*INDEX(Fuel_LHV,MATCH(C328,Fuels_for_LHV,0))*1000*INDEX(Fuel_EFs,MATCH(C328,Fuels_for_EF,0)))/1000,IF(D328="MWh/tonne(output)",(E328*'Reference values'!$D$47*INDEX(Fuel_EFs,MATCH(C328,Fuels_for_EF,0)))/1000,IF(D328="kWh/tonne(output)",(E328*'Reference values'!$D$47*INDEX(Fuel_EFs,MATCH(C328,Fuels_for_EF,0))/1000)/1000,"Insert unit")))))))))))))))))),""),"Insert data")</f>
        <v/>
      </c>
      <c r="K328" s="44"/>
      <c r="L328" s="54"/>
    </row>
    <row r="329" spans="1:12" s="4" customFormat="1" outlineLevel="1" x14ac:dyDescent="0.4">
      <c r="A329" s="765"/>
      <c r="B329" s="51"/>
      <c r="C329" s="1"/>
      <c r="D329" s="1"/>
      <c r="E329" s="1"/>
      <c r="F329" s="21"/>
      <c r="G329" s="53"/>
      <c r="H329" s="56"/>
      <c r="I329" s="57"/>
      <c r="J329" s="34"/>
      <c r="K329" s="44"/>
      <c r="L329" s="54"/>
    </row>
    <row r="330" spans="1:12" s="4" customFormat="1" outlineLevel="1" x14ac:dyDescent="0.4">
      <c r="A330" s="765"/>
      <c r="B330" s="51"/>
      <c r="C330" s="25" t="s">
        <v>191</v>
      </c>
      <c r="D330" s="1"/>
      <c r="E330" s="1"/>
      <c r="F330" s="21"/>
      <c r="G330" s="53"/>
      <c r="H330" s="56"/>
      <c r="I330" s="34"/>
      <c r="J330" s="34"/>
      <c r="K330" s="44"/>
      <c r="L330" s="54"/>
    </row>
    <row r="331" spans="1:12" s="4" customFormat="1" outlineLevel="1" x14ac:dyDescent="0.4">
      <c r="A331" s="765"/>
      <c r="B331" s="51"/>
      <c r="C331" s="164" t="s">
        <v>192</v>
      </c>
      <c r="D331" s="164" t="s">
        <v>151</v>
      </c>
      <c r="E331" s="164" t="s">
        <v>140</v>
      </c>
      <c r="F331" s="21"/>
      <c r="G331" s="1"/>
      <c r="H331" s="43"/>
      <c r="I331" s="164" t="s">
        <v>192</v>
      </c>
      <c r="J331" s="182" t="s">
        <v>141</v>
      </c>
      <c r="K331" s="44"/>
      <c r="L331" s="54"/>
    </row>
    <row r="332" spans="1:12" s="4" customFormat="1" outlineLevel="1" x14ac:dyDescent="0.4">
      <c r="A332" s="765"/>
      <c r="B332" s="51"/>
      <c r="C332" s="134"/>
      <c r="D332" s="141"/>
      <c r="E332" s="144"/>
      <c r="F332" s="21"/>
      <c r="G332" s="1"/>
      <c r="H332" s="43"/>
      <c r="I332" s="27" t="str">
        <f t="shared" ref="I332:I339" si="6">IF(C332&gt;0,C332,"")</f>
        <v/>
      </c>
      <c r="J332" s="31" t="str">
        <f>IFERROR(IF(C332&gt;0,IF(ISBLANK(E332),"Insert data",IF(E313="No",0,IF(D332="kg",E332*INDEX(Chemical_Emission_Factors,MATCH(C332,Chemicals,0))/(D316*1000),IF(D332="tonnes",E332*INDEX(Chemical_Emission_Factors,MATCH(C332,Chemicals,0))*1000/(D316*1000),IF(D332="kg/tonne(output)",E332*INDEX(Chemical_Emission_Factors,MATCH(C332,Chemicals,0))/1000,IF(D332="tonnes/tonne(output)",E332*INDEX(Chemical_Emission_Factors,MATCH(C332,Chemicals,0))*1000/1000,"Insert unit")))))),""),"Insert data")</f>
        <v/>
      </c>
      <c r="K332" s="44"/>
      <c r="L332" s="54"/>
    </row>
    <row r="333" spans="1:12" s="4" customFormat="1" outlineLevel="1" x14ac:dyDescent="0.4">
      <c r="A333" s="765"/>
      <c r="B333" s="51"/>
      <c r="C333" s="134"/>
      <c r="D333" s="141"/>
      <c r="E333" s="144"/>
      <c r="F333" s="21"/>
      <c r="G333" s="1"/>
      <c r="H333" s="43"/>
      <c r="I333" s="27" t="str">
        <f t="shared" si="6"/>
        <v/>
      </c>
      <c r="J333" s="31" t="str">
        <f>IFERROR(IF(C333&gt;0,IF(ISBLANK(E333),"Insert data",IF(E313="No",0,IF(D333="kg",E333*INDEX(Chemical_Emission_Factors,MATCH(C333,Chemicals,0))/(D316*1000),IF(D333="tonnes",E333*INDEX(Chemical_Emission_Factors,MATCH(C333,Chemicals,0))*1000/(D316*1000),IF(D333="kg/tonne(output)",E333*INDEX(Chemical_Emission_Factors,MATCH(C333,Chemicals,0))/1000,IF(D333="tonnes/tonne(output)",E333*INDEX(Chemical_Emission_Factors,MATCH(C333,Chemicals,0))*1000/1000,"Insert unit")))))),""),"Insert data")</f>
        <v/>
      </c>
      <c r="K333" s="44"/>
      <c r="L333" s="54"/>
    </row>
    <row r="334" spans="1:12" s="4" customFormat="1" outlineLevel="1" x14ac:dyDescent="0.4">
      <c r="A334" s="765"/>
      <c r="B334" s="51"/>
      <c r="C334" s="134"/>
      <c r="D334" s="141"/>
      <c r="E334" s="144"/>
      <c r="F334" s="21"/>
      <c r="G334" s="1"/>
      <c r="H334" s="43"/>
      <c r="I334" s="27" t="str">
        <f t="shared" si="6"/>
        <v/>
      </c>
      <c r="J334" s="31" t="str">
        <f>IFERROR(IF(C334&gt;0,IF(ISBLANK(E334),"Insert data",IF(E313="No",0,IF(D334="kg",E334*INDEX(Chemical_Emission_Factors,MATCH(C334,Chemicals,0))/(D316*1000),IF(D334="tonnes",E334*INDEX(Chemical_Emission_Factors,MATCH(C334,Chemicals,0))*1000/(D316*1000),IF(D334="kg/tonne(output)",E334*INDEX(Chemical_Emission_Factors,MATCH(C334,Chemicals,0))/1000,IF(D334="tonnes/tonne(output)",E334*INDEX(Chemical_Emission_Factors,MATCH(C334,Chemicals,0))*1000/1000,"Insert unit")))))),""),"Insert data")</f>
        <v/>
      </c>
      <c r="K334" s="44"/>
      <c r="L334" s="54"/>
    </row>
    <row r="335" spans="1:12" s="4" customFormat="1" outlineLevel="1" x14ac:dyDescent="0.4">
      <c r="A335" s="765"/>
      <c r="B335" s="51"/>
      <c r="C335" s="134"/>
      <c r="D335" s="141"/>
      <c r="E335" s="144"/>
      <c r="F335" s="21"/>
      <c r="G335" s="1"/>
      <c r="H335" s="43"/>
      <c r="I335" s="27" t="str">
        <f t="shared" si="6"/>
        <v/>
      </c>
      <c r="J335" s="31" t="str">
        <f>IFERROR(IF(C335&gt;0,IF(ISBLANK(E335),"Insert data",IF(E313="No",0,IF(D335="kg",E335*INDEX(Chemical_Emission_Factors,MATCH(C335,Chemicals,0))/(D316*1000),IF(D335="tonnes",E335*INDEX(Chemical_Emission_Factors,MATCH(C335,Chemicals,0))*1000/(D316*1000),IF(D335="kg/tonne(output)",E335*INDEX(Chemical_Emission_Factors,MATCH(C335,Chemicals,0))/1000,IF(D335="tonnes/tonne(output)",E335*INDEX(Chemical_Emission_Factors,MATCH(C335,Chemicals,0))*1000/1000,"Insert unit")))))),""),"Insert data")</f>
        <v/>
      </c>
      <c r="K335" s="44"/>
      <c r="L335" s="54"/>
    </row>
    <row r="336" spans="1:12" s="4" customFormat="1" outlineLevel="1" x14ac:dyDescent="0.4">
      <c r="A336" s="765"/>
      <c r="B336" s="51"/>
      <c r="C336" s="134"/>
      <c r="D336" s="141"/>
      <c r="E336" s="144"/>
      <c r="F336" s="21"/>
      <c r="G336" s="1"/>
      <c r="H336" s="43"/>
      <c r="I336" s="27" t="str">
        <f t="shared" si="6"/>
        <v/>
      </c>
      <c r="J336" s="31" t="str">
        <f>IFERROR(IF(C336&gt;0,IF(ISBLANK(E336),"Insert data",IF(E313="No",0,IF(D336="kg",E336*INDEX(Chemical_Emission_Factors,MATCH(C336,Chemicals,0))/(D316*1000),IF(D336="tonnes",E336*INDEX(Chemical_Emission_Factors,MATCH(C336,Chemicals,0))*1000/(D316*1000),IF(D336="kg/tonne(output)",E336*INDEX(Chemical_Emission_Factors,MATCH(C336,Chemicals,0))/1000,IF(D336="tonnes/tonne(output)",E336*INDEX(Chemical_Emission_Factors,MATCH(C336,Chemicals,0))*1000/1000,"Insert unit")))))),""),"Insert data")</f>
        <v/>
      </c>
      <c r="K336" s="44"/>
      <c r="L336" s="54"/>
    </row>
    <row r="337" spans="1:12" s="4" customFormat="1" outlineLevel="1" x14ac:dyDescent="0.4">
      <c r="A337" s="765"/>
      <c r="B337" s="51"/>
      <c r="C337" s="134"/>
      <c r="D337" s="141"/>
      <c r="E337" s="144"/>
      <c r="F337" s="21"/>
      <c r="G337" s="1"/>
      <c r="H337" s="43"/>
      <c r="I337" s="27" t="str">
        <f t="shared" si="6"/>
        <v/>
      </c>
      <c r="J337" s="31" t="str">
        <f>IFERROR(IF(C337&gt;0,IF(ISBLANK(E337),"Insert data",IF(E313="No",0,IF(D337="kg",E337*INDEX(Chemical_Emission_Factors,MATCH(C337,Chemicals,0))/(D316*1000),IF(D337="tonnes",E337*INDEX(Chemical_Emission_Factors,MATCH(C337,Chemicals,0))*1000/(D316*1000),IF(D337="kg/tonne(output)",E337*INDEX(Chemical_Emission_Factors,MATCH(C337,Chemicals,0))/1000,IF(D337="tonnes/tonne(output)",E337*INDEX(Chemical_Emission_Factors,MATCH(C337,Chemicals,0))*1000/1000,"Insert unit")))))),""),"Insert data")</f>
        <v/>
      </c>
      <c r="K337" s="44"/>
      <c r="L337" s="54"/>
    </row>
    <row r="338" spans="1:12" s="4" customFormat="1" outlineLevel="1" x14ac:dyDescent="0.4">
      <c r="A338" s="765"/>
      <c r="B338" s="51"/>
      <c r="C338" s="134"/>
      <c r="D338" s="141"/>
      <c r="E338" s="144"/>
      <c r="F338" s="21"/>
      <c r="G338" s="1"/>
      <c r="H338" s="43"/>
      <c r="I338" s="27" t="str">
        <f t="shared" si="6"/>
        <v/>
      </c>
      <c r="J338" s="31" t="str">
        <f>IFERROR(IF(C338&gt;0,IF(ISBLANK(E338),"Insert data",IF(E313="No",0,IF(D338="kg",E338*INDEX(Chemical_Emission_Factors,MATCH(C338,Chemicals,0))/(D316*1000),IF(D338="tonnes",E338*INDEX(Chemical_Emission_Factors,MATCH(C338,Chemicals,0))*1000/(D316*1000),IF(D338="kg/tonne(output)",E338*INDEX(Chemical_Emission_Factors,MATCH(C338,Chemicals,0))/1000,IF(D338="tonnes/tonne(output)",E338*INDEX(Chemical_Emission_Factors,MATCH(C338,Chemicals,0))*1000/1000,"Insert unit")))))),""),"Insert data")</f>
        <v/>
      </c>
      <c r="K338" s="44"/>
      <c r="L338" s="54"/>
    </row>
    <row r="339" spans="1:12" s="4" customFormat="1" outlineLevel="1" x14ac:dyDescent="0.4">
      <c r="A339" s="765"/>
      <c r="B339" s="51"/>
      <c r="C339" s="134"/>
      <c r="D339" s="141"/>
      <c r="E339" s="144"/>
      <c r="F339" s="21"/>
      <c r="G339" s="1"/>
      <c r="H339" s="43"/>
      <c r="I339" s="27" t="str">
        <f t="shared" si="6"/>
        <v/>
      </c>
      <c r="J339" s="31" t="str">
        <f>IFERROR(IF(C339&gt;0,IF(ISBLANK(E339),"Insert data",IF(E313="No",0,IF(D339="kg",E339*INDEX(Chemical_Emission_Factors,MATCH(C339,Chemicals,0))/(D316*1000),IF(D339="tonnes",E339*INDEX(Chemical_Emission_Factors,MATCH(C339,Chemicals,0))*1000/(D316*1000),IF(D339="kg/tonne(output)",E339*INDEX(Chemical_Emission_Factors,MATCH(C339,Chemicals,0))/1000,IF(D339="tonnes/tonne(output)",E339*INDEX(Chemical_Emission_Factors,MATCH(C339,Chemicals,0))*1000/1000,"Insert unit")))))),""),"Insert data")</f>
        <v/>
      </c>
      <c r="K339" s="44"/>
      <c r="L339" s="54"/>
    </row>
    <row r="340" spans="1:12" s="4" customFormat="1" ht="12.75" customHeight="1" outlineLevel="1" x14ac:dyDescent="0.4">
      <c r="B340" s="20"/>
      <c r="C340" s="21"/>
      <c r="D340" s="21"/>
      <c r="E340" s="21"/>
      <c r="F340" s="21"/>
      <c r="G340" s="21"/>
      <c r="H340" s="46"/>
      <c r="I340" s="58"/>
      <c r="J340" s="58"/>
      <c r="K340" s="59"/>
      <c r="L340" s="35"/>
    </row>
    <row r="341" spans="1:12" s="4" customFormat="1" outlineLevel="1" x14ac:dyDescent="0.4">
      <c r="B341" s="20"/>
      <c r="C341" s="243" t="s">
        <v>193</v>
      </c>
      <c r="D341" s="21"/>
      <c r="E341" s="21"/>
      <c r="F341" s="21"/>
      <c r="G341" s="21"/>
      <c r="H341" s="21"/>
      <c r="I341" s="21"/>
      <c r="J341" s="21"/>
      <c r="K341" s="21"/>
      <c r="L341" s="35"/>
    </row>
    <row r="342" spans="1:12" s="4" customFormat="1" outlineLevel="1" x14ac:dyDescent="0.4">
      <c r="B342" s="20"/>
      <c r="C342" s="766" t="s">
        <v>194</v>
      </c>
      <c r="D342" s="767"/>
      <c r="E342" s="299" t="s">
        <v>178</v>
      </c>
      <c r="F342" s="21"/>
      <c r="G342" s="21"/>
      <c r="H342" s="302"/>
      <c r="I342" s="47"/>
      <c r="J342" s="47"/>
      <c r="K342" s="45"/>
      <c r="L342" s="35"/>
    </row>
    <row r="343" spans="1:12" s="4" customFormat="1" ht="6.75" customHeight="1" outlineLevel="1" x14ac:dyDescent="0.4">
      <c r="B343" s="20"/>
      <c r="C343" s="21"/>
      <c r="D343" s="21"/>
      <c r="E343" s="21"/>
      <c r="F343" s="21"/>
      <c r="G343" s="21"/>
      <c r="H343" s="41"/>
      <c r="I343" s="36"/>
      <c r="J343" s="301"/>
      <c r="K343" s="37"/>
      <c r="L343" s="35"/>
    </row>
    <row r="344" spans="1:12" s="4" customFormat="1" outlineLevel="1" x14ac:dyDescent="0.4">
      <c r="B344" s="20"/>
      <c r="C344" s="21"/>
      <c r="D344" s="164" t="s">
        <v>151</v>
      </c>
      <c r="E344" s="164" t="s">
        <v>140</v>
      </c>
      <c r="F344" s="21"/>
      <c r="G344" s="21"/>
      <c r="H344" s="41"/>
      <c r="I344" s="36"/>
      <c r="J344" s="164" t="s">
        <v>195</v>
      </c>
      <c r="K344" s="37"/>
      <c r="L344" s="35"/>
    </row>
    <row r="345" spans="1:12" s="4" customFormat="1" outlineLevel="1" x14ac:dyDescent="0.4">
      <c r="B345" s="20"/>
      <c r="C345" s="164" t="s">
        <v>196</v>
      </c>
      <c r="D345" s="297" t="s">
        <v>197</v>
      </c>
      <c r="E345" s="299"/>
      <c r="F345" s="21"/>
      <c r="G345" s="21"/>
      <c r="H345" s="41"/>
      <c r="I345" s="164" t="s">
        <v>198</v>
      </c>
      <c r="J345" s="309" t="str">
        <f>IFERROR(IF(E342="No", "", IF(AND(E342="yes",OR(ISBLANK(E345),ISBLANK(E346),ISBLANK(E347))),"Insert data",E346/(E346+E347*E345))), "")</f>
        <v/>
      </c>
      <c r="K345" s="37"/>
      <c r="L345" s="35"/>
    </row>
    <row r="346" spans="1:12" s="4" customFormat="1" outlineLevel="1" x14ac:dyDescent="0.4">
      <c r="B346" s="20"/>
      <c r="C346" s="164" t="s">
        <v>199</v>
      </c>
      <c r="D346" s="296" t="s">
        <v>200</v>
      </c>
      <c r="E346" s="299"/>
      <c r="F346" s="21"/>
      <c r="G346" s="21"/>
      <c r="H346" s="41"/>
      <c r="I346" s="164" t="s">
        <v>201</v>
      </c>
      <c r="J346" s="309" t="str">
        <f>IFERROR(IF(E342="No", "", IF(AND(E342="yes",OR(ISBLANK(E345),ISBLANK(E346),ISBLANK(E347))),"Insert data",(E347*E345)/(E347*E345+E346))),"")</f>
        <v/>
      </c>
      <c r="K346" s="37"/>
      <c r="L346" s="35"/>
    </row>
    <row r="347" spans="1:12" s="4" customFormat="1" outlineLevel="1" x14ac:dyDescent="0.4">
      <c r="B347" s="20"/>
      <c r="C347" s="164" t="s">
        <v>202</v>
      </c>
      <c r="D347" s="296" t="s">
        <v>200</v>
      </c>
      <c r="E347" s="299"/>
      <c r="F347" s="21"/>
      <c r="G347" s="21"/>
      <c r="H347" s="46"/>
      <c r="I347" s="58"/>
      <c r="J347" s="58"/>
      <c r="K347" s="59"/>
      <c r="L347" s="35"/>
    </row>
    <row r="348" spans="1:12" s="4" customFormat="1" ht="6.75" customHeight="1" outlineLevel="1" x14ac:dyDescent="0.4">
      <c r="B348" s="20"/>
      <c r="C348" s="21"/>
      <c r="D348" s="21"/>
      <c r="E348" s="21"/>
      <c r="F348" s="21"/>
      <c r="G348" s="21"/>
      <c r="H348" s="21"/>
      <c r="I348" s="21"/>
      <c r="J348" s="21"/>
      <c r="K348" s="21"/>
      <c r="L348" s="35"/>
    </row>
    <row r="349" spans="1:12" s="4" customFormat="1" ht="12.75" customHeight="1" outlineLevel="1" x14ac:dyDescent="0.4">
      <c r="B349" s="20"/>
      <c r="C349" s="300" t="s">
        <v>203</v>
      </c>
      <c r="D349" s="21"/>
      <c r="E349" s="21"/>
      <c r="F349" s="21"/>
      <c r="G349" s="21"/>
      <c r="H349" s="21"/>
      <c r="I349" s="21"/>
      <c r="J349" s="21"/>
      <c r="K349" s="21"/>
      <c r="L349" s="35"/>
    </row>
    <row r="350" spans="1:12" s="4" customFormat="1" ht="12.75" customHeight="1" outlineLevel="1" x14ac:dyDescent="0.4">
      <c r="B350" s="20"/>
      <c r="C350" s="300" t="s">
        <v>204</v>
      </c>
      <c r="D350" s="21"/>
      <c r="E350" s="21"/>
      <c r="F350" s="21"/>
      <c r="G350" s="21"/>
      <c r="H350" s="21"/>
      <c r="I350" s="21"/>
      <c r="J350" s="21"/>
      <c r="K350" s="21"/>
      <c r="L350" s="35"/>
    </row>
    <row r="351" spans="1:12" s="4" customFormat="1" ht="6.75" customHeight="1" outlineLevel="1" x14ac:dyDescent="0.4">
      <c r="B351" s="28"/>
      <c r="C351" s="298"/>
      <c r="D351" s="29"/>
      <c r="E351" s="29"/>
      <c r="F351" s="29"/>
      <c r="G351" s="29"/>
      <c r="H351" s="29"/>
      <c r="I351" s="29"/>
      <c r="J351" s="29"/>
      <c r="K351" s="29"/>
      <c r="L351" s="60"/>
    </row>
    <row r="352" spans="1:12" s="4" customFormat="1" x14ac:dyDescent="0.4"/>
    <row r="353" spans="1:12" s="4" customFormat="1" hidden="1" x14ac:dyDescent="0.4"/>
    <row r="354" spans="1:12" s="4" customFormat="1" hidden="1" x14ac:dyDescent="0.4"/>
    <row r="355" spans="1:12" s="4" customFormat="1" hidden="1" x14ac:dyDescent="0.4"/>
    <row r="356" spans="1:12" s="4" customFormat="1" hidden="1" x14ac:dyDescent="0.4"/>
    <row r="357" spans="1:12" s="4" customFormat="1" hidden="1" x14ac:dyDescent="0.4"/>
    <row r="358" spans="1:12" s="4" customFormat="1" ht="19.2" x14ac:dyDescent="0.45">
      <c r="B358" s="754" t="str">
        <f>"Feedstock Conversion"&amp;" - "&amp;Feedstocks!C18</f>
        <v xml:space="preserve">Feedstock Conversion - </v>
      </c>
      <c r="C358" s="755"/>
      <c r="D358" s="755"/>
      <c r="E358" s="755"/>
      <c r="F358" s="755"/>
      <c r="G358" s="755"/>
      <c r="H358" s="755"/>
      <c r="I358" s="755"/>
      <c r="J358" s="755"/>
      <c r="K358" s="755"/>
      <c r="L358" s="756"/>
    </row>
    <row r="359" spans="1:12" s="4" customFormat="1" outlineLevel="1" x14ac:dyDescent="0.4">
      <c r="B359" s="17"/>
      <c r="C359" s="21"/>
      <c r="D359" s="19"/>
      <c r="E359" s="19"/>
      <c r="F359" s="19"/>
      <c r="G359" s="19"/>
      <c r="H359" s="19"/>
      <c r="I359" s="19"/>
      <c r="J359" s="19"/>
      <c r="K359" s="19"/>
      <c r="L359" s="50"/>
    </row>
    <row r="360" spans="1:12" s="4" customFormat="1" outlineLevel="1" x14ac:dyDescent="0.4">
      <c r="B360" s="20"/>
      <c r="C360" s="21"/>
      <c r="D360" s="760"/>
      <c r="E360" s="762"/>
      <c r="F360" s="21"/>
      <c r="G360" s="1"/>
      <c r="H360" s="69" t="s">
        <v>122</v>
      </c>
      <c r="I360" s="47"/>
      <c r="J360" s="47"/>
      <c r="K360" s="45"/>
      <c r="L360" s="35"/>
    </row>
    <row r="361" spans="1:12" s="4" customFormat="1" outlineLevel="1" x14ac:dyDescent="0.4">
      <c r="B361" s="20"/>
      <c r="C361" s="160" t="s">
        <v>123</v>
      </c>
      <c r="D361" s="753" t="str">
        <f>IF(Feedstocks!$H$18&gt;0,Feedstocks!$H$18,"")</f>
        <v/>
      </c>
      <c r="E361" s="753"/>
      <c r="F361" s="21"/>
      <c r="G361" s="76"/>
      <c r="H361" s="41"/>
      <c r="I361" s="36"/>
      <c r="J361" s="164" t="s">
        <v>124</v>
      </c>
      <c r="K361" s="37"/>
      <c r="L361" s="35"/>
    </row>
    <row r="362" spans="1:12" s="4" customFormat="1" outlineLevel="1" x14ac:dyDescent="0.4">
      <c r="B362" s="20"/>
      <c r="C362" s="21"/>
      <c r="D362" s="21"/>
      <c r="E362" s="21"/>
      <c r="F362" s="21"/>
      <c r="G362" s="21"/>
      <c r="H362" s="41"/>
      <c r="I362" s="164" t="s">
        <v>125</v>
      </c>
      <c r="J362" s="52" t="str">
        <f>IFERROR((J366/('Transport 2'!F369*('Digestion &amp; outputs'!$G$23/1000)))*'Digestion &amp; outputs'!$K$23,"")</f>
        <v/>
      </c>
      <c r="K362" s="37"/>
      <c r="L362" s="35"/>
    </row>
    <row r="363" spans="1:12" s="4" customFormat="1" ht="16.5" customHeight="1" outlineLevel="1" x14ac:dyDescent="0.4">
      <c r="B363" s="20"/>
      <c r="C363" s="759" t="s">
        <v>183</v>
      </c>
      <c r="D363" s="759"/>
      <c r="E363" s="134" t="s">
        <v>178</v>
      </c>
      <c r="F363" s="21"/>
      <c r="G363" s="21"/>
      <c r="H363" s="41"/>
      <c r="I363" s="36"/>
      <c r="J363" s="36"/>
      <c r="K363" s="37"/>
      <c r="L363" s="35"/>
    </row>
    <row r="364" spans="1:12" s="4" customFormat="1" outlineLevel="1" x14ac:dyDescent="0.4">
      <c r="B364" s="20"/>
      <c r="C364" s="763" t="s">
        <v>184</v>
      </c>
      <c r="D364" s="764"/>
      <c r="E364" s="134" t="s">
        <v>96</v>
      </c>
      <c r="F364" s="21"/>
      <c r="G364" s="21"/>
      <c r="H364" s="41"/>
      <c r="I364" s="36"/>
      <c r="J364" s="36"/>
      <c r="K364" s="37"/>
      <c r="L364" s="35"/>
    </row>
    <row r="365" spans="1:12" s="4" customFormat="1" outlineLevel="1" x14ac:dyDescent="0.4">
      <c r="B365" s="20"/>
      <c r="C365" s="21"/>
      <c r="D365" s="21"/>
      <c r="E365" s="21"/>
      <c r="F365" s="21"/>
      <c r="G365" s="21"/>
      <c r="H365" s="43"/>
      <c r="I365" s="34"/>
      <c r="J365" s="164" t="s">
        <v>141</v>
      </c>
      <c r="K365" s="44"/>
      <c r="L365" s="35"/>
    </row>
    <row r="366" spans="1:12" s="4" customFormat="1" outlineLevel="1" x14ac:dyDescent="0.4">
      <c r="A366" s="765"/>
      <c r="B366" s="51"/>
      <c r="C366" s="164" t="s">
        <v>185</v>
      </c>
      <c r="D366" s="70">
        <f>IFERROR(Feedstocks!D18/'Transport 2'!F369,"Insert data")</f>
        <v>0</v>
      </c>
      <c r="E366" s="21"/>
      <c r="F366" s="21"/>
      <c r="G366" s="21"/>
      <c r="H366" s="43"/>
      <c r="I366" s="164" t="s">
        <v>167</v>
      </c>
      <c r="J366" s="52">
        <f>IFERROR(IF(AND(E363="YES",ISBLANK(F367)),"Insert yield",SUM(J382:J389,J375:J378,J371)*IF(E392="Yes",J395,1)),"Insert data")</f>
        <v>0</v>
      </c>
      <c r="K366" s="44"/>
      <c r="L366" s="35"/>
    </row>
    <row r="367" spans="1:12" s="4" customFormat="1" outlineLevel="1" x14ac:dyDescent="0.4">
      <c r="A367" s="765"/>
      <c r="B367" s="51"/>
      <c r="C367" s="164" t="s">
        <v>186</v>
      </c>
      <c r="D367" s="680">
        <v>0.9</v>
      </c>
      <c r="E367" s="134"/>
      <c r="F367" s="623">
        <f>IF(E363="No", 1, IF(E364="Default",D367, IF(E364="Actual", IF(E367&gt;0, E367, "insert data"), "error")))</f>
        <v>1</v>
      </c>
      <c r="G367" s="21"/>
      <c r="H367" s="49"/>
      <c r="I367" s="65"/>
      <c r="J367" s="65"/>
      <c r="K367" s="66"/>
      <c r="L367" s="35"/>
    </row>
    <row r="368" spans="1:12" s="4" customFormat="1" outlineLevel="1" x14ac:dyDescent="0.4">
      <c r="A368" s="765"/>
      <c r="B368" s="51"/>
      <c r="C368" s="21"/>
      <c r="D368" s="21"/>
      <c r="E368" s="21"/>
      <c r="F368" s="21"/>
      <c r="G368" s="21"/>
      <c r="H368" s="29"/>
      <c r="I368" s="29"/>
      <c r="J368" s="29"/>
      <c r="K368" s="29"/>
      <c r="L368" s="35"/>
    </row>
    <row r="369" spans="1:14" s="4" customFormat="1" outlineLevel="1" x14ac:dyDescent="0.4">
      <c r="A369" s="765"/>
      <c r="B369" s="51"/>
      <c r="C369" s="25" t="s">
        <v>187</v>
      </c>
      <c r="D369" s="1"/>
      <c r="E369" s="1"/>
      <c r="F369" s="1"/>
      <c r="G369" s="1"/>
      <c r="H369" s="69" t="s">
        <v>136</v>
      </c>
      <c r="I369" s="79"/>
      <c r="J369" s="79"/>
      <c r="K369" s="61"/>
      <c r="L369" s="54"/>
      <c r="M369" s="12"/>
      <c r="N369" s="12"/>
    </row>
    <row r="370" spans="1:14" s="4" customFormat="1" outlineLevel="1" x14ac:dyDescent="0.4">
      <c r="A370" s="765"/>
      <c r="B370" s="51"/>
      <c r="C370" s="166" t="s">
        <v>188</v>
      </c>
      <c r="D370" s="164" t="s">
        <v>151</v>
      </c>
      <c r="E370" s="164" t="s">
        <v>140</v>
      </c>
      <c r="F370" s="1"/>
      <c r="G370" s="1"/>
      <c r="H370" s="43"/>
      <c r="I370" s="34"/>
      <c r="J370" s="164" t="s">
        <v>141</v>
      </c>
      <c r="K370" s="44"/>
      <c r="L370" s="54"/>
    </row>
    <row r="371" spans="1:14" s="4" customFormat="1" outlineLevel="1" x14ac:dyDescent="0.4">
      <c r="A371" s="765"/>
      <c r="B371" s="51"/>
      <c r="C371" s="145"/>
      <c r="D371" s="141"/>
      <c r="E371" s="144"/>
      <c r="F371" s="1"/>
      <c r="G371" s="1"/>
      <c r="H371" s="43"/>
      <c r="I371" s="164" t="s">
        <v>189</v>
      </c>
      <c r="J371" s="31">
        <f>IFERROR(IF(E363="No",0,IF(D371="MWh",(E371*'Reference values'!$D$47*INDEX(Electricity_Emission_Factors,MATCH(C371,Electricity_Source,0)))/(D366*1000),IF(D371="kWh",(E371*'Reference values'!$D$47*INDEX(Electricity_Emission_Factors,MATCH(C371,Electricity_Source,0))/1000)/(D366*1000),IF(D371="MWh/tonne(output)",(E371*'Reference values'!$D$47*INDEX(Electricity_Emission_Factors,MATCH(C371,Electricity_Source,0)))/1000,IF(D371="kWh/tonne(output)",(E371*'Reference values'!$D$47*INDEX(Electricity_Emission_Factors,MATCH(C371,Electricity_Source,0))/1000)/1000,""))))),"")</f>
        <v>0</v>
      </c>
      <c r="K371" s="44"/>
      <c r="L371" s="54"/>
    </row>
    <row r="372" spans="1:14" s="4" customFormat="1" outlineLevel="1" x14ac:dyDescent="0.4">
      <c r="A372" s="765"/>
      <c r="B372" s="51"/>
      <c r="C372" s="1"/>
      <c r="D372" s="1"/>
      <c r="E372" s="1"/>
      <c r="F372" s="1"/>
      <c r="G372" s="1"/>
      <c r="H372" s="43"/>
      <c r="I372" s="34"/>
      <c r="J372" s="34"/>
      <c r="K372" s="44"/>
      <c r="L372" s="54"/>
    </row>
    <row r="373" spans="1:14" s="4" customFormat="1" outlineLevel="1" x14ac:dyDescent="0.4">
      <c r="A373" s="765"/>
      <c r="B373" s="51"/>
      <c r="C373" s="25" t="s">
        <v>190</v>
      </c>
      <c r="D373" s="1"/>
      <c r="E373" s="1"/>
      <c r="F373" s="1"/>
      <c r="G373" s="1"/>
      <c r="H373" s="43"/>
      <c r="I373" s="34"/>
      <c r="J373" s="34"/>
      <c r="K373" s="44"/>
      <c r="L373" s="54"/>
    </row>
    <row r="374" spans="1:14" s="4" customFormat="1" outlineLevel="1" x14ac:dyDescent="0.4">
      <c r="A374" s="765"/>
      <c r="B374" s="51"/>
      <c r="C374" s="164" t="s">
        <v>160</v>
      </c>
      <c r="D374" s="164" t="s">
        <v>151</v>
      </c>
      <c r="E374" s="164" t="s">
        <v>140</v>
      </c>
      <c r="F374" s="1"/>
      <c r="G374" s="1"/>
      <c r="H374" s="43"/>
      <c r="I374" s="164" t="s">
        <v>160</v>
      </c>
      <c r="J374" s="182" t="s">
        <v>141</v>
      </c>
      <c r="K374" s="44"/>
      <c r="L374" s="54"/>
    </row>
    <row r="375" spans="1:14" s="4" customFormat="1" outlineLevel="1" x14ac:dyDescent="0.4">
      <c r="A375" s="765"/>
      <c r="B375" s="51"/>
      <c r="C375" s="27" t="str">
        <f>IF(E364="Default", "Diesel", "")</f>
        <v>Diesel</v>
      </c>
      <c r="D375" s="74" t="str">
        <f>IF(E364="Default", "kWh/tonne(output)", "")</f>
        <v>kWh/tonne(output)</v>
      </c>
      <c r="E375" s="74">
        <f>IF(E364="Default", 3.881, "")</f>
        <v>3.8809999999999998</v>
      </c>
      <c r="F375" s="1"/>
      <c r="G375" s="1"/>
      <c r="H375" s="43"/>
      <c r="I375" s="27" t="str">
        <f>IF(C375&gt;0,C375,"")</f>
        <v>Diesel</v>
      </c>
      <c r="J375" s="31">
        <f>IF(E364="Actual","",IFERROR(IF(C375&gt;0,IF(ISBLANK(E375),"Insert data",IF(E363="No",0,(IF(D375="litres",(E375*(INDEX(Fuel_Densities,MATCH(C375,Fuels_for_Densities,0))/1000)*INDEX(Fuel_LHV,MATCH(C375,Fuels_for_LHV,0))*INDEX(Fuel_EFs,MATCH(C375,Fuels_for_EF,0)))/(D366*1000),(IF(D375="m3",(E375*(INDEX(Fuel_Densities,MATCH(C375,Fuels_for_Densities,0)))*INDEX(Fuel_LHV,MATCH(C375,Fuels_for_LHV,0))*INDEX(Fuel_EFs,MATCH(C375,Fuels_for_EF,0)))/(D366*1000),IF(D375="kg",(E375*INDEX(Fuel_LHV,MATCH(C375,Fuels_for_LHV,0))*INDEX(Fuel_EFs,MATCH(C375,Fuels_for_EF,0)))/(D366*1000),IF(D375="tonnes",(E375*INDEX(Fuel_LHV,MATCH(C375,Fuels_for_LHV,0))*1000*INDEX(Fuel_EFs,MATCH(C375,Fuels_for_EF,0)))/(D366*1000),IF(D375="MWh",(E375*'Reference values'!$D$47*INDEX(Fuel_EFs,MATCH(C375,Fuels_for_EF,0)))/(D366*1000),IF(D375="kWh",(E375*'Reference values'!$D$47*INDEX(Fuel_EFs,MATCH(C375,Fuels_for_EF,0))/1000)/(D366*1000),(IF(D375="litres/tonne(output)",(E375*(INDEX(Fuel_Densities,MATCH(C375,Fuels_for_Densities,0))/1000)*INDEX(Fuel_LHV,MATCH(C375,Fuels_for_LHV,0))*INDEX(Fuel_EFs,MATCH(C375,Fuels_for_EF,0)))/1000,(IF(D375="m3/tonne(output)",(E375*(INDEX(Fuel_Densities,MATCH(C375,Fuels_for_Densities,0)))*INDEX(Fuel_LHV,MATCH(C375,Fuels_for_LHV,0))*INDEX(Fuel_EFs,MATCH(C375,Fuels_for_EF,0)))/1000,IF(D375="kg/tonne(output)",(E375*INDEX(Fuel_LHV,MATCH(C375,Fuels_for_LHV,0))*INDEX(Fuel_EFs,MATCH(C375,Fuels_for_EF,0)))/1000,IF(D375="tonnes/tonne(output)",(E375*INDEX(Fuel_LHV,MATCH(C375,Fuels_for_LHV,0))*1000*INDEX(Fuel_EFs,MATCH(C375,Fuels_for_EF,0)))/1000,IF(D375="MWh/tonne(output)",(E375*'Reference values'!$D$47*INDEX(Fuel_EFs,MATCH(C375,Fuels_for_EF,0)))/1000,IF(D375="kWh/tonne(output)",(E375*'Reference values'!$D$47*INDEX(Fuel_EFs,MATCH(C375,Fuels_for_EF,0))/1000)/1000,"Insert unit")))))))))))))))))),""),"Insert data"))</f>
        <v>0</v>
      </c>
      <c r="K375" s="44"/>
      <c r="L375" s="54"/>
    </row>
    <row r="376" spans="1:14" s="4" customFormat="1" outlineLevel="1" x14ac:dyDescent="0.4">
      <c r="A376" s="765"/>
      <c r="B376" s="51"/>
      <c r="C376" s="134"/>
      <c r="D376" s="141"/>
      <c r="E376" s="144"/>
      <c r="F376" s="1"/>
      <c r="G376" s="1"/>
      <c r="H376" s="43"/>
      <c r="I376" s="27" t="str">
        <f>IF(C376&gt;0,C376,"")</f>
        <v/>
      </c>
      <c r="J376" s="31" t="str">
        <f>IFERROR(IF(C376&gt;0,IF(ISBLANK(E376),"Insert data",IF(E363="No",0,(IF(D376="litres",(E376*(INDEX(Fuel_Densities,MATCH(C376,Fuels_for_Densities,0))/1000)*INDEX(Fuel_LHV,MATCH(C376,Fuels_for_LHV,0))*INDEX(Fuel_EFs,MATCH(C376,Fuels_for_EF,0)))/(D366*1000),(IF(D376="m3",(E376*(INDEX(Fuel_Densities,MATCH(C376,Fuels_for_Densities,0)))*INDEX(Fuel_LHV,MATCH(C376,Fuels_for_LHV,0))*INDEX(Fuel_EFs,MATCH(C376,Fuels_for_EF,0)))/(D366*1000),IF(D376="kg",(E376*INDEX(Fuel_LHV,MATCH(C376,Fuels_for_LHV,0))*INDEX(Fuel_EFs,MATCH(C376,Fuels_for_EF,0)))/(D366*1000),IF(D376="tonnes",(E376*INDEX(Fuel_LHV,MATCH(C376,Fuels_for_LHV,0))*1000*INDEX(Fuel_EFs,MATCH(C376,Fuels_for_EF,0)))/(D366*1000),IF(D376="MWh",(E376*'Reference values'!$D$47*INDEX(Fuel_EFs,MATCH(C376,Fuels_for_EF,0)))/(D366*1000),IF(D376="kWh",(E376*'Reference values'!$D$47*INDEX(Fuel_EFs,MATCH(C376,Fuels_for_EF,0))/1000)/(D366*1000),(IF(D376="litres/tonne(output)",(E376*(INDEX(Fuel_Densities,MATCH(C376,Fuels_for_Densities,0))/1000)*INDEX(Fuel_LHV,MATCH(C376,Fuels_for_LHV,0))*INDEX(Fuel_EFs,MATCH(C376,Fuels_for_EF,0)))/1000,(IF(D376="m3/tonne(output)",(E376*(INDEX(Fuel_Densities,MATCH(C376,Fuels_for_Densities,0)))*INDEX(Fuel_LHV,MATCH(C376,Fuels_for_LHV,0))*INDEX(Fuel_EFs,MATCH(C376,Fuels_for_EF,0)))/1000,IF(D376="kg/tonne(output)",(E376*INDEX(Fuel_LHV,MATCH(C376,Fuels_for_LHV,0))*INDEX(Fuel_EFs,MATCH(C376,Fuels_for_EF,0)))/1000,IF(D376="tonnes/tonne(output)",(E376*INDEX(Fuel_LHV,MATCH(C376,Fuels_for_LHV,0))*1000*INDEX(Fuel_EFs,MATCH(C376,Fuels_for_EF,0)))/1000,IF(D376="MWh/tonne(output)",(E376*'Reference values'!$D$47*INDEX(Fuel_EFs,MATCH(C376,Fuels_for_EF,0)))/1000,IF(D376="kWh/tonne(output)",(E376*'Reference values'!$D$47*INDEX(Fuel_EFs,MATCH(C376,Fuels_for_EF,0))/1000)/1000,"Insert unit")))))))))))))))))),""),"Insert data")</f>
        <v/>
      </c>
      <c r="K376" s="44"/>
      <c r="L376" s="54"/>
    </row>
    <row r="377" spans="1:14" s="4" customFormat="1" outlineLevel="1" x14ac:dyDescent="0.4">
      <c r="A377" s="765"/>
      <c r="B377" s="51"/>
      <c r="C377" s="134"/>
      <c r="D377" s="141"/>
      <c r="E377" s="144"/>
      <c r="F377" s="1"/>
      <c r="G377" s="1"/>
      <c r="H377" s="43"/>
      <c r="I377" s="27" t="str">
        <f>IF(C377&gt;0,C377,"")</f>
        <v/>
      </c>
      <c r="J377" s="31" t="str">
        <f>IFERROR(IF(C377&gt;0,IF(ISBLANK(E377),"Insert data",IF(E363="No",0,(IF(D377="litres",(E377*(INDEX(Fuel_Densities,MATCH(C377,Fuels_for_Densities,0))/1000)*INDEX(Fuel_LHV,MATCH(C377,Fuels_for_LHV,0))*INDEX(Fuel_EFs,MATCH(C377,Fuels_for_EF,0)))/(D366*1000),(IF(D377="m3",(E377*(INDEX(Fuel_Densities,MATCH(C377,Fuels_for_Densities,0)))*INDEX(Fuel_LHV,MATCH(C377,Fuels_for_LHV,0))*INDEX(Fuel_EFs,MATCH(C377,Fuels_for_EF,0)))/(D366*1000),IF(D377="kg",(E377*INDEX(Fuel_LHV,MATCH(C377,Fuels_for_LHV,0))*INDEX(Fuel_EFs,MATCH(C377,Fuels_for_EF,0)))/(D366*1000),IF(D377="tonnes",(E377*INDEX(Fuel_LHV,MATCH(C377,Fuels_for_LHV,0))*1000*INDEX(Fuel_EFs,MATCH(C377,Fuels_for_EF,0)))/(D366*1000),IF(D377="MWh",(E377*'Reference values'!$D$47*INDEX(Fuel_EFs,MATCH(C377,Fuels_for_EF,0)))/(D366*1000),IF(D377="kWh",(E377*'Reference values'!$D$47*INDEX(Fuel_EFs,MATCH(C377,Fuels_for_EF,0))/1000)/(D366*1000),(IF(D377="litres/tonne(output)",(E377*(INDEX(Fuel_Densities,MATCH(C377,Fuels_for_Densities,0))/1000)*INDEX(Fuel_LHV,MATCH(C377,Fuels_for_LHV,0))*INDEX(Fuel_EFs,MATCH(C377,Fuels_for_EF,0)))/1000,(IF(D377="m3/tonne(output)",(E377*(INDEX(Fuel_Densities,MATCH(C377,Fuels_for_Densities,0)))*INDEX(Fuel_LHV,MATCH(C377,Fuels_for_LHV,0))*INDEX(Fuel_EFs,MATCH(C377,Fuels_for_EF,0)))/1000,IF(D377="kg/tonne(output)",(E377*INDEX(Fuel_LHV,MATCH(C377,Fuels_for_LHV,0))*INDEX(Fuel_EFs,MATCH(C377,Fuels_for_EF,0)))/1000,IF(D377="tonnes/tonne(output)",(E377*INDEX(Fuel_LHV,MATCH(C377,Fuels_for_LHV,0))*1000*INDEX(Fuel_EFs,MATCH(C377,Fuels_for_EF,0)))/1000,IF(D377="MWh/tonne(output)",(E377*'Reference values'!$D$47*INDEX(Fuel_EFs,MATCH(C377,Fuels_for_EF,0)))/1000,IF(D377="kWh/tonne(output)",(E377*'Reference values'!$D$47*INDEX(Fuel_EFs,MATCH(C377,Fuels_for_EF,0))/1000)/1000,"Insert unit")))))))))))))))))),""),"Insert data")</f>
        <v/>
      </c>
      <c r="K377" s="44"/>
      <c r="L377" s="54"/>
    </row>
    <row r="378" spans="1:14" s="4" customFormat="1" outlineLevel="1" x14ac:dyDescent="0.4">
      <c r="A378" s="765"/>
      <c r="B378" s="51"/>
      <c r="C378" s="134"/>
      <c r="D378" s="141"/>
      <c r="E378" s="144"/>
      <c r="F378" s="1"/>
      <c r="G378" s="1"/>
      <c r="H378" s="43"/>
      <c r="I378" s="27" t="str">
        <f>IF(C378&gt;0,C378,"")</f>
        <v/>
      </c>
      <c r="J378" s="31" t="str">
        <f>IFERROR(IF(C378&gt;0,IF(ISBLANK(E378),"Insert data",IF(E363="No",0,(IF(D378="litres",(E378*(INDEX(Fuel_Densities,MATCH(C378,Fuels_for_Densities,0))/1000)*INDEX(Fuel_LHV,MATCH(C378,Fuels_for_LHV,0))*INDEX(Fuel_EFs,MATCH(C378,Fuels_for_EF,0)))/(D366*1000),(IF(D378="m3",(E378*(INDEX(Fuel_Densities,MATCH(C378,Fuels_for_Densities,0)))*INDEX(Fuel_LHV,MATCH(C378,Fuels_for_LHV,0))*INDEX(Fuel_EFs,MATCH(C378,Fuels_for_EF,0)))/(D366*1000),IF(D378="kg",(E378*INDEX(Fuel_LHV,MATCH(C378,Fuels_for_LHV,0))*INDEX(Fuel_EFs,MATCH(C378,Fuels_for_EF,0)))/(D366*1000),IF(D378="tonnes",(E378*INDEX(Fuel_LHV,MATCH(C378,Fuels_for_LHV,0))*1000*INDEX(Fuel_EFs,MATCH(C378,Fuels_for_EF,0)))/(D366*1000),IF(D378="MWh",(E378*'Reference values'!$D$47*INDEX(Fuel_EFs,MATCH(C378,Fuels_for_EF,0)))/(D366*1000),IF(D378="kWh",(E378*'Reference values'!$D$47*INDEX(Fuel_EFs,MATCH(C378,Fuels_for_EF,0))/1000)/(D366*1000),(IF(D378="litres/tonne(output)",(E378*(INDEX(Fuel_Densities,MATCH(C378,Fuels_for_Densities,0))/1000)*INDEX(Fuel_LHV,MATCH(C378,Fuels_for_LHV,0))*INDEX(Fuel_EFs,MATCH(C378,Fuels_for_EF,0)))/1000,(IF(D378="m3/tonne(output)",(E378*(INDEX(Fuel_Densities,MATCH(C378,Fuels_for_Densities,0)))*INDEX(Fuel_LHV,MATCH(C378,Fuels_for_LHV,0))*INDEX(Fuel_EFs,MATCH(C378,Fuels_for_EF,0)))/1000,IF(D378="kg/tonne(output)",(E378*INDEX(Fuel_LHV,MATCH(C378,Fuels_for_LHV,0))*INDEX(Fuel_EFs,MATCH(C378,Fuels_for_EF,0)))/1000,IF(D378="tonnes/tonne(output)",(E378*INDEX(Fuel_LHV,MATCH(C378,Fuels_for_LHV,0))*1000*INDEX(Fuel_EFs,MATCH(C378,Fuels_for_EF,0)))/1000,IF(D378="MWh/tonne(output)",(E378*'Reference values'!$D$47*INDEX(Fuel_EFs,MATCH(C378,Fuels_for_EF,0)))/1000,IF(D378="kWh/tonne(output)",(E378*'Reference values'!$D$47*INDEX(Fuel_EFs,MATCH(C378,Fuels_for_EF,0))/1000)/1000,"Insert unit")))))))))))))))))),""),"Insert data")</f>
        <v/>
      </c>
      <c r="K378" s="44"/>
      <c r="L378" s="54"/>
    </row>
    <row r="379" spans="1:14" s="4" customFormat="1" outlineLevel="1" x14ac:dyDescent="0.4">
      <c r="A379" s="765"/>
      <c r="B379" s="51"/>
      <c r="C379" s="1"/>
      <c r="D379" s="1"/>
      <c r="E379" s="1"/>
      <c r="F379" s="1"/>
      <c r="G379" s="53"/>
      <c r="H379" s="56"/>
      <c r="I379" s="57"/>
      <c r="J379" s="34"/>
      <c r="K379" s="44"/>
      <c r="L379" s="54"/>
    </row>
    <row r="380" spans="1:14" s="4" customFormat="1" outlineLevel="1" x14ac:dyDescent="0.4">
      <c r="A380" s="765"/>
      <c r="B380" s="51"/>
      <c r="C380" s="25" t="s">
        <v>191</v>
      </c>
      <c r="D380" s="1"/>
      <c r="E380" s="1"/>
      <c r="F380" s="1"/>
      <c r="G380" s="53"/>
      <c r="H380" s="56"/>
      <c r="I380" s="34"/>
      <c r="J380" s="34"/>
      <c r="K380" s="44"/>
      <c r="L380" s="54"/>
    </row>
    <row r="381" spans="1:14" s="4" customFormat="1" outlineLevel="1" x14ac:dyDescent="0.4">
      <c r="A381" s="765"/>
      <c r="B381" s="51"/>
      <c r="C381" s="164" t="s">
        <v>192</v>
      </c>
      <c r="D381" s="164" t="s">
        <v>151</v>
      </c>
      <c r="E381" s="164" t="s">
        <v>140</v>
      </c>
      <c r="F381" s="1"/>
      <c r="G381" s="1"/>
      <c r="H381" s="43"/>
      <c r="I381" s="164" t="s">
        <v>192</v>
      </c>
      <c r="J381" s="182" t="s">
        <v>141</v>
      </c>
      <c r="K381" s="44"/>
      <c r="L381" s="54"/>
    </row>
    <row r="382" spans="1:14" s="4" customFormat="1" outlineLevel="1" x14ac:dyDescent="0.4">
      <c r="A382" s="765"/>
      <c r="B382" s="51"/>
      <c r="C382" s="134"/>
      <c r="D382" s="141"/>
      <c r="E382" s="144"/>
      <c r="F382" s="1"/>
      <c r="G382" s="1"/>
      <c r="H382" s="43"/>
      <c r="I382" s="27" t="str">
        <f t="shared" ref="I382:I389" si="7">IF(C382&gt;0,C382,"")</f>
        <v/>
      </c>
      <c r="J382" s="31" t="str">
        <f>IFERROR(IF(C382&gt;0,IF(ISBLANK(E382),"Insert data",IF(E363="No",0,IF(D382="kg",E382*INDEX(Chemical_Emission_Factors,MATCH(C382,Chemicals,0))/(D366*1000),IF(D382="tonnes",E382*INDEX(Chemical_Emission_Factors,MATCH(C382,Chemicals,0))*1000/(D366*1000),IF(D382="kg/tonne(output)",E382*INDEX(Chemical_Emission_Factors,MATCH(C382,Chemicals,0))/1000,IF(D382="tonnes/tonne(output)",E382*INDEX(Chemical_Emission_Factors,MATCH(C382,Chemicals,0))*1000/1000,"Insert unit")))))),""),"Insert data")</f>
        <v/>
      </c>
      <c r="K382" s="44"/>
      <c r="L382" s="54"/>
    </row>
    <row r="383" spans="1:14" s="4" customFormat="1" outlineLevel="1" x14ac:dyDescent="0.4">
      <c r="A383" s="765"/>
      <c r="B383" s="51"/>
      <c r="C383" s="134"/>
      <c r="D383" s="141"/>
      <c r="E383" s="144"/>
      <c r="F383" s="1"/>
      <c r="G383" s="1"/>
      <c r="H383" s="43"/>
      <c r="I383" s="27" t="str">
        <f t="shared" si="7"/>
        <v/>
      </c>
      <c r="J383" s="31" t="str">
        <f>IFERROR(IF(C383&gt;0,IF(ISBLANK(E383),"Insert data",IF(E363="No",0,IF(D383="kg",E383*INDEX(Chemical_Emission_Factors,MATCH(C383,Chemicals,0))/(D366*1000),IF(D383="tonnes",E383*INDEX(Chemical_Emission_Factors,MATCH(C383,Chemicals,0))*1000/(D366*1000),IF(D383="kg/tonne(output)",E383*INDEX(Chemical_Emission_Factors,MATCH(C383,Chemicals,0))/1000,IF(D383="tonnes/tonne(output)",E383*INDEX(Chemical_Emission_Factors,MATCH(C383,Chemicals,0))*1000/1000,"Insert unit")))))),""),"Insert data")</f>
        <v/>
      </c>
      <c r="K383" s="44"/>
      <c r="L383" s="54"/>
    </row>
    <row r="384" spans="1:14" s="4" customFormat="1" outlineLevel="1" x14ac:dyDescent="0.4">
      <c r="A384" s="765"/>
      <c r="B384" s="51"/>
      <c r="C384" s="134"/>
      <c r="D384" s="141"/>
      <c r="E384" s="144"/>
      <c r="F384" s="1"/>
      <c r="G384" s="1"/>
      <c r="H384" s="43"/>
      <c r="I384" s="27" t="str">
        <f t="shared" si="7"/>
        <v/>
      </c>
      <c r="J384" s="31" t="str">
        <f>IFERROR(IF(C384&gt;0,IF(ISBLANK(E384),"Insert data",IF(E363="No",0,IF(D384="kg",E384*INDEX(Chemical_Emission_Factors,MATCH(C384,Chemicals,0))/(D366*1000),IF(D384="tonnes",E384*INDEX(Chemical_Emission_Factors,MATCH(C384,Chemicals,0))*1000/(D366*1000),IF(D384="kg/tonne(output)",E384*INDEX(Chemical_Emission_Factors,MATCH(C384,Chemicals,0))/1000,IF(D384="tonnes/tonne(output)",E384*INDEX(Chemical_Emission_Factors,MATCH(C384,Chemicals,0))*1000/1000,"Insert unit")))))),""),"Insert data")</f>
        <v/>
      </c>
      <c r="K384" s="44"/>
      <c r="L384" s="54"/>
    </row>
    <row r="385" spans="1:12" s="4" customFormat="1" outlineLevel="1" x14ac:dyDescent="0.4">
      <c r="A385" s="765"/>
      <c r="B385" s="51"/>
      <c r="C385" s="134"/>
      <c r="D385" s="141"/>
      <c r="E385" s="144"/>
      <c r="F385" s="1"/>
      <c r="G385" s="1"/>
      <c r="H385" s="43"/>
      <c r="I385" s="27" t="str">
        <f t="shared" si="7"/>
        <v/>
      </c>
      <c r="J385" s="31" t="str">
        <f>IFERROR(IF(C385&gt;0,IF(ISBLANK(E385),"Insert data",IF(E363="No",0,IF(D385="kg",E385*INDEX(Chemical_Emission_Factors,MATCH(C385,Chemicals,0))/(D366*1000),IF(D385="tonnes",E385*INDEX(Chemical_Emission_Factors,MATCH(C385,Chemicals,0))*1000/(D366*1000),IF(D385="kg/tonne(output)",E385*INDEX(Chemical_Emission_Factors,MATCH(C385,Chemicals,0))/1000,IF(D385="tonnes/tonne(output)",E385*INDEX(Chemical_Emission_Factors,MATCH(C385,Chemicals,0))*1000/1000,"Insert unit")))))),""),"Insert data")</f>
        <v/>
      </c>
      <c r="K385" s="44"/>
      <c r="L385" s="54"/>
    </row>
    <row r="386" spans="1:12" s="4" customFormat="1" outlineLevel="1" x14ac:dyDescent="0.4">
      <c r="A386" s="765"/>
      <c r="B386" s="51"/>
      <c r="C386" s="134"/>
      <c r="D386" s="141"/>
      <c r="E386" s="144"/>
      <c r="F386" s="1"/>
      <c r="G386" s="1"/>
      <c r="H386" s="43"/>
      <c r="I386" s="27" t="str">
        <f t="shared" si="7"/>
        <v/>
      </c>
      <c r="J386" s="31" t="str">
        <f>IFERROR(IF(C386&gt;0,IF(ISBLANK(E386),"Insert data",IF(E363="No",0,IF(D386="kg",E386*INDEX(Chemical_Emission_Factors,MATCH(C386,Chemicals,0))/(D366*1000),IF(D386="tonnes",E386*INDEX(Chemical_Emission_Factors,MATCH(C386,Chemicals,0))*1000/(D366*1000),IF(D386="kg/tonne(output)",E386*INDEX(Chemical_Emission_Factors,MATCH(C386,Chemicals,0))/1000,IF(D386="tonnes/tonne(output)",E386*INDEX(Chemical_Emission_Factors,MATCH(C386,Chemicals,0))*1000/1000,"Insert unit")))))),""),"Insert data")</f>
        <v/>
      </c>
      <c r="K386" s="44"/>
      <c r="L386" s="54"/>
    </row>
    <row r="387" spans="1:12" s="4" customFormat="1" outlineLevel="1" x14ac:dyDescent="0.4">
      <c r="A387" s="765"/>
      <c r="B387" s="51"/>
      <c r="C387" s="134"/>
      <c r="D387" s="141"/>
      <c r="E387" s="144"/>
      <c r="F387" s="1"/>
      <c r="G387" s="1"/>
      <c r="H387" s="43"/>
      <c r="I387" s="27" t="str">
        <f t="shared" si="7"/>
        <v/>
      </c>
      <c r="J387" s="31" t="str">
        <f>IFERROR(IF(C387&gt;0,IF(ISBLANK(E387),"Insert data",IF(E363="No",0,IF(D387="kg",E387*INDEX(Chemical_Emission_Factors,MATCH(C387,Chemicals,0))/(D366*1000),IF(D387="tonnes",E387*INDEX(Chemical_Emission_Factors,MATCH(C387,Chemicals,0))*1000/(D366*1000),IF(D387="kg/tonne(output)",E387*INDEX(Chemical_Emission_Factors,MATCH(C387,Chemicals,0))/1000,IF(D387="tonnes/tonne(output)",E387*INDEX(Chemical_Emission_Factors,MATCH(C387,Chemicals,0))*1000/1000,"Insert unit")))))),""),"Insert data")</f>
        <v/>
      </c>
      <c r="K387" s="44"/>
      <c r="L387" s="54"/>
    </row>
    <row r="388" spans="1:12" s="4" customFormat="1" outlineLevel="1" x14ac:dyDescent="0.4">
      <c r="A388" s="765"/>
      <c r="B388" s="51"/>
      <c r="C388" s="134"/>
      <c r="D388" s="141"/>
      <c r="E388" s="144"/>
      <c r="F388" s="1"/>
      <c r="G388" s="1"/>
      <c r="H388" s="43"/>
      <c r="I388" s="27" t="str">
        <f t="shared" si="7"/>
        <v/>
      </c>
      <c r="J388" s="31" t="str">
        <f>IFERROR(IF(C388&gt;0,IF(ISBLANK(E388),"Insert data",IF(E363="No",0,IF(D388="kg",E388*INDEX(Chemical_Emission_Factors,MATCH(C388,Chemicals,0))/(D366*1000),IF(D388="tonnes",E388*INDEX(Chemical_Emission_Factors,MATCH(C388,Chemicals,0))*1000/(D366*1000),IF(D388="kg/tonne(output)",E388*INDEX(Chemical_Emission_Factors,MATCH(C388,Chemicals,0))/1000,IF(D388="tonnes/tonne(output)",E388*INDEX(Chemical_Emission_Factors,MATCH(C388,Chemicals,0))*1000/1000,"Insert unit")))))),""),"Insert data")</f>
        <v/>
      </c>
      <c r="K388" s="44"/>
      <c r="L388" s="54"/>
    </row>
    <row r="389" spans="1:12" s="4" customFormat="1" outlineLevel="1" x14ac:dyDescent="0.4">
      <c r="A389" s="765"/>
      <c r="B389" s="51"/>
      <c r="C389" s="134"/>
      <c r="D389" s="141"/>
      <c r="E389" s="144"/>
      <c r="F389" s="1"/>
      <c r="G389" s="1"/>
      <c r="H389" s="43"/>
      <c r="I389" s="27" t="str">
        <f t="shared" si="7"/>
        <v/>
      </c>
      <c r="J389" s="31" t="str">
        <f>IFERROR(IF(C389&gt;0,IF(ISBLANK(E389),"Insert data",IF(E363="No",0,IF(D389="kg",E389*INDEX(Chemical_Emission_Factors,MATCH(C389,Chemicals,0))/(D366*1000),IF(D389="tonnes",E389*INDEX(Chemical_Emission_Factors,MATCH(C389,Chemicals,0))*1000/(D366*1000),IF(D389="kg/tonne(output)",E389*INDEX(Chemical_Emission_Factors,MATCH(C389,Chemicals,0))/1000,IF(D389="tonnes/tonne(output)",E389*INDEX(Chemical_Emission_Factors,MATCH(C389,Chemicals,0))*1000/1000,"Insert unit")))))),""),"Insert data")</f>
        <v/>
      </c>
      <c r="K389" s="44"/>
      <c r="L389" s="54"/>
    </row>
    <row r="390" spans="1:12" s="4" customFormat="1" ht="12.75" customHeight="1" outlineLevel="1" x14ac:dyDescent="0.4">
      <c r="B390" s="20"/>
      <c r="C390" s="21"/>
      <c r="D390" s="21"/>
      <c r="E390" s="21"/>
      <c r="F390" s="1"/>
      <c r="G390" s="21"/>
      <c r="H390" s="46"/>
      <c r="I390" s="58"/>
      <c r="J390" s="58"/>
      <c r="K390" s="59"/>
      <c r="L390" s="35"/>
    </row>
    <row r="391" spans="1:12" s="4" customFormat="1" outlineLevel="1" x14ac:dyDescent="0.4">
      <c r="B391" s="20"/>
      <c r="C391" s="243" t="s">
        <v>193</v>
      </c>
      <c r="D391" s="21"/>
      <c r="E391" s="21"/>
      <c r="F391" s="1"/>
      <c r="G391" s="21"/>
      <c r="H391" s="21"/>
      <c r="I391" s="21"/>
      <c r="J391" s="21"/>
      <c r="K391" s="21"/>
      <c r="L391" s="35"/>
    </row>
    <row r="392" spans="1:12" s="4" customFormat="1" outlineLevel="1" x14ac:dyDescent="0.4">
      <c r="B392" s="20"/>
      <c r="C392" s="766" t="s">
        <v>194</v>
      </c>
      <c r="D392" s="767"/>
      <c r="E392" s="299" t="s">
        <v>178</v>
      </c>
      <c r="F392" s="1"/>
      <c r="G392" s="21"/>
      <c r="H392" s="302"/>
      <c r="I392" s="47"/>
      <c r="J392" s="47"/>
      <c r="K392" s="45"/>
      <c r="L392" s="35"/>
    </row>
    <row r="393" spans="1:12" s="4" customFormat="1" ht="6.75" customHeight="1" outlineLevel="1" x14ac:dyDescent="0.4">
      <c r="B393" s="20"/>
      <c r="C393" s="21"/>
      <c r="D393" s="21"/>
      <c r="E393" s="21"/>
      <c r="F393" s="1"/>
      <c r="G393" s="21"/>
      <c r="H393" s="41"/>
      <c r="I393" s="36"/>
      <c r="J393" s="301"/>
      <c r="K393" s="37"/>
      <c r="L393" s="35"/>
    </row>
    <row r="394" spans="1:12" s="4" customFormat="1" outlineLevel="1" x14ac:dyDescent="0.4">
      <c r="B394" s="20"/>
      <c r="C394" s="21"/>
      <c r="D394" s="164" t="s">
        <v>151</v>
      </c>
      <c r="E394" s="164" t="s">
        <v>140</v>
      </c>
      <c r="F394" s="1"/>
      <c r="G394" s="21"/>
      <c r="H394" s="41"/>
      <c r="I394" s="36"/>
      <c r="J394" s="164" t="s">
        <v>195</v>
      </c>
      <c r="K394" s="37"/>
      <c r="L394" s="35"/>
    </row>
    <row r="395" spans="1:12" s="4" customFormat="1" outlineLevel="1" x14ac:dyDescent="0.4">
      <c r="B395" s="20"/>
      <c r="C395" s="164" t="s">
        <v>196</v>
      </c>
      <c r="D395" s="297" t="s">
        <v>197</v>
      </c>
      <c r="E395" s="299"/>
      <c r="F395" s="1"/>
      <c r="G395" s="21"/>
      <c r="H395" s="41"/>
      <c r="I395" s="164" t="s">
        <v>198</v>
      </c>
      <c r="J395" s="309" t="str">
        <f>IFERROR(IF(E392="No", "", IF(AND(E392="yes",OR(ISBLANK(E395),ISBLANK(E396),ISBLANK(E397))),"Insert data",E396/(E396+E397*E395))), "")</f>
        <v/>
      </c>
      <c r="K395" s="37"/>
      <c r="L395" s="35"/>
    </row>
    <row r="396" spans="1:12" s="4" customFormat="1" outlineLevel="1" x14ac:dyDescent="0.4">
      <c r="B396" s="20"/>
      <c r="C396" s="164" t="s">
        <v>199</v>
      </c>
      <c r="D396" s="296" t="s">
        <v>200</v>
      </c>
      <c r="E396" s="299"/>
      <c r="F396" s="1"/>
      <c r="G396" s="21"/>
      <c r="H396" s="41"/>
      <c r="I396" s="164" t="s">
        <v>201</v>
      </c>
      <c r="J396" s="309" t="str">
        <f>IFERROR(IF(E392="No", "", IF(AND(E392="yes",OR(ISBLANK(E395),ISBLANK(E396),ISBLANK(E397))),"Insert data",(E397*E395)/(E397*E395+E396))),"")</f>
        <v/>
      </c>
      <c r="K396" s="37"/>
      <c r="L396" s="35"/>
    </row>
    <row r="397" spans="1:12" s="4" customFormat="1" outlineLevel="1" x14ac:dyDescent="0.4">
      <c r="B397" s="20"/>
      <c r="C397" s="164" t="s">
        <v>202</v>
      </c>
      <c r="D397" s="296" t="s">
        <v>200</v>
      </c>
      <c r="E397" s="299"/>
      <c r="F397" s="1"/>
      <c r="G397" s="21"/>
      <c r="H397" s="46"/>
      <c r="I397" s="58"/>
      <c r="J397" s="58"/>
      <c r="K397" s="59"/>
      <c r="L397" s="35"/>
    </row>
    <row r="398" spans="1:12" s="4" customFormat="1" ht="6.75" customHeight="1" outlineLevel="1" x14ac:dyDescent="0.4">
      <c r="B398" s="20"/>
      <c r="C398" s="21"/>
      <c r="D398" s="21"/>
      <c r="E398" s="21"/>
      <c r="F398" s="21"/>
      <c r="G398" s="21"/>
      <c r="H398" s="21"/>
      <c r="I398" s="21"/>
      <c r="J398" s="21"/>
      <c r="K398" s="21"/>
      <c r="L398" s="35"/>
    </row>
    <row r="399" spans="1:12" s="4" customFormat="1" ht="12.75" customHeight="1" outlineLevel="1" x14ac:dyDescent="0.4">
      <c r="B399" s="20"/>
      <c r="C399" s="300" t="s">
        <v>203</v>
      </c>
      <c r="D399" s="21"/>
      <c r="E399" s="21"/>
      <c r="F399" s="21"/>
      <c r="G399" s="21"/>
      <c r="H399" s="21"/>
      <c r="I399" s="21"/>
      <c r="J399" s="21"/>
      <c r="K399" s="21"/>
      <c r="L399" s="35"/>
    </row>
    <row r="400" spans="1:12" s="4" customFormat="1" ht="12.75" customHeight="1" outlineLevel="1" x14ac:dyDescent="0.4">
      <c r="B400" s="20"/>
      <c r="C400" s="300" t="s">
        <v>204</v>
      </c>
      <c r="D400" s="21"/>
      <c r="E400" s="21"/>
      <c r="F400" s="21"/>
      <c r="G400" s="21"/>
      <c r="H400" s="21"/>
      <c r="I400" s="21"/>
      <c r="J400" s="21"/>
      <c r="K400" s="21"/>
      <c r="L400" s="35"/>
    </row>
    <row r="401" spans="1:12" s="4" customFormat="1" ht="6.75" customHeight="1" outlineLevel="1" x14ac:dyDescent="0.4">
      <c r="B401" s="28"/>
      <c r="C401" s="298"/>
      <c r="D401" s="29"/>
      <c r="E401" s="29"/>
      <c r="F401" s="29"/>
      <c r="G401" s="29"/>
      <c r="H401" s="29"/>
      <c r="I401" s="29"/>
      <c r="J401" s="29"/>
      <c r="K401" s="29"/>
      <c r="L401" s="60"/>
    </row>
    <row r="402" spans="1:12" s="4" customFormat="1" x14ac:dyDescent="0.4"/>
    <row r="403" spans="1:12" s="4" customFormat="1" hidden="1" x14ac:dyDescent="0.4"/>
    <row r="404" spans="1:12" s="4" customFormat="1" hidden="1" x14ac:dyDescent="0.4"/>
    <row r="405" spans="1:12" s="4" customFormat="1" hidden="1" x14ac:dyDescent="0.4"/>
    <row r="406" spans="1:12" s="4" customFormat="1" hidden="1" x14ac:dyDescent="0.4"/>
    <row r="407" spans="1:12" s="4" customFormat="1" hidden="1" x14ac:dyDescent="0.4"/>
    <row r="408" spans="1:12" s="4" customFormat="1" ht="19.2" x14ac:dyDescent="0.45">
      <c r="B408" s="754" t="str">
        <f>"Feedstock Conversion"&amp;" - "&amp;Feedstocks!C19</f>
        <v xml:space="preserve">Feedstock Conversion - </v>
      </c>
      <c r="C408" s="755"/>
      <c r="D408" s="755"/>
      <c r="E408" s="755"/>
      <c r="F408" s="755"/>
      <c r="G408" s="755"/>
      <c r="H408" s="755"/>
      <c r="I408" s="755"/>
      <c r="J408" s="755"/>
      <c r="K408" s="755"/>
      <c r="L408" s="756"/>
    </row>
    <row r="409" spans="1:12" s="4" customFormat="1" outlineLevel="1" x14ac:dyDescent="0.4">
      <c r="B409" s="17"/>
      <c r="C409" s="19"/>
      <c r="D409" s="19"/>
      <c r="E409" s="19"/>
      <c r="F409" s="19"/>
      <c r="G409" s="19"/>
      <c r="H409" s="19"/>
      <c r="I409" s="19"/>
      <c r="J409" s="19"/>
      <c r="K409" s="19"/>
      <c r="L409" s="50"/>
    </row>
    <row r="410" spans="1:12" s="4" customFormat="1" outlineLevel="1" x14ac:dyDescent="0.4">
      <c r="B410" s="20"/>
      <c r="C410" s="1"/>
      <c r="D410" s="760"/>
      <c r="E410" s="762"/>
      <c r="F410" s="1"/>
      <c r="G410" s="1"/>
      <c r="H410" s="69" t="s">
        <v>122</v>
      </c>
      <c r="I410" s="47"/>
      <c r="J410" s="47"/>
      <c r="K410" s="45"/>
      <c r="L410" s="35"/>
    </row>
    <row r="411" spans="1:12" s="4" customFormat="1" outlineLevel="1" x14ac:dyDescent="0.4">
      <c r="B411" s="20"/>
      <c r="C411" s="160" t="s">
        <v>123</v>
      </c>
      <c r="D411" s="753" t="str">
        <f>IF(Feedstocks!$H$19&gt;0,Feedstocks!$H$19,"")</f>
        <v/>
      </c>
      <c r="E411" s="753"/>
      <c r="F411" s="1"/>
      <c r="G411" s="76"/>
      <c r="H411" s="41"/>
      <c r="I411" s="36"/>
      <c r="J411" s="164" t="s">
        <v>124</v>
      </c>
      <c r="K411" s="37"/>
      <c r="L411" s="35"/>
    </row>
    <row r="412" spans="1:12" s="4" customFormat="1" outlineLevel="1" x14ac:dyDescent="0.4">
      <c r="B412" s="20"/>
      <c r="C412" s="21"/>
      <c r="D412" s="21"/>
      <c r="E412" s="21"/>
      <c r="F412" s="21"/>
      <c r="G412" s="21"/>
      <c r="H412" s="41"/>
      <c r="I412" s="164" t="s">
        <v>125</v>
      </c>
      <c r="J412" s="52" t="str">
        <f>IFERROR((J416/('Transport 2'!F419*('Digestion &amp; outputs'!$G$24/1000)))*'Digestion &amp; outputs'!$K$23,"")</f>
        <v/>
      </c>
      <c r="K412" s="37"/>
      <c r="L412" s="35"/>
    </row>
    <row r="413" spans="1:12" s="4" customFormat="1" ht="16.5" customHeight="1" outlineLevel="1" x14ac:dyDescent="0.4">
      <c r="B413" s="20"/>
      <c r="C413" s="759" t="s">
        <v>183</v>
      </c>
      <c r="D413" s="759"/>
      <c r="E413" s="134" t="s">
        <v>178</v>
      </c>
      <c r="F413" s="21"/>
      <c r="G413" s="21"/>
      <c r="H413" s="41"/>
      <c r="I413" s="36"/>
      <c r="J413" s="36"/>
      <c r="K413" s="37"/>
      <c r="L413" s="35"/>
    </row>
    <row r="414" spans="1:12" s="4" customFormat="1" outlineLevel="1" x14ac:dyDescent="0.4">
      <c r="B414" s="20"/>
      <c r="C414" s="763" t="s">
        <v>184</v>
      </c>
      <c r="D414" s="764"/>
      <c r="E414" s="134" t="s">
        <v>96</v>
      </c>
      <c r="F414" s="21"/>
      <c r="G414" s="21"/>
      <c r="H414" s="41"/>
      <c r="I414" s="36"/>
      <c r="J414" s="36"/>
      <c r="K414" s="37"/>
      <c r="L414" s="35"/>
    </row>
    <row r="415" spans="1:12" s="4" customFormat="1" outlineLevel="1" x14ac:dyDescent="0.4">
      <c r="B415" s="20"/>
      <c r="C415" s="21"/>
      <c r="D415" s="21"/>
      <c r="E415" s="21"/>
      <c r="F415" s="21"/>
      <c r="G415" s="21"/>
      <c r="H415" s="43"/>
      <c r="I415" s="34"/>
      <c r="J415" s="164" t="s">
        <v>141</v>
      </c>
      <c r="K415" s="44"/>
      <c r="L415" s="35"/>
    </row>
    <row r="416" spans="1:12" s="4" customFormat="1" outlineLevel="1" x14ac:dyDescent="0.4">
      <c r="A416" s="765"/>
      <c r="B416" s="51"/>
      <c r="C416" s="164" t="s">
        <v>185</v>
      </c>
      <c r="D416" s="70">
        <f>IFERROR(Feedstocks!D19/'Transport 2'!F419,"Insert data")</f>
        <v>0</v>
      </c>
      <c r="E416" s="21"/>
      <c r="F416" s="21"/>
      <c r="G416" s="21"/>
      <c r="H416" s="43"/>
      <c r="I416" s="164" t="s">
        <v>167</v>
      </c>
      <c r="J416" s="52">
        <f>IFERROR(IF(AND(E413="YES",ISBLANK(F417)),"Insert yield",SUM(J432:J439,J425:J428,J421)*IF(E442="Yes",J445,1)),"Insert data")</f>
        <v>0</v>
      </c>
      <c r="K416" s="44"/>
      <c r="L416" s="35"/>
    </row>
    <row r="417" spans="1:14" s="4" customFormat="1" outlineLevel="1" x14ac:dyDescent="0.4">
      <c r="A417" s="765"/>
      <c r="B417" s="51"/>
      <c r="C417" s="164" t="s">
        <v>186</v>
      </c>
      <c r="D417" s="680">
        <v>0.9</v>
      </c>
      <c r="E417" s="134"/>
      <c r="F417" s="623">
        <f>IF(E413="No", 1, IF(E414="Default",D417, IF(E414="Actual", IF(E417&gt;0, E417, "insert data"), "error")))</f>
        <v>1</v>
      </c>
      <c r="G417" s="21"/>
      <c r="H417" s="49"/>
      <c r="I417" s="65"/>
      <c r="J417" s="65"/>
      <c r="K417" s="66"/>
      <c r="L417" s="35"/>
    </row>
    <row r="418" spans="1:14" s="4" customFormat="1" outlineLevel="1" x14ac:dyDescent="0.4">
      <c r="A418" s="765"/>
      <c r="B418" s="51"/>
      <c r="C418" s="21"/>
      <c r="D418" s="21"/>
      <c r="E418" s="21"/>
      <c r="F418" s="21"/>
      <c r="G418" s="21"/>
      <c r="H418" s="29"/>
      <c r="I418" s="29"/>
      <c r="J418" s="29"/>
      <c r="K418" s="29"/>
      <c r="L418" s="35"/>
    </row>
    <row r="419" spans="1:14" s="4" customFormat="1" outlineLevel="1" x14ac:dyDescent="0.4">
      <c r="A419" s="765"/>
      <c r="B419" s="51"/>
      <c r="C419" s="25" t="s">
        <v>187</v>
      </c>
      <c r="D419" s="1"/>
      <c r="E419" s="1"/>
      <c r="F419" s="21"/>
      <c r="G419" s="1"/>
      <c r="H419" s="69" t="s">
        <v>136</v>
      </c>
      <c r="I419" s="79"/>
      <c r="J419" s="79"/>
      <c r="K419" s="61"/>
      <c r="L419" s="54"/>
      <c r="M419" s="12"/>
      <c r="N419" s="12"/>
    </row>
    <row r="420" spans="1:14" s="4" customFormat="1" outlineLevel="1" x14ac:dyDescent="0.4">
      <c r="A420" s="765"/>
      <c r="B420" s="51"/>
      <c r="C420" s="166" t="s">
        <v>188</v>
      </c>
      <c r="D420" s="164" t="s">
        <v>151</v>
      </c>
      <c r="E420" s="164" t="s">
        <v>140</v>
      </c>
      <c r="F420" s="21"/>
      <c r="G420" s="1"/>
      <c r="H420" s="43"/>
      <c r="I420" s="34"/>
      <c r="J420" s="164" t="s">
        <v>141</v>
      </c>
      <c r="K420" s="44"/>
      <c r="L420" s="54"/>
    </row>
    <row r="421" spans="1:14" s="4" customFormat="1" outlineLevel="1" x14ac:dyDescent="0.4">
      <c r="A421" s="765"/>
      <c r="B421" s="51"/>
      <c r="C421" s="145"/>
      <c r="D421" s="141"/>
      <c r="E421" s="144"/>
      <c r="F421" s="21"/>
      <c r="G421" s="1"/>
      <c r="H421" s="43"/>
      <c r="I421" s="164" t="s">
        <v>189</v>
      </c>
      <c r="J421" s="31">
        <f>IFERROR(IF(E413="No",0,IF(D421="MWh",(E421*'Reference values'!$D$47*INDEX(Electricity_Emission_Factors,MATCH(C421,Electricity_Source,0)))/(D416*1000),IF(D421="kWh",(E421*'Reference values'!$D$47*INDEX(Electricity_Emission_Factors,MATCH(C421,Electricity_Source,0))/1000)/(D416*1000),IF(D421="MWh/tonne(output)",(E421*'Reference values'!$D$47*INDEX(Electricity_Emission_Factors,MATCH(C421,Electricity_Source,0)))/1000,IF(D421="kWh/tonne(output)",(E421*'Reference values'!$D$47*INDEX(Electricity_Emission_Factors,MATCH(C421,Electricity_Source,0))/1000)/1000,""))))),"")</f>
        <v>0</v>
      </c>
      <c r="K421" s="44"/>
      <c r="L421" s="54"/>
    </row>
    <row r="422" spans="1:14" s="4" customFormat="1" outlineLevel="1" x14ac:dyDescent="0.4">
      <c r="A422" s="765"/>
      <c r="B422" s="51"/>
      <c r="C422" s="1"/>
      <c r="D422" s="1"/>
      <c r="E422" s="1"/>
      <c r="F422" s="21"/>
      <c r="G422" s="1"/>
      <c r="H422" s="43"/>
      <c r="I422" s="34"/>
      <c r="J422" s="34"/>
      <c r="K422" s="44"/>
      <c r="L422" s="54"/>
    </row>
    <row r="423" spans="1:14" s="4" customFormat="1" outlineLevel="1" x14ac:dyDescent="0.4">
      <c r="A423" s="765"/>
      <c r="B423" s="51"/>
      <c r="C423" s="25" t="s">
        <v>190</v>
      </c>
      <c r="D423" s="1"/>
      <c r="E423" s="1"/>
      <c r="F423" s="21"/>
      <c r="G423" s="1"/>
      <c r="H423" s="43"/>
      <c r="I423" s="34"/>
      <c r="J423" s="34"/>
      <c r="K423" s="44"/>
      <c r="L423" s="54"/>
    </row>
    <row r="424" spans="1:14" s="4" customFormat="1" outlineLevel="1" x14ac:dyDescent="0.4">
      <c r="A424" s="765"/>
      <c r="B424" s="51"/>
      <c r="C424" s="164" t="s">
        <v>160</v>
      </c>
      <c r="D424" s="164" t="s">
        <v>151</v>
      </c>
      <c r="E424" s="164" t="s">
        <v>140</v>
      </c>
      <c r="F424" s="21"/>
      <c r="G424" s="1"/>
      <c r="H424" s="43"/>
      <c r="I424" s="164" t="s">
        <v>160</v>
      </c>
      <c r="J424" s="182" t="s">
        <v>141</v>
      </c>
      <c r="K424" s="44"/>
      <c r="L424" s="54"/>
    </row>
    <row r="425" spans="1:14" s="4" customFormat="1" outlineLevel="1" x14ac:dyDescent="0.4">
      <c r="A425" s="765"/>
      <c r="B425" s="51"/>
      <c r="C425" s="27" t="str">
        <f>IF(E414="Default", "Diesel", "")</f>
        <v>Diesel</v>
      </c>
      <c r="D425" s="74" t="str">
        <f>IF(E414="Default", "kWh/tonne(output)", "")</f>
        <v>kWh/tonne(output)</v>
      </c>
      <c r="E425" s="74">
        <f>IF(E414="Default", 3.881, "")</f>
        <v>3.8809999999999998</v>
      </c>
      <c r="F425" s="21"/>
      <c r="G425" s="1"/>
      <c r="H425" s="43"/>
      <c r="I425" s="27" t="str">
        <f>IF(C425&gt;0,C425,"")</f>
        <v>Diesel</v>
      </c>
      <c r="J425" s="31">
        <f>IF(E414="Actual","",IFERROR(IF(C425&gt;0,IF(ISBLANK(E425),"Insert data",IF(E413="No",0,(IF(D425="litres",(E425*(INDEX(Fuel_Densities,MATCH(C425,Fuels_for_Densities,0))/1000)*INDEX(Fuel_LHV,MATCH(C425,Fuels_for_LHV,0))*INDEX(Fuel_EFs,MATCH(C425,Fuels_for_EF,0)))/(D416*1000),(IF(D425="m3",(E425*(INDEX(Fuel_Densities,MATCH(C425,Fuels_for_Densities,0)))*INDEX(Fuel_LHV,MATCH(C425,Fuels_for_LHV,0))*INDEX(Fuel_EFs,MATCH(C425,Fuels_for_EF,0)))/(D416*1000),IF(D425="kg",(E425*INDEX(Fuel_LHV,MATCH(C425,Fuels_for_LHV,0))*INDEX(Fuel_EFs,MATCH(C425,Fuels_for_EF,0)))/(D416*1000),IF(D425="tonnes",(E425*INDEX(Fuel_LHV,MATCH(C425,Fuels_for_LHV,0))*1000*INDEX(Fuel_EFs,MATCH(C425,Fuels_for_EF,0)))/(D416*1000),IF(D425="MWh",(E425*'Reference values'!$D$47*INDEX(Fuel_EFs,MATCH(C425,Fuels_for_EF,0)))/(D416*1000),IF(D425="kWh",(E425*'Reference values'!$D$47*INDEX(Fuel_EFs,MATCH(C425,Fuels_for_EF,0))/1000)/(D416*1000),(IF(D425="litres/tonne(output)",(E425*(INDEX(Fuel_Densities,MATCH(C425,Fuels_for_Densities,0))/1000)*INDEX(Fuel_LHV,MATCH(C425,Fuels_for_LHV,0))*INDEX(Fuel_EFs,MATCH(C425,Fuels_for_EF,0)))/1000,(IF(D425="m3/tonne(output)",(E425*(INDEX(Fuel_Densities,MATCH(C425,Fuels_for_Densities,0)))*INDEX(Fuel_LHV,MATCH(C425,Fuels_for_LHV,0))*INDEX(Fuel_EFs,MATCH(C425,Fuels_for_EF,0)))/1000,IF(D425="kg/tonne(output)",(E425*INDEX(Fuel_LHV,MATCH(C425,Fuels_for_LHV,0))*INDEX(Fuel_EFs,MATCH(C425,Fuels_for_EF,0)))/1000,IF(D425="tonnes/tonne(output)",(E425*INDEX(Fuel_LHV,MATCH(C425,Fuels_for_LHV,0))*1000*INDEX(Fuel_EFs,MATCH(C425,Fuels_for_EF,0)))/1000,IF(D425="MWh/tonne(output)",(E425*'Reference values'!$D$47*INDEX(Fuel_EFs,MATCH(C425,Fuels_for_EF,0)))/1000,IF(D425="kWh/tonne(output)",(E425*'Reference values'!$D$47*INDEX(Fuel_EFs,MATCH(C425,Fuels_for_EF,0))/1000)/1000,"Insert unit")))))))))))))))))),""),"Insert data"))</f>
        <v>0</v>
      </c>
      <c r="K425" s="44"/>
      <c r="L425" s="54"/>
    </row>
    <row r="426" spans="1:14" s="4" customFormat="1" outlineLevel="1" x14ac:dyDescent="0.4">
      <c r="A426" s="765"/>
      <c r="B426" s="51"/>
      <c r="C426" s="134"/>
      <c r="D426" s="141"/>
      <c r="E426" s="144"/>
      <c r="F426" s="21"/>
      <c r="G426" s="1"/>
      <c r="H426" s="43"/>
      <c r="I426" s="27" t="str">
        <f>IF(C426&gt;0,C426,"")</f>
        <v/>
      </c>
      <c r="J426" s="31" t="str">
        <f>IFERROR(IF(C426&gt;0,IF(ISBLANK(E426),"Insert data",IF(E413="No",0,(IF(D426="litres",(E426*(INDEX(Fuel_Densities,MATCH(C426,Fuels_for_Densities,0))/1000)*INDEX(Fuel_LHV,MATCH(C426,Fuels_for_LHV,0))*INDEX(Fuel_EFs,MATCH(C426,Fuels_for_EF,0)))/(D416*1000),(IF(D426="m3",(E426*(INDEX(Fuel_Densities,MATCH(C426,Fuels_for_Densities,0)))*INDEX(Fuel_LHV,MATCH(C426,Fuels_for_LHV,0))*INDEX(Fuel_EFs,MATCH(C426,Fuels_for_EF,0)))/(D416*1000),IF(D426="kg",(E426*INDEX(Fuel_LHV,MATCH(C426,Fuels_for_LHV,0))*INDEX(Fuel_EFs,MATCH(C426,Fuels_for_EF,0)))/(D416*1000),IF(D426="tonnes",(E426*INDEX(Fuel_LHV,MATCH(C426,Fuels_for_LHV,0))*1000*INDEX(Fuel_EFs,MATCH(C426,Fuels_for_EF,0)))/(D416*1000),IF(D426="MWh",(E426*'Reference values'!$D$47*INDEX(Fuel_EFs,MATCH(C426,Fuels_for_EF,0)))/(D416*1000),IF(D426="kWh",(E426*'Reference values'!$D$47*INDEX(Fuel_EFs,MATCH(C426,Fuels_for_EF,0))/1000)/(D416*1000),(IF(D426="litres/tonne(output)",(E426*(INDEX(Fuel_Densities,MATCH(C426,Fuels_for_Densities,0))/1000)*INDEX(Fuel_LHV,MATCH(C426,Fuels_for_LHV,0))*INDEX(Fuel_EFs,MATCH(C426,Fuels_for_EF,0)))/1000,(IF(D426="m3/tonne(output)",(E426*(INDEX(Fuel_Densities,MATCH(C426,Fuels_for_Densities,0)))*INDEX(Fuel_LHV,MATCH(C426,Fuels_for_LHV,0))*INDEX(Fuel_EFs,MATCH(C426,Fuels_for_EF,0)))/1000,IF(D426="kg/tonne(output)",(E426*INDEX(Fuel_LHV,MATCH(C426,Fuels_for_LHV,0))*INDEX(Fuel_EFs,MATCH(C426,Fuels_for_EF,0)))/1000,IF(D426="tonnes/tonne(output)",(E426*INDEX(Fuel_LHV,MATCH(C426,Fuels_for_LHV,0))*1000*INDEX(Fuel_EFs,MATCH(C426,Fuels_for_EF,0)))/1000,IF(D426="MWh/tonne(output)",(E426*'Reference values'!$D$47*INDEX(Fuel_EFs,MATCH(C426,Fuels_for_EF,0)))/1000,IF(D426="kWh/tonne(output)",(E426*'Reference values'!$D$47*INDEX(Fuel_EFs,MATCH(C426,Fuels_for_EF,0))/1000)/1000,"Insert unit")))))))))))))))))),""),"Insert data")</f>
        <v/>
      </c>
      <c r="K426" s="44"/>
      <c r="L426" s="54"/>
    </row>
    <row r="427" spans="1:14" s="4" customFormat="1" outlineLevel="1" x14ac:dyDescent="0.4">
      <c r="A427" s="765"/>
      <c r="B427" s="51"/>
      <c r="C427" s="134"/>
      <c r="D427" s="141"/>
      <c r="E427" s="144"/>
      <c r="F427" s="21"/>
      <c r="G427" s="1"/>
      <c r="H427" s="43"/>
      <c r="I427" s="27" t="str">
        <f>IF(C427&gt;0,C427,"")</f>
        <v/>
      </c>
      <c r="J427" s="31" t="str">
        <f>IFERROR(IF(C427&gt;0,IF(ISBLANK(E427),"Insert data",IF(E413="No",0,(IF(D427="litres",(E427*(INDEX(Fuel_Densities,MATCH(C427,Fuels_for_Densities,0))/1000)*INDEX(Fuel_LHV,MATCH(C427,Fuels_for_LHV,0))*INDEX(Fuel_EFs,MATCH(C427,Fuels_for_EF,0)))/(D416*1000),(IF(D427="m3",(E427*(INDEX(Fuel_Densities,MATCH(C427,Fuels_for_Densities,0)))*INDEX(Fuel_LHV,MATCH(C427,Fuels_for_LHV,0))*INDEX(Fuel_EFs,MATCH(C427,Fuels_for_EF,0)))/(D416*1000),IF(D427="kg",(E427*INDEX(Fuel_LHV,MATCH(C427,Fuels_for_LHV,0))*INDEX(Fuel_EFs,MATCH(C427,Fuels_for_EF,0)))/(D416*1000),IF(D427="tonnes",(E427*INDEX(Fuel_LHV,MATCH(C427,Fuels_for_LHV,0))*1000*INDEX(Fuel_EFs,MATCH(C427,Fuels_for_EF,0)))/(D416*1000),IF(D427="MWh",(E427*'Reference values'!$D$47*INDEX(Fuel_EFs,MATCH(C427,Fuels_for_EF,0)))/(D416*1000),IF(D427="kWh",(E427*'Reference values'!$D$47*INDEX(Fuel_EFs,MATCH(C427,Fuels_for_EF,0))/1000)/(D416*1000),(IF(D427="litres/tonne(output)",(E427*(INDEX(Fuel_Densities,MATCH(C427,Fuels_for_Densities,0))/1000)*INDEX(Fuel_LHV,MATCH(C427,Fuels_for_LHV,0))*INDEX(Fuel_EFs,MATCH(C427,Fuels_for_EF,0)))/1000,(IF(D427="m3/tonne(output)",(E427*(INDEX(Fuel_Densities,MATCH(C427,Fuels_for_Densities,0)))*INDEX(Fuel_LHV,MATCH(C427,Fuels_for_LHV,0))*INDEX(Fuel_EFs,MATCH(C427,Fuels_for_EF,0)))/1000,IF(D427="kg/tonne(output)",(E427*INDEX(Fuel_LHV,MATCH(C427,Fuels_for_LHV,0))*INDEX(Fuel_EFs,MATCH(C427,Fuels_for_EF,0)))/1000,IF(D427="tonnes/tonne(output)",(E427*INDEX(Fuel_LHV,MATCH(C427,Fuels_for_LHV,0))*1000*INDEX(Fuel_EFs,MATCH(C427,Fuels_for_EF,0)))/1000,IF(D427="MWh/tonne(output)",(E427*'Reference values'!$D$47*INDEX(Fuel_EFs,MATCH(C427,Fuels_for_EF,0)))/1000,IF(D427="kWh/tonne(output)",(E427*'Reference values'!$D$47*INDEX(Fuel_EFs,MATCH(C427,Fuels_for_EF,0))/1000)/1000,"Insert unit")))))))))))))))))),""),"Insert data")</f>
        <v/>
      </c>
      <c r="K427" s="44"/>
      <c r="L427" s="54"/>
    </row>
    <row r="428" spans="1:14" s="4" customFormat="1" outlineLevel="1" x14ac:dyDescent="0.4">
      <c r="A428" s="765"/>
      <c r="B428" s="51"/>
      <c r="C428" s="134"/>
      <c r="D428" s="141"/>
      <c r="E428" s="144"/>
      <c r="F428" s="21"/>
      <c r="G428" s="1"/>
      <c r="H428" s="43"/>
      <c r="I428" s="27" t="str">
        <f>IF(C428&gt;0,C428,"")</f>
        <v/>
      </c>
      <c r="J428" s="31" t="str">
        <f>IFERROR(IF(C428&gt;0,IF(ISBLANK(E428),"Insert data",IF(E413="No",0,(IF(D428="litres",(E428*(INDEX(Fuel_Densities,MATCH(C428,Fuels_for_Densities,0))/1000)*INDEX(Fuel_LHV,MATCH(C428,Fuels_for_LHV,0))*INDEX(Fuel_EFs,MATCH(C428,Fuels_for_EF,0)))/(D416*1000),(IF(D428="m3",(E428*(INDEX(Fuel_Densities,MATCH(C428,Fuels_for_Densities,0)))*INDEX(Fuel_LHV,MATCH(C428,Fuels_for_LHV,0))*INDEX(Fuel_EFs,MATCH(C428,Fuels_for_EF,0)))/(D416*1000),IF(D428="kg",(E428*INDEX(Fuel_LHV,MATCH(C428,Fuels_for_LHV,0))*INDEX(Fuel_EFs,MATCH(C428,Fuels_for_EF,0)))/(D416*1000),IF(D428="tonnes",(E428*INDEX(Fuel_LHV,MATCH(C428,Fuels_for_LHV,0))*1000*INDEX(Fuel_EFs,MATCH(C428,Fuels_for_EF,0)))/(D416*1000),IF(D428="MWh",(E428*'Reference values'!$D$47*INDEX(Fuel_EFs,MATCH(C428,Fuels_for_EF,0)))/(D416*1000),IF(D428="kWh",(E428*'Reference values'!$D$47*INDEX(Fuel_EFs,MATCH(C428,Fuels_for_EF,0))/1000)/(D416*1000),(IF(D428="litres/tonne(output)",(E428*(INDEX(Fuel_Densities,MATCH(C428,Fuels_for_Densities,0))/1000)*INDEX(Fuel_LHV,MATCH(C428,Fuels_for_LHV,0))*INDEX(Fuel_EFs,MATCH(C428,Fuels_for_EF,0)))/1000,(IF(D428="m3/tonne(output)",(E428*(INDEX(Fuel_Densities,MATCH(C428,Fuels_for_Densities,0)))*INDEX(Fuel_LHV,MATCH(C428,Fuels_for_LHV,0))*INDEX(Fuel_EFs,MATCH(C428,Fuels_for_EF,0)))/1000,IF(D428="kg/tonne(output)",(E428*INDEX(Fuel_LHV,MATCH(C428,Fuels_for_LHV,0))*INDEX(Fuel_EFs,MATCH(C428,Fuels_for_EF,0)))/1000,IF(D428="tonnes/tonne(output)",(E428*INDEX(Fuel_LHV,MATCH(C428,Fuels_for_LHV,0))*1000*INDEX(Fuel_EFs,MATCH(C428,Fuels_for_EF,0)))/1000,IF(D428="MWh/tonne(output)",(E428*'Reference values'!$D$47*INDEX(Fuel_EFs,MATCH(C428,Fuels_for_EF,0)))/1000,IF(D428="kWh/tonne(output)",(E428*'Reference values'!$D$47*INDEX(Fuel_EFs,MATCH(C428,Fuels_for_EF,0))/1000)/1000,"Insert unit")))))))))))))))))),""),"Insert data")</f>
        <v/>
      </c>
      <c r="K428" s="44"/>
      <c r="L428" s="54"/>
    </row>
    <row r="429" spans="1:14" s="4" customFormat="1" outlineLevel="1" x14ac:dyDescent="0.4">
      <c r="A429" s="765"/>
      <c r="B429" s="51"/>
      <c r="C429" s="1"/>
      <c r="D429" s="1"/>
      <c r="E429" s="1"/>
      <c r="F429" s="21"/>
      <c r="G429" s="53"/>
      <c r="H429" s="56"/>
      <c r="I429" s="57"/>
      <c r="J429" s="34"/>
      <c r="K429" s="44"/>
      <c r="L429" s="54"/>
    </row>
    <row r="430" spans="1:14" s="4" customFormat="1" outlineLevel="1" x14ac:dyDescent="0.4">
      <c r="A430" s="765"/>
      <c r="B430" s="51"/>
      <c r="C430" s="25" t="s">
        <v>191</v>
      </c>
      <c r="D430" s="1"/>
      <c r="E430" s="1"/>
      <c r="F430" s="21"/>
      <c r="G430" s="53"/>
      <c r="H430" s="56"/>
      <c r="I430" s="34"/>
      <c r="J430" s="34"/>
      <c r="K430" s="44"/>
      <c r="L430" s="54"/>
    </row>
    <row r="431" spans="1:14" s="4" customFormat="1" outlineLevel="1" x14ac:dyDescent="0.4">
      <c r="A431" s="765"/>
      <c r="B431" s="51"/>
      <c r="C431" s="164" t="s">
        <v>192</v>
      </c>
      <c r="D431" s="164" t="s">
        <v>151</v>
      </c>
      <c r="E431" s="164" t="s">
        <v>140</v>
      </c>
      <c r="F431" s="21"/>
      <c r="G431" s="1"/>
      <c r="H431" s="43"/>
      <c r="I431" s="164" t="s">
        <v>192</v>
      </c>
      <c r="J431" s="182" t="s">
        <v>141</v>
      </c>
      <c r="K431" s="44"/>
      <c r="L431" s="54"/>
    </row>
    <row r="432" spans="1:14" s="4" customFormat="1" outlineLevel="1" x14ac:dyDescent="0.4">
      <c r="A432" s="765"/>
      <c r="B432" s="51"/>
      <c r="C432" s="134"/>
      <c r="D432" s="141"/>
      <c r="E432" s="144"/>
      <c r="F432" s="21"/>
      <c r="G432" s="1"/>
      <c r="H432" s="43"/>
      <c r="I432" s="27" t="str">
        <f t="shared" ref="I432:I439" si="8">IF(C432&gt;0,C432,"")</f>
        <v/>
      </c>
      <c r="J432" s="31" t="str">
        <f>IFERROR(IF(C432&gt;0,IF(ISBLANK(E432),"Insert data",IF(E413="No",0,IF(D432="kg",E432*INDEX(Chemical_Emission_Factors,MATCH(C432,Chemicals,0))/(D416*1000),IF(D432="tonnes",E432*INDEX(Chemical_Emission_Factors,MATCH(C432,Chemicals,0))*1000/(D416*1000),IF(D432="kg/tonne(output)",E432*INDEX(Chemical_Emission_Factors,MATCH(C432,Chemicals,0))/1000,IF(D432="tonnes/tonne(output)",E432*INDEX(Chemical_Emission_Factors,MATCH(C432,Chemicals,0))*1000/1000,"Insert unit")))))),""),"Insert data")</f>
        <v/>
      </c>
      <c r="K432" s="44"/>
      <c r="L432" s="54"/>
    </row>
    <row r="433" spans="1:12" s="4" customFormat="1" outlineLevel="1" x14ac:dyDescent="0.4">
      <c r="A433" s="765"/>
      <c r="B433" s="51"/>
      <c r="C433" s="134"/>
      <c r="D433" s="141"/>
      <c r="E433" s="144"/>
      <c r="F433" s="21"/>
      <c r="G433" s="1"/>
      <c r="H433" s="43"/>
      <c r="I433" s="27" t="str">
        <f t="shared" si="8"/>
        <v/>
      </c>
      <c r="J433" s="31" t="str">
        <f>IFERROR(IF(C433&gt;0,IF(ISBLANK(E433),"Insert data",IF(E413="No",0,IF(D433="kg",E433*INDEX(Chemical_Emission_Factors,MATCH(C433,Chemicals,0))/(D416*1000),IF(D433="tonnes",E433*INDEX(Chemical_Emission_Factors,MATCH(C433,Chemicals,0))*1000/(D416*1000),IF(D433="kg/tonne(output)",E433*INDEX(Chemical_Emission_Factors,MATCH(C433,Chemicals,0))/1000,IF(D433="tonnes/tonne(output)",E433*INDEX(Chemical_Emission_Factors,MATCH(C433,Chemicals,0))*1000/1000,"Insert unit")))))),""),"Insert data")</f>
        <v/>
      </c>
      <c r="K433" s="44"/>
      <c r="L433" s="54"/>
    </row>
    <row r="434" spans="1:12" s="4" customFormat="1" outlineLevel="1" x14ac:dyDescent="0.4">
      <c r="A434" s="765"/>
      <c r="B434" s="51"/>
      <c r="C434" s="134"/>
      <c r="D434" s="141"/>
      <c r="E434" s="144"/>
      <c r="F434" s="21"/>
      <c r="G434" s="1"/>
      <c r="H434" s="43"/>
      <c r="I434" s="27" t="str">
        <f t="shared" si="8"/>
        <v/>
      </c>
      <c r="J434" s="31" t="str">
        <f>IFERROR(IF(C434&gt;0,IF(ISBLANK(E434),"Insert data",IF(E413="No",0,IF(D434="kg",E434*INDEX(Chemical_Emission_Factors,MATCH(C434,Chemicals,0))/(D416*1000),IF(D434="tonnes",E434*INDEX(Chemical_Emission_Factors,MATCH(C434,Chemicals,0))*1000/(D416*1000),IF(D434="kg/tonne(output)",E434*INDEX(Chemical_Emission_Factors,MATCH(C434,Chemicals,0))/1000,IF(D434="tonnes/tonne(output)",E434*INDEX(Chemical_Emission_Factors,MATCH(C434,Chemicals,0))*1000/1000,"Insert unit")))))),""),"Insert data")</f>
        <v/>
      </c>
      <c r="K434" s="44"/>
      <c r="L434" s="54"/>
    </row>
    <row r="435" spans="1:12" s="4" customFormat="1" outlineLevel="1" x14ac:dyDescent="0.4">
      <c r="A435" s="765"/>
      <c r="B435" s="51"/>
      <c r="C435" s="134"/>
      <c r="D435" s="141"/>
      <c r="E435" s="144"/>
      <c r="F435" s="21"/>
      <c r="G435" s="1"/>
      <c r="H435" s="43"/>
      <c r="I435" s="27" t="str">
        <f t="shared" si="8"/>
        <v/>
      </c>
      <c r="J435" s="31" t="str">
        <f>IFERROR(IF(C435&gt;0,IF(ISBLANK(E435),"Insert data",IF(E413="No",0,IF(D435="kg",E435*INDEX(Chemical_Emission_Factors,MATCH(C435,Chemicals,0))/(D416*1000),IF(D435="tonnes",E435*INDEX(Chemical_Emission_Factors,MATCH(C435,Chemicals,0))*1000/(D416*1000),IF(D435="kg/tonne(output)",E435*INDEX(Chemical_Emission_Factors,MATCH(C435,Chemicals,0))/1000,IF(D435="tonnes/tonne(output)",E435*INDEX(Chemical_Emission_Factors,MATCH(C435,Chemicals,0))*1000/1000,"Insert unit")))))),""),"Insert data")</f>
        <v/>
      </c>
      <c r="K435" s="44"/>
      <c r="L435" s="54"/>
    </row>
    <row r="436" spans="1:12" s="4" customFormat="1" outlineLevel="1" x14ac:dyDescent="0.4">
      <c r="A436" s="765"/>
      <c r="B436" s="51"/>
      <c r="C436" s="134"/>
      <c r="D436" s="141"/>
      <c r="E436" s="144"/>
      <c r="F436" s="21"/>
      <c r="G436" s="1"/>
      <c r="H436" s="43"/>
      <c r="I436" s="27" t="str">
        <f t="shared" si="8"/>
        <v/>
      </c>
      <c r="J436" s="31" t="str">
        <f>IFERROR(IF(C436&gt;0,IF(ISBLANK(E436),"Insert data",IF(E413="No",0,IF(D436="kg",E436*INDEX(Chemical_Emission_Factors,MATCH(C436,Chemicals,0))/(D416*1000),IF(D436="tonnes",E436*INDEX(Chemical_Emission_Factors,MATCH(C436,Chemicals,0))*1000/(D416*1000),IF(D436="kg/tonne(output)",E436*INDEX(Chemical_Emission_Factors,MATCH(C436,Chemicals,0))/1000,IF(D436="tonnes/tonne(output)",E436*INDEX(Chemical_Emission_Factors,MATCH(C436,Chemicals,0))*1000/1000,"Insert unit")))))),""),"Insert data")</f>
        <v/>
      </c>
      <c r="K436" s="44"/>
      <c r="L436" s="54"/>
    </row>
    <row r="437" spans="1:12" s="4" customFormat="1" outlineLevel="1" x14ac:dyDescent="0.4">
      <c r="A437" s="765"/>
      <c r="B437" s="51"/>
      <c r="C437" s="134"/>
      <c r="D437" s="141"/>
      <c r="E437" s="144"/>
      <c r="F437" s="21"/>
      <c r="G437" s="1"/>
      <c r="H437" s="43"/>
      <c r="I437" s="27" t="str">
        <f t="shared" si="8"/>
        <v/>
      </c>
      <c r="J437" s="31" t="str">
        <f>IFERROR(IF(C437&gt;0,IF(ISBLANK(E437),"Insert data",IF(E413="No",0,IF(D437="kg",E437*INDEX(Chemical_Emission_Factors,MATCH(C437,Chemicals,0))/(D416*1000),IF(D437="tonnes",E437*INDEX(Chemical_Emission_Factors,MATCH(C437,Chemicals,0))*1000/(D416*1000),IF(D437="kg/tonne(output)",E437*INDEX(Chemical_Emission_Factors,MATCH(C437,Chemicals,0))/1000,IF(D437="tonnes/tonne(output)",E437*INDEX(Chemical_Emission_Factors,MATCH(C437,Chemicals,0))*1000/1000,"Insert unit")))))),""),"Insert data")</f>
        <v/>
      </c>
      <c r="K437" s="44"/>
      <c r="L437" s="54"/>
    </row>
    <row r="438" spans="1:12" s="4" customFormat="1" outlineLevel="1" x14ac:dyDescent="0.4">
      <c r="A438" s="765"/>
      <c r="B438" s="51"/>
      <c r="C438" s="134"/>
      <c r="D438" s="141"/>
      <c r="E438" s="144"/>
      <c r="F438" s="21"/>
      <c r="G438" s="1"/>
      <c r="H438" s="43"/>
      <c r="I438" s="27" t="str">
        <f t="shared" si="8"/>
        <v/>
      </c>
      <c r="J438" s="31" t="str">
        <f>IFERROR(IF(C438&gt;0,IF(ISBLANK(E438),"Insert data",IF(E413="No",0,IF(D438="kg",E438*INDEX(Chemical_Emission_Factors,MATCH(C438,Chemicals,0))/(D416*1000),IF(D438="tonnes",E438*INDEX(Chemical_Emission_Factors,MATCH(C438,Chemicals,0))*1000/(D416*1000),IF(D438="kg/tonne(output)",E438*INDEX(Chemical_Emission_Factors,MATCH(C438,Chemicals,0))/1000,IF(D438="tonnes/tonne(output)",E438*INDEX(Chemical_Emission_Factors,MATCH(C438,Chemicals,0))*1000/1000,"Insert unit")))))),""),"Insert data")</f>
        <v/>
      </c>
      <c r="K438" s="44"/>
      <c r="L438" s="54"/>
    </row>
    <row r="439" spans="1:12" s="4" customFormat="1" outlineLevel="1" x14ac:dyDescent="0.4">
      <c r="A439" s="765"/>
      <c r="B439" s="51"/>
      <c r="C439" s="134"/>
      <c r="D439" s="141"/>
      <c r="E439" s="144"/>
      <c r="F439" s="21"/>
      <c r="G439" s="1"/>
      <c r="H439" s="43"/>
      <c r="I439" s="27" t="str">
        <f t="shared" si="8"/>
        <v/>
      </c>
      <c r="J439" s="31" t="str">
        <f>IFERROR(IF(C439&gt;0,IF(ISBLANK(E439),"Insert data",IF(E413="No",0,IF(D439="kg",E439*INDEX(Chemical_Emission_Factors,MATCH(C439,Chemicals,0))/(D416*1000),IF(D439="tonnes",E439*INDEX(Chemical_Emission_Factors,MATCH(C439,Chemicals,0))*1000/(D416*1000),IF(D439="kg/tonne(output)",E439*INDEX(Chemical_Emission_Factors,MATCH(C439,Chemicals,0))/1000,IF(D439="tonnes/tonne(output)",E439*INDEX(Chemical_Emission_Factors,MATCH(C439,Chemicals,0))*1000/1000,"Insert unit")))))),""),"Insert data")</f>
        <v/>
      </c>
      <c r="K439" s="44"/>
      <c r="L439" s="54"/>
    </row>
    <row r="440" spans="1:12" s="4" customFormat="1" ht="12.75" customHeight="1" outlineLevel="1" x14ac:dyDescent="0.4">
      <c r="B440" s="20"/>
      <c r="C440" s="21"/>
      <c r="D440" s="21"/>
      <c r="E440" s="21"/>
      <c r="F440" s="21"/>
      <c r="G440" s="21"/>
      <c r="H440" s="46"/>
      <c r="I440" s="58"/>
      <c r="J440" s="58"/>
      <c r="K440" s="59"/>
      <c r="L440" s="35"/>
    </row>
    <row r="441" spans="1:12" s="4" customFormat="1" outlineLevel="1" x14ac:dyDescent="0.4">
      <c r="B441" s="20"/>
      <c r="C441" s="243" t="s">
        <v>193</v>
      </c>
      <c r="D441" s="21"/>
      <c r="E441" s="21"/>
      <c r="F441" s="21"/>
      <c r="G441" s="21"/>
      <c r="H441" s="21"/>
      <c r="I441" s="21"/>
      <c r="J441" s="21"/>
      <c r="K441" s="21"/>
      <c r="L441" s="35"/>
    </row>
    <row r="442" spans="1:12" s="4" customFormat="1" outlineLevel="1" x14ac:dyDescent="0.4">
      <c r="B442" s="20"/>
      <c r="C442" s="766" t="s">
        <v>194</v>
      </c>
      <c r="D442" s="767"/>
      <c r="E442" s="299" t="s">
        <v>178</v>
      </c>
      <c r="F442" s="21"/>
      <c r="G442" s="21"/>
      <c r="H442" s="302"/>
      <c r="I442" s="47"/>
      <c r="J442" s="47"/>
      <c r="K442" s="45"/>
      <c r="L442" s="35"/>
    </row>
    <row r="443" spans="1:12" s="4" customFormat="1" ht="6.75" customHeight="1" outlineLevel="1" x14ac:dyDescent="0.4">
      <c r="B443" s="20"/>
      <c r="C443" s="21"/>
      <c r="D443" s="21"/>
      <c r="E443" s="21"/>
      <c r="F443" s="21"/>
      <c r="G443" s="21"/>
      <c r="H443" s="41"/>
      <c r="I443" s="36"/>
      <c r="J443" s="301"/>
      <c r="K443" s="37"/>
      <c r="L443" s="35"/>
    </row>
    <row r="444" spans="1:12" s="4" customFormat="1" outlineLevel="1" x14ac:dyDescent="0.4">
      <c r="B444" s="20"/>
      <c r="C444" s="21"/>
      <c r="D444" s="164" t="s">
        <v>151</v>
      </c>
      <c r="E444" s="164" t="s">
        <v>140</v>
      </c>
      <c r="F444" s="21"/>
      <c r="G444" s="21"/>
      <c r="H444" s="41"/>
      <c r="I444" s="36"/>
      <c r="J444" s="164" t="s">
        <v>195</v>
      </c>
      <c r="K444" s="37"/>
      <c r="L444" s="35"/>
    </row>
    <row r="445" spans="1:12" s="4" customFormat="1" outlineLevel="1" x14ac:dyDescent="0.4">
      <c r="B445" s="20"/>
      <c r="C445" s="164" t="s">
        <v>196</v>
      </c>
      <c r="D445" s="297" t="s">
        <v>197</v>
      </c>
      <c r="E445" s="299"/>
      <c r="F445" s="21"/>
      <c r="G445" s="21"/>
      <c r="H445" s="41"/>
      <c r="I445" s="164" t="s">
        <v>198</v>
      </c>
      <c r="J445" s="309" t="str">
        <f>IFERROR(IF(E442="No", "", IF(AND(E442="yes",OR(ISBLANK(E445),ISBLANK(E446),ISBLANK(E447))),"Insert data",E446/(E446+E447*E445))), "")</f>
        <v/>
      </c>
      <c r="K445" s="37"/>
      <c r="L445" s="35"/>
    </row>
    <row r="446" spans="1:12" s="4" customFormat="1" outlineLevel="1" x14ac:dyDescent="0.4">
      <c r="B446" s="20"/>
      <c r="C446" s="164" t="s">
        <v>199</v>
      </c>
      <c r="D446" s="296" t="s">
        <v>200</v>
      </c>
      <c r="E446" s="299"/>
      <c r="F446" s="21"/>
      <c r="G446" s="21"/>
      <c r="H446" s="41"/>
      <c r="I446" s="164" t="s">
        <v>201</v>
      </c>
      <c r="J446" s="309" t="str">
        <f>IFERROR(IF(E442="No", "", IF(AND(E442="yes",OR(ISBLANK(E445),ISBLANK(E446),ISBLANK(E447))),"Insert data",(E447*E445)/(E447*E445+E446))),"")</f>
        <v/>
      </c>
      <c r="K446" s="37"/>
      <c r="L446" s="35"/>
    </row>
    <row r="447" spans="1:12" s="4" customFormat="1" outlineLevel="1" x14ac:dyDescent="0.4">
      <c r="B447" s="20"/>
      <c r="C447" s="164" t="s">
        <v>202</v>
      </c>
      <c r="D447" s="296" t="s">
        <v>200</v>
      </c>
      <c r="E447" s="299"/>
      <c r="F447" s="21"/>
      <c r="G447" s="21"/>
      <c r="H447" s="46"/>
      <c r="I447" s="58"/>
      <c r="J447" s="58"/>
      <c r="K447" s="59"/>
      <c r="L447" s="35"/>
    </row>
    <row r="448" spans="1:12" s="4" customFormat="1" ht="6.75" customHeight="1" outlineLevel="1" x14ac:dyDescent="0.4">
      <c r="B448" s="20"/>
      <c r="C448" s="21"/>
      <c r="D448" s="21"/>
      <c r="E448" s="21"/>
      <c r="F448" s="21"/>
      <c r="G448" s="21"/>
      <c r="H448" s="21"/>
      <c r="I448" s="21"/>
      <c r="J448" s="21"/>
      <c r="K448" s="21"/>
      <c r="L448" s="35"/>
    </row>
    <row r="449" spans="2:12" s="4" customFormat="1" ht="12.75" customHeight="1" outlineLevel="1" x14ac:dyDescent="0.4">
      <c r="B449" s="20"/>
      <c r="C449" s="300" t="s">
        <v>203</v>
      </c>
      <c r="D449" s="21"/>
      <c r="E449" s="21"/>
      <c r="F449" s="21"/>
      <c r="G449" s="21"/>
      <c r="H449" s="21"/>
      <c r="I449" s="21"/>
      <c r="J449" s="21"/>
      <c r="K449" s="21"/>
      <c r="L449" s="35"/>
    </row>
    <row r="450" spans="2:12" s="4" customFormat="1" ht="12.75" customHeight="1" outlineLevel="1" x14ac:dyDescent="0.4">
      <c r="B450" s="20"/>
      <c r="C450" s="300" t="s">
        <v>204</v>
      </c>
      <c r="D450" s="21"/>
      <c r="E450" s="21"/>
      <c r="F450" s="21"/>
      <c r="G450" s="21"/>
      <c r="H450" s="21"/>
      <c r="I450" s="21"/>
      <c r="J450" s="21"/>
      <c r="K450" s="21"/>
      <c r="L450" s="35"/>
    </row>
    <row r="451" spans="2:12" s="4" customFormat="1" ht="6.75" customHeight="1" outlineLevel="1" x14ac:dyDescent="0.4">
      <c r="B451" s="28"/>
      <c r="C451" s="298"/>
      <c r="D451" s="29"/>
      <c r="E451" s="29"/>
      <c r="F451" s="29"/>
      <c r="G451" s="29"/>
      <c r="H451" s="29"/>
      <c r="I451" s="29"/>
      <c r="J451" s="29"/>
      <c r="K451" s="29"/>
      <c r="L451" s="60"/>
    </row>
    <row r="452" spans="2:12" s="4" customFormat="1" x14ac:dyDescent="0.4"/>
    <row r="453" spans="2:12" s="4" customFormat="1" hidden="1" x14ac:dyDescent="0.4"/>
    <row r="454" spans="2:12" s="4" customFormat="1" hidden="1" x14ac:dyDescent="0.4"/>
    <row r="455" spans="2:12" s="4" customFormat="1" hidden="1" x14ac:dyDescent="0.4"/>
    <row r="456" spans="2:12" s="4" customFormat="1" hidden="1" x14ac:dyDescent="0.4"/>
    <row r="457" spans="2:12" s="4" customFormat="1" hidden="1" x14ac:dyDescent="0.4"/>
    <row r="458" spans="2:12" s="4" customFormat="1" ht="19.2" x14ac:dyDescent="0.45">
      <c r="B458" s="754" t="str">
        <f>"Feedstock Conversion"&amp;" - "&amp;Feedstocks!C20</f>
        <v xml:space="preserve">Feedstock Conversion - </v>
      </c>
      <c r="C458" s="755"/>
      <c r="D458" s="755"/>
      <c r="E458" s="755"/>
      <c r="F458" s="755"/>
      <c r="G458" s="755"/>
      <c r="H458" s="755"/>
      <c r="I458" s="755"/>
      <c r="J458" s="755"/>
      <c r="K458" s="755"/>
      <c r="L458" s="756"/>
    </row>
    <row r="459" spans="2:12" s="4" customFormat="1" outlineLevel="1" x14ac:dyDescent="0.4">
      <c r="B459" s="17"/>
      <c r="C459" s="19"/>
      <c r="D459" s="19"/>
      <c r="E459" s="19"/>
      <c r="F459" s="19"/>
      <c r="G459" s="19"/>
      <c r="H459" s="19"/>
      <c r="I459" s="19"/>
      <c r="J459" s="19"/>
      <c r="K459" s="19"/>
      <c r="L459" s="50"/>
    </row>
    <row r="460" spans="2:12" s="4" customFormat="1" outlineLevel="1" x14ac:dyDescent="0.4">
      <c r="B460" s="20"/>
      <c r="C460" s="21"/>
      <c r="D460" s="760"/>
      <c r="E460" s="762"/>
      <c r="F460" s="21"/>
      <c r="G460" s="1"/>
      <c r="H460" s="69" t="s">
        <v>122</v>
      </c>
      <c r="I460" s="47"/>
      <c r="J460" s="47"/>
      <c r="K460" s="45"/>
      <c r="L460" s="35"/>
    </row>
    <row r="461" spans="2:12" s="4" customFormat="1" outlineLevel="1" x14ac:dyDescent="0.4">
      <c r="B461" s="20"/>
      <c r="C461" s="160" t="s">
        <v>123</v>
      </c>
      <c r="D461" s="753" t="str">
        <f>IF(Feedstocks!$H$20&gt;0,Feedstocks!$H$20,"")</f>
        <v/>
      </c>
      <c r="E461" s="753"/>
      <c r="F461" s="21"/>
      <c r="G461" s="76"/>
      <c r="H461" s="41"/>
      <c r="I461" s="36"/>
      <c r="J461" s="164" t="s">
        <v>124</v>
      </c>
      <c r="K461" s="37"/>
      <c r="L461" s="35"/>
    </row>
    <row r="462" spans="2:12" s="4" customFormat="1" outlineLevel="1" x14ac:dyDescent="0.4">
      <c r="B462" s="20"/>
      <c r="C462" s="21"/>
      <c r="D462" s="21"/>
      <c r="E462" s="21"/>
      <c r="F462" s="21"/>
      <c r="G462" s="21"/>
      <c r="H462" s="41"/>
      <c r="I462" s="164" t="s">
        <v>125</v>
      </c>
      <c r="J462" s="52" t="str">
        <f>IFERROR((J466/('Transport 2'!F469*('Digestion &amp; outputs'!$G$25/1000)))*'Digestion &amp; outputs'!$K$23,"")</f>
        <v/>
      </c>
      <c r="K462" s="37"/>
      <c r="L462" s="35"/>
    </row>
    <row r="463" spans="2:12" s="4" customFormat="1" ht="16.5" customHeight="1" outlineLevel="1" x14ac:dyDescent="0.4">
      <c r="B463" s="20"/>
      <c r="C463" s="759" t="s">
        <v>183</v>
      </c>
      <c r="D463" s="759"/>
      <c r="E463" s="134" t="s">
        <v>178</v>
      </c>
      <c r="F463" s="21"/>
      <c r="G463" s="21"/>
      <c r="H463" s="41"/>
      <c r="I463" s="36"/>
      <c r="J463" s="36"/>
      <c r="K463" s="37"/>
      <c r="L463" s="35"/>
    </row>
    <row r="464" spans="2:12" s="4" customFormat="1" outlineLevel="1" x14ac:dyDescent="0.4">
      <c r="B464" s="20"/>
      <c r="C464" s="763" t="s">
        <v>184</v>
      </c>
      <c r="D464" s="764"/>
      <c r="E464" s="134" t="s">
        <v>96</v>
      </c>
      <c r="F464" s="21"/>
      <c r="G464" s="21"/>
      <c r="H464" s="41"/>
      <c r="I464" s="36"/>
      <c r="J464" s="36"/>
      <c r="K464" s="37"/>
      <c r="L464" s="35"/>
    </row>
    <row r="465" spans="1:14" s="4" customFormat="1" outlineLevel="1" x14ac:dyDescent="0.4">
      <c r="B465" s="20"/>
      <c r="C465" s="21"/>
      <c r="D465" s="21"/>
      <c r="E465" s="21"/>
      <c r="F465" s="21"/>
      <c r="G465" s="21"/>
      <c r="H465" s="43"/>
      <c r="I465" s="34"/>
      <c r="J465" s="164" t="s">
        <v>141</v>
      </c>
      <c r="K465" s="44"/>
      <c r="L465" s="35"/>
    </row>
    <row r="466" spans="1:14" s="4" customFormat="1" outlineLevel="1" x14ac:dyDescent="0.4">
      <c r="A466" s="765"/>
      <c r="B466" s="51"/>
      <c r="C466" s="164" t="s">
        <v>185</v>
      </c>
      <c r="D466" s="70">
        <f>IFERROR(Feedstocks!D20/'Transport 2'!F469,"Insert data")</f>
        <v>0</v>
      </c>
      <c r="E466" s="21"/>
      <c r="F466" s="21"/>
      <c r="G466" s="21"/>
      <c r="H466" s="43"/>
      <c r="I466" s="164" t="s">
        <v>167</v>
      </c>
      <c r="J466" s="52">
        <f>IFERROR(IF(AND(E463="YES",ISBLANK(F467)),"Insert yield",SUM(J482:J489,J475:J478,J471)*IF(E492="Yes",J495,1)),"Insert data")</f>
        <v>0</v>
      </c>
      <c r="K466" s="44"/>
      <c r="L466" s="35"/>
    </row>
    <row r="467" spans="1:14" s="4" customFormat="1" outlineLevel="1" x14ac:dyDescent="0.4">
      <c r="A467" s="765"/>
      <c r="B467" s="51"/>
      <c r="C467" s="164" t="s">
        <v>186</v>
      </c>
      <c r="D467" s="680">
        <v>0.9</v>
      </c>
      <c r="E467" s="134"/>
      <c r="F467" s="623">
        <f>IF(E463="No", 1, IF(E464="Default",D467, IF(E464="Actual", IF(E467&gt;0, E467, "insert data"), "error")))</f>
        <v>1</v>
      </c>
      <c r="G467" s="21"/>
      <c r="H467" s="49"/>
      <c r="I467" s="65"/>
      <c r="J467" s="65"/>
      <c r="K467" s="66"/>
      <c r="L467" s="35"/>
    </row>
    <row r="468" spans="1:14" s="4" customFormat="1" outlineLevel="1" x14ac:dyDescent="0.4">
      <c r="A468" s="765"/>
      <c r="B468" s="51"/>
      <c r="C468" s="21"/>
      <c r="D468" s="21"/>
      <c r="E468" s="21"/>
      <c r="F468" s="21"/>
      <c r="G468" s="21"/>
      <c r="H468" s="29"/>
      <c r="I468" s="29"/>
      <c r="J468" s="29"/>
      <c r="K468" s="29"/>
      <c r="L468" s="35"/>
    </row>
    <row r="469" spans="1:14" s="4" customFormat="1" outlineLevel="1" x14ac:dyDescent="0.4">
      <c r="A469" s="765"/>
      <c r="B469" s="51"/>
      <c r="C469" s="25" t="s">
        <v>187</v>
      </c>
      <c r="D469" s="1"/>
      <c r="E469" s="1"/>
      <c r="F469" s="1"/>
      <c r="G469" s="1"/>
      <c r="H469" s="69" t="s">
        <v>136</v>
      </c>
      <c r="I469" s="79"/>
      <c r="J469" s="79"/>
      <c r="K469" s="61"/>
      <c r="L469" s="54"/>
      <c r="M469" s="12"/>
      <c r="N469" s="12"/>
    </row>
    <row r="470" spans="1:14" s="4" customFormat="1" outlineLevel="1" x14ac:dyDescent="0.4">
      <c r="A470" s="765"/>
      <c r="B470" s="51"/>
      <c r="C470" s="166" t="s">
        <v>188</v>
      </c>
      <c r="D470" s="164" t="s">
        <v>151</v>
      </c>
      <c r="E470" s="164" t="s">
        <v>140</v>
      </c>
      <c r="F470" s="21"/>
      <c r="G470" s="1"/>
      <c r="H470" s="43"/>
      <c r="I470" s="34"/>
      <c r="J470" s="164" t="s">
        <v>141</v>
      </c>
      <c r="K470" s="44"/>
      <c r="L470" s="54"/>
    </row>
    <row r="471" spans="1:14" s="4" customFormat="1" outlineLevel="1" x14ac:dyDescent="0.4">
      <c r="A471" s="765"/>
      <c r="B471" s="51"/>
      <c r="C471" s="145"/>
      <c r="D471" s="141"/>
      <c r="E471" s="144"/>
      <c r="F471" s="1"/>
      <c r="G471" s="1"/>
      <c r="H471" s="43"/>
      <c r="I471" s="164" t="s">
        <v>189</v>
      </c>
      <c r="J471" s="31">
        <f>IFERROR(IF(E463="No",0,IF(D471="MWh",(E471*'Reference values'!$D$47*INDEX(Electricity_Emission_Factors,MATCH(C471,Electricity_Source,0)))/(D466*1000),IF(D471="kWh",(E471*'Reference values'!$D$47*INDEX(Electricity_Emission_Factors,MATCH(C471,Electricity_Source,0))/1000)/(D466*1000),IF(D471="MWh/tonne(output)",(E471*'Reference values'!$D$47*INDEX(Electricity_Emission_Factors,MATCH(C471,Electricity_Source,0)))/1000,IF(D471="kWh/tonne(output)",(E471*'Reference values'!$D$47*INDEX(Electricity_Emission_Factors,MATCH(C471,Electricity_Source,0))/1000)/1000,""))))),"")</f>
        <v>0</v>
      </c>
      <c r="K471" s="44"/>
      <c r="L471" s="54"/>
    </row>
    <row r="472" spans="1:14" s="4" customFormat="1" outlineLevel="1" x14ac:dyDescent="0.4">
      <c r="A472" s="765"/>
      <c r="B472" s="51"/>
      <c r="C472" s="1"/>
      <c r="D472" s="1"/>
      <c r="E472" s="1"/>
      <c r="F472" s="1"/>
      <c r="G472" s="1"/>
      <c r="H472" s="43"/>
      <c r="I472" s="34"/>
      <c r="J472" s="34"/>
      <c r="K472" s="44"/>
      <c r="L472" s="54"/>
    </row>
    <row r="473" spans="1:14" s="4" customFormat="1" outlineLevel="1" x14ac:dyDescent="0.4">
      <c r="A473" s="765"/>
      <c r="B473" s="51"/>
      <c r="C473" s="25" t="s">
        <v>190</v>
      </c>
      <c r="D473" s="1"/>
      <c r="E473" s="1"/>
      <c r="F473" s="1"/>
      <c r="G473" s="1"/>
      <c r="H473" s="43"/>
      <c r="I473" s="34"/>
      <c r="J473" s="34"/>
      <c r="K473" s="44"/>
      <c r="L473" s="54"/>
    </row>
    <row r="474" spans="1:14" s="4" customFormat="1" outlineLevel="1" x14ac:dyDescent="0.4">
      <c r="A474" s="765"/>
      <c r="B474" s="51"/>
      <c r="C474" s="164" t="s">
        <v>160</v>
      </c>
      <c r="D474" s="164" t="s">
        <v>151</v>
      </c>
      <c r="E474" s="164" t="s">
        <v>140</v>
      </c>
      <c r="F474" s="1"/>
      <c r="G474" s="1"/>
      <c r="H474" s="43"/>
      <c r="I474" s="164" t="s">
        <v>160</v>
      </c>
      <c r="J474" s="182" t="s">
        <v>141</v>
      </c>
      <c r="K474" s="44"/>
      <c r="L474" s="54"/>
    </row>
    <row r="475" spans="1:14" s="4" customFormat="1" outlineLevel="1" x14ac:dyDescent="0.4">
      <c r="A475" s="765"/>
      <c r="B475" s="51"/>
      <c r="C475" s="27" t="str">
        <f>IF(E464="Default", "Diesel", "")</f>
        <v>Diesel</v>
      </c>
      <c r="D475" s="74" t="str">
        <f>IF(E464="Default", "kWh/tonne(output)", "")</f>
        <v>kWh/tonne(output)</v>
      </c>
      <c r="E475" s="74">
        <f>IF(E464="Default", 3.881, "")</f>
        <v>3.8809999999999998</v>
      </c>
      <c r="F475" s="1"/>
      <c r="G475" s="1"/>
      <c r="H475" s="43"/>
      <c r="I475" s="27" t="str">
        <f>IF(C475&gt;0,C475,"")</f>
        <v>Diesel</v>
      </c>
      <c r="J475" s="31">
        <f>IF(E464="Actual","",IFERROR(IF(C475&gt;0,IF(ISBLANK(E475),"Insert data",IF(E463="No",0,(IF(D475="litres",(E475*(INDEX(Fuel_Densities,MATCH(C475,Fuels_for_Densities,0))/1000)*INDEX(Fuel_LHV,MATCH(C475,Fuels_for_LHV,0))*INDEX(Fuel_EFs,MATCH(C475,Fuels_for_EF,0)))/(D466*1000),(IF(D475="m3",(E475*(INDEX(Fuel_Densities,MATCH(C475,Fuels_for_Densities,0)))*INDEX(Fuel_LHV,MATCH(C475,Fuels_for_LHV,0))*INDEX(Fuel_EFs,MATCH(C475,Fuels_for_EF,0)))/(D466*1000),IF(D475="kg",(E475*INDEX(Fuel_LHV,MATCH(C475,Fuels_for_LHV,0))*INDEX(Fuel_EFs,MATCH(C475,Fuels_for_EF,0)))/(D466*1000),IF(D475="tonnes",(E475*INDEX(Fuel_LHV,MATCH(C475,Fuels_for_LHV,0))*1000*INDEX(Fuel_EFs,MATCH(C475,Fuels_for_EF,0)))/(D466*1000),IF(D475="MWh",(E475*'Reference values'!$D$47*INDEX(Fuel_EFs,MATCH(C475,Fuels_for_EF,0)))/(D466*1000),IF(D475="kWh",(E475*'Reference values'!$D$47*INDEX(Fuel_EFs,MATCH(C475,Fuels_for_EF,0))/1000)/(D466*1000),(IF(D475="litres/tonne(output)",(E475*(INDEX(Fuel_Densities,MATCH(C475,Fuels_for_Densities,0))/1000)*INDEX(Fuel_LHV,MATCH(C475,Fuels_for_LHV,0))*INDEX(Fuel_EFs,MATCH(C475,Fuels_for_EF,0)))/1000,(IF(D475="m3/tonne(output)",(E475*(INDEX(Fuel_Densities,MATCH(C475,Fuels_for_Densities,0)))*INDEX(Fuel_LHV,MATCH(C475,Fuels_for_LHV,0))*INDEX(Fuel_EFs,MATCH(C475,Fuels_for_EF,0)))/1000,IF(D475="kg/tonne(output)",(E475*INDEX(Fuel_LHV,MATCH(C475,Fuels_for_LHV,0))*INDEX(Fuel_EFs,MATCH(C475,Fuels_for_EF,0)))/1000,IF(D475="tonnes/tonne(output)",(E475*INDEX(Fuel_LHV,MATCH(C475,Fuels_for_LHV,0))*1000*INDEX(Fuel_EFs,MATCH(C475,Fuels_for_EF,0)))/1000,IF(D475="MWh/tonne(output)",(E475*'Reference values'!$D$47*INDEX(Fuel_EFs,MATCH(C475,Fuels_for_EF,0)))/1000,IF(D475="kWh/tonne(output)",(E475*'Reference values'!$D$47*INDEX(Fuel_EFs,MATCH(C475,Fuels_for_EF,0))/1000)/1000,"Insert unit")))))))))))))))))),""),"Insert data"))</f>
        <v>0</v>
      </c>
      <c r="K475" s="44"/>
      <c r="L475" s="54"/>
    </row>
    <row r="476" spans="1:14" s="4" customFormat="1" outlineLevel="1" x14ac:dyDescent="0.4">
      <c r="A476" s="765"/>
      <c r="B476" s="51"/>
      <c r="C476" s="134"/>
      <c r="D476" s="141"/>
      <c r="E476" s="144"/>
      <c r="F476" s="1"/>
      <c r="G476" s="1"/>
      <c r="H476" s="43"/>
      <c r="I476" s="27" t="str">
        <f>IF(C476&gt;0,C476,"")</f>
        <v/>
      </c>
      <c r="J476" s="31" t="str">
        <f>IFERROR(IF(C476&gt;0,IF(ISBLANK(E476),"Insert data",IF(E463="No",0,(IF(D476="litres",(E476*(INDEX(Fuel_Densities,MATCH(C476,Fuels_for_Densities,0))/1000)*INDEX(Fuel_LHV,MATCH(C476,Fuels_for_LHV,0))*INDEX(Fuel_EFs,MATCH(C476,Fuels_for_EF,0)))/(D466*1000),(IF(D476="m3",(E476*(INDEX(Fuel_Densities,MATCH(C476,Fuels_for_Densities,0)))*INDEX(Fuel_LHV,MATCH(C476,Fuels_for_LHV,0))*INDEX(Fuel_EFs,MATCH(C476,Fuels_for_EF,0)))/(D466*1000),IF(D476="kg",(E476*INDEX(Fuel_LHV,MATCH(C476,Fuels_for_LHV,0))*INDEX(Fuel_EFs,MATCH(C476,Fuels_for_EF,0)))/(D466*1000),IF(D476="tonnes",(E476*INDEX(Fuel_LHV,MATCH(C476,Fuels_for_LHV,0))*1000*INDEX(Fuel_EFs,MATCH(C476,Fuels_for_EF,0)))/(D466*1000),IF(D476="MWh",(E476*'Reference values'!$D$47*INDEX(Fuel_EFs,MATCH(C476,Fuels_for_EF,0)))/(D466*1000),IF(D476="kWh",(E476*'Reference values'!$D$47*INDEX(Fuel_EFs,MATCH(C476,Fuels_for_EF,0))/1000)/(D466*1000),(IF(D476="litres/tonne(output)",(E476*(INDEX(Fuel_Densities,MATCH(C476,Fuels_for_Densities,0))/1000)*INDEX(Fuel_LHV,MATCH(C476,Fuels_for_LHV,0))*INDEX(Fuel_EFs,MATCH(C476,Fuels_for_EF,0)))/1000,(IF(D476="m3/tonne(output)",(E476*(INDEX(Fuel_Densities,MATCH(C476,Fuels_for_Densities,0)))*INDEX(Fuel_LHV,MATCH(C476,Fuels_for_LHV,0))*INDEX(Fuel_EFs,MATCH(C476,Fuels_for_EF,0)))/1000,IF(D476="kg/tonne(output)",(E476*INDEX(Fuel_LHV,MATCH(C476,Fuels_for_LHV,0))*INDEX(Fuel_EFs,MATCH(C476,Fuels_for_EF,0)))/1000,IF(D476="tonnes/tonne(output)",(E476*INDEX(Fuel_LHV,MATCH(C476,Fuels_for_LHV,0))*1000*INDEX(Fuel_EFs,MATCH(C476,Fuels_for_EF,0)))/1000,IF(D476="MWh/tonne(output)",(E476*'Reference values'!$D$47*INDEX(Fuel_EFs,MATCH(C476,Fuels_for_EF,0)))/1000,IF(D476="kWh/tonne(output)",(E476*'Reference values'!$D$47*INDEX(Fuel_EFs,MATCH(C476,Fuels_for_EF,0))/1000)/1000,"Insert unit")))))))))))))))))),""),"Insert data")</f>
        <v/>
      </c>
      <c r="K476" s="44"/>
      <c r="L476" s="54"/>
    </row>
    <row r="477" spans="1:14" s="4" customFormat="1" outlineLevel="1" x14ac:dyDescent="0.4">
      <c r="A477" s="765"/>
      <c r="B477" s="51"/>
      <c r="C477" s="134"/>
      <c r="D477" s="141"/>
      <c r="E477" s="144"/>
      <c r="F477" s="1"/>
      <c r="G477" s="1"/>
      <c r="H477" s="43"/>
      <c r="I477" s="27" t="str">
        <f>IF(C477&gt;0,C477,"")</f>
        <v/>
      </c>
      <c r="J477" s="31" t="str">
        <f>IFERROR(IF(C477&gt;0,IF(ISBLANK(E477),"Insert data",IF(E463="No",0,(IF(D477="litres",(E477*(INDEX(Fuel_Densities,MATCH(C477,Fuels_for_Densities,0))/1000)*INDEX(Fuel_LHV,MATCH(C477,Fuels_for_LHV,0))*INDEX(Fuel_EFs,MATCH(C477,Fuels_for_EF,0)))/(D466*1000),(IF(D477="m3",(E477*(INDEX(Fuel_Densities,MATCH(C477,Fuels_for_Densities,0)))*INDEX(Fuel_LHV,MATCH(C477,Fuels_for_LHV,0))*INDEX(Fuel_EFs,MATCH(C477,Fuels_for_EF,0)))/(D466*1000),IF(D477="kg",(E477*INDEX(Fuel_LHV,MATCH(C477,Fuels_for_LHV,0))*INDEX(Fuel_EFs,MATCH(C477,Fuels_for_EF,0)))/(D466*1000),IF(D477="tonnes",(E477*INDEX(Fuel_LHV,MATCH(C477,Fuels_for_LHV,0))*1000*INDEX(Fuel_EFs,MATCH(C477,Fuels_for_EF,0)))/(D466*1000),IF(D477="MWh",(E477*'Reference values'!$D$47*INDEX(Fuel_EFs,MATCH(C477,Fuels_for_EF,0)))/(D466*1000),IF(D477="kWh",(E477*'Reference values'!$D$47*INDEX(Fuel_EFs,MATCH(C477,Fuels_for_EF,0))/1000)/(D466*1000),(IF(D477="litres/tonne(output)",(E477*(INDEX(Fuel_Densities,MATCH(C477,Fuels_for_Densities,0))/1000)*INDEX(Fuel_LHV,MATCH(C477,Fuels_for_LHV,0))*INDEX(Fuel_EFs,MATCH(C477,Fuels_for_EF,0)))/1000,(IF(D477="m3/tonne(output)",(E477*(INDEX(Fuel_Densities,MATCH(C477,Fuels_for_Densities,0)))*INDEX(Fuel_LHV,MATCH(C477,Fuels_for_LHV,0))*INDEX(Fuel_EFs,MATCH(C477,Fuels_for_EF,0)))/1000,IF(D477="kg/tonne(output)",(E477*INDEX(Fuel_LHV,MATCH(C477,Fuels_for_LHV,0))*INDEX(Fuel_EFs,MATCH(C477,Fuels_for_EF,0)))/1000,IF(D477="tonnes/tonne(output)",(E477*INDEX(Fuel_LHV,MATCH(C477,Fuels_for_LHV,0))*1000*INDEX(Fuel_EFs,MATCH(C477,Fuels_for_EF,0)))/1000,IF(D477="MWh/tonne(output)",(E477*'Reference values'!$D$47*INDEX(Fuel_EFs,MATCH(C477,Fuels_for_EF,0)))/1000,IF(D477="kWh/tonne(output)",(E477*'Reference values'!$D$47*INDEX(Fuel_EFs,MATCH(C477,Fuels_for_EF,0))/1000)/1000,"Insert unit")))))))))))))))))),""),"Insert data")</f>
        <v/>
      </c>
      <c r="K477" s="44"/>
      <c r="L477" s="54"/>
    </row>
    <row r="478" spans="1:14" s="4" customFormat="1" outlineLevel="1" x14ac:dyDescent="0.4">
      <c r="A478" s="765"/>
      <c r="B478" s="51"/>
      <c r="C478" s="134"/>
      <c r="D478" s="141"/>
      <c r="E478" s="144"/>
      <c r="F478" s="1"/>
      <c r="G478" s="1"/>
      <c r="H478" s="43"/>
      <c r="I478" s="27" t="str">
        <f>IF(C478&gt;0,C478,"")</f>
        <v/>
      </c>
      <c r="J478" s="31" t="str">
        <f>IFERROR(IF(C478&gt;0,IF(ISBLANK(E478),"Insert data",IF(E463="No",0,(IF(D478="litres",(E478*(INDEX(Fuel_Densities,MATCH(C478,Fuels_for_Densities,0))/1000)*INDEX(Fuel_LHV,MATCH(C478,Fuels_for_LHV,0))*INDEX(Fuel_EFs,MATCH(C478,Fuels_for_EF,0)))/(D466*1000),(IF(D478="m3",(E478*(INDEX(Fuel_Densities,MATCH(C478,Fuels_for_Densities,0)))*INDEX(Fuel_LHV,MATCH(C478,Fuels_for_LHV,0))*INDEX(Fuel_EFs,MATCH(C478,Fuels_for_EF,0)))/(D466*1000),IF(D478="kg",(E478*INDEX(Fuel_LHV,MATCH(C478,Fuels_for_LHV,0))*INDEX(Fuel_EFs,MATCH(C478,Fuels_for_EF,0)))/(D466*1000),IF(D478="tonnes",(E478*INDEX(Fuel_LHV,MATCH(C478,Fuels_for_LHV,0))*1000*INDEX(Fuel_EFs,MATCH(C478,Fuels_for_EF,0)))/(D466*1000),IF(D478="MWh",(E478*'Reference values'!$D$47*INDEX(Fuel_EFs,MATCH(C478,Fuels_for_EF,0)))/(D466*1000),IF(D478="kWh",(E478*'Reference values'!$D$47*INDEX(Fuel_EFs,MATCH(C478,Fuels_for_EF,0))/1000)/(D466*1000),(IF(D478="litres/tonne(output)",(E478*(INDEX(Fuel_Densities,MATCH(C478,Fuels_for_Densities,0))/1000)*INDEX(Fuel_LHV,MATCH(C478,Fuels_for_LHV,0))*INDEX(Fuel_EFs,MATCH(C478,Fuels_for_EF,0)))/1000,(IF(D478="m3/tonne(output)",(E478*(INDEX(Fuel_Densities,MATCH(C478,Fuels_for_Densities,0)))*INDEX(Fuel_LHV,MATCH(C478,Fuels_for_LHV,0))*INDEX(Fuel_EFs,MATCH(C478,Fuels_for_EF,0)))/1000,IF(D478="kg/tonne(output)",(E478*INDEX(Fuel_LHV,MATCH(C478,Fuels_for_LHV,0))*INDEX(Fuel_EFs,MATCH(C478,Fuels_for_EF,0)))/1000,IF(D478="tonnes/tonne(output)",(E478*INDEX(Fuel_LHV,MATCH(C478,Fuels_for_LHV,0))*1000*INDEX(Fuel_EFs,MATCH(C478,Fuels_for_EF,0)))/1000,IF(D478="MWh/tonne(output)",(E478*'Reference values'!$D$47*INDEX(Fuel_EFs,MATCH(C478,Fuels_for_EF,0)))/1000,IF(D478="kWh/tonne(output)",(E478*'Reference values'!$D$47*INDEX(Fuel_EFs,MATCH(C478,Fuels_for_EF,0))/1000)/1000,"Insert unit")))))))))))))))))),""),"Insert data")</f>
        <v/>
      </c>
      <c r="K478" s="44"/>
      <c r="L478" s="54"/>
    </row>
    <row r="479" spans="1:14" s="4" customFormat="1" outlineLevel="1" x14ac:dyDescent="0.4">
      <c r="A479" s="765"/>
      <c r="B479" s="51"/>
      <c r="C479" s="1"/>
      <c r="D479" s="1"/>
      <c r="E479" s="1"/>
      <c r="F479" s="1"/>
      <c r="G479" s="53"/>
      <c r="H479" s="56"/>
      <c r="I479" s="57"/>
      <c r="J479" s="34"/>
      <c r="K479" s="44"/>
      <c r="L479" s="54"/>
    </row>
    <row r="480" spans="1:14" s="4" customFormat="1" outlineLevel="1" x14ac:dyDescent="0.4">
      <c r="A480" s="765"/>
      <c r="B480" s="51"/>
      <c r="C480" s="25" t="s">
        <v>191</v>
      </c>
      <c r="D480" s="1"/>
      <c r="E480" s="1"/>
      <c r="F480" s="1"/>
      <c r="G480" s="53"/>
      <c r="H480" s="56"/>
      <c r="I480" s="34"/>
      <c r="J480" s="34"/>
      <c r="K480" s="44"/>
      <c r="L480" s="54"/>
    </row>
    <row r="481" spans="1:12" s="4" customFormat="1" outlineLevel="1" x14ac:dyDescent="0.4">
      <c r="A481" s="765"/>
      <c r="B481" s="51"/>
      <c r="C481" s="164" t="s">
        <v>192</v>
      </c>
      <c r="D481" s="164" t="s">
        <v>151</v>
      </c>
      <c r="E481" s="164" t="s">
        <v>140</v>
      </c>
      <c r="F481" s="1"/>
      <c r="G481" s="1"/>
      <c r="H481" s="43"/>
      <c r="I481" s="164" t="s">
        <v>192</v>
      </c>
      <c r="J481" s="182" t="s">
        <v>141</v>
      </c>
      <c r="K481" s="44"/>
      <c r="L481" s="54"/>
    </row>
    <row r="482" spans="1:12" s="4" customFormat="1" outlineLevel="1" x14ac:dyDescent="0.4">
      <c r="A482" s="765"/>
      <c r="B482" s="51"/>
      <c r="C482" s="134"/>
      <c r="D482" s="141"/>
      <c r="E482" s="144"/>
      <c r="F482" s="1"/>
      <c r="G482" s="1"/>
      <c r="H482" s="43"/>
      <c r="I482" s="27" t="str">
        <f t="shared" ref="I482:I489" si="9">IF(C482&gt;0,C482,"")</f>
        <v/>
      </c>
      <c r="J482" s="31" t="str">
        <f>IFERROR(IF(C482&gt;0,IF(ISBLANK(E482),"Insert data",IF(E463="No",0,IF(D482="kg",E482*INDEX(Chemical_Emission_Factors,MATCH(C482,Chemicals,0))/(D466*1000),IF(D482="tonnes",E482*INDEX(Chemical_Emission_Factors,MATCH(C482,Chemicals,0))*1000/(D466*1000),IF(D482="kg/tonne(output)",E482*INDEX(Chemical_Emission_Factors,MATCH(C482,Chemicals,0))/1000,IF(D482="tonnes/tonne(output)",E482*INDEX(Chemical_Emission_Factors,MATCH(C482,Chemicals,0))*1000/1000,"Insert unit")))))),""),"Insert data")</f>
        <v/>
      </c>
      <c r="K482" s="44"/>
      <c r="L482" s="54"/>
    </row>
    <row r="483" spans="1:12" s="4" customFormat="1" outlineLevel="1" x14ac:dyDescent="0.4">
      <c r="A483" s="765"/>
      <c r="B483" s="51"/>
      <c r="C483" s="134"/>
      <c r="D483" s="141"/>
      <c r="E483" s="144"/>
      <c r="F483" s="1"/>
      <c r="G483" s="1"/>
      <c r="H483" s="43"/>
      <c r="I483" s="27" t="str">
        <f t="shared" si="9"/>
        <v/>
      </c>
      <c r="J483" s="31" t="str">
        <f>IFERROR(IF(C483&gt;0,IF(ISBLANK(E483),"Insert data",IF(E463="No",0,IF(D483="kg",E483*INDEX(Chemical_Emission_Factors,MATCH(C483,Chemicals,0))/(D466*1000),IF(D483="tonnes",E483*INDEX(Chemical_Emission_Factors,MATCH(C483,Chemicals,0))*1000/(D466*1000),IF(D483="kg/tonne(output)",E483*INDEX(Chemical_Emission_Factors,MATCH(C483,Chemicals,0))/1000,IF(D483="tonnes/tonne(output)",E483*INDEX(Chemical_Emission_Factors,MATCH(C483,Chemicals,0))*1000/1000,"Insert unit")))))),""),"Insert data")</f>
        <v/>
      </c>
      <c r="K483" s="44"/>
      <c r="L483" s="54"/>
    </row>
    <row r="484" spans="1:12" s="4" customFormat="1" outlineLevel="1" x14ac:dyDescent="0.4">
      <c r="A484" s="765"/>
      <c r="B484" s="51"/>
      <c r="C484" s="134"/>
      <c r="D484" s="141"/>
      <c r="E484" s="144"/>
      <c r="F484" s="1"/>
      <c r="G484" s="1"/>
      <c r="H484" s="43"/>
      <c r="I484" s="27" t="str">
        <f t="shared" si="9"/>
        <v/>
      </c>
      <c r="J484" s="31" t="str">
        <f>IFERROR(IF(C484&gt;0,IF(ISBLANK(E484),"Insert data",IF(E463="No",0,IF(D484="kg",E484*INDEX(Chemical_Emission_Factors,MATCH(C484,Chemicals,0))/(D466*1000),IF(D484="tonnes",E484*INDEX(Chemical_Emission_Factors,MATCH(C484,Chemicals,0))*1000/(D466*1000),IF(D484="kg/tonne(output)",E484*INDEX(Chemical_Emission_Factors,MATCH(C484,Chemicals,0))/1000,IF(D484="tonnes/tonne(output)",E484*INDEX(Chemical_Emission_Factors,MATCH(C484,Chemicals,0))*1000/1000,"Insert unit")))))),""),"Insert data")</f>
        <v/>
      </c>
      <c r="K484" s="44"/>
      <c r="L484" s="54"/>
    </row>
    <row r="485" spans="1:12" s="4" customFormat="1" outlineLevel="1" x14ac:dyDescent="0.4">
      <c r="A485" s="765"/>
      <c r="B485" s="51"/>
      <c r="C485" s="134"/>
      <c r="D485" s="141"/>
      <c r="E485" s="144"/>
      <c r="F485" s="1"/>
      <c r="G485" s="1"/>
      <c r="H485" s="43"/>
      <c r="I485" s="27" t="str">
        <f t="shared" si="9"/>
        <v/>
      </c>
      <c r="J485" s="31" t="str">
        <f>IFERROR(IF(C485&gt;0,IF(ISBLANK(E485),"Insert data",IF(E463="No",0,IF(D485="kg",E485*INDEX(Chemical_Emission_Factors,MATCH(C485,Chemicals,0))/(D466*1000),IF(D485="tonnes",E485*INDEX(Chemical_Emission_Factors,MATCH(C485,Chemicals,0))*1000/(D466*1000),IF(D485="kg/tonne(output)",E485*INDEX(Chemical_Emission_Factors,MATCH(C485,Chemicals,0))/1000,IF(D485="tonnes/tonne(output)",E485*INDEX(Chemical_Emission_Factors,MATCH(C485,Chemicals,0))*1000/1000,"Insert unit")))))),""),"Insert data")</f>
        <v/>
      </c>
      <c r="K485" s="44"/>
      <c r="L485" s="54"/>
    </row>
    <row r="486" spans="1:12" s="4" customFormat="1" outlineLevel="1" x14ac:dyDescent="0.4">
      <c r="A486" s="765"/>
      <c r="B486" s="51"/>
      <c r="C486" s="134"/>
      <c r="D486" s="141"/>
      <c r="E486" s="144"/>
      <c r="F486" s="1"/>
      <c r="G486" s="1"/>
      <c r="H486" s="43"/>
      <c r="I486" s="27" t="str">
        <f t="shared" si="9"/>
        <v/>
      </c>
      <c r="J486" s="31" t="str">
        <f>IFERROR(IF(C486&gt;0,IF(ISBLANK(E486),"Insert data",IF(E463="No",0,IF(D486="kg",E486*INDEX(Chemical_Emission_Factors,MATCH(C486,Chemicals,0))/(D466*1000),IF(D486="tonnes",E486*INDEX(Chemical_Emission_Factors,MATCH(C486,Chemicals,0))*1000/(D466*1000),IF(D486="kg/tonne(output)",E486*INDEX(Chemical_Emission_Factors,MATCH(C486,Chemicals,0))/1000,IF(D486="tonnes/tonne(output)",E486*INDEX(Chemical_Emission_Factors,MATCH(C486,Chemicals,0))*1000/1000,"Insert unit")))))),""),"Insert data")</f>
        <v/>
      </c>
      <c r="K486" s="44"/>
      <c r="L486" s="54"/>
    </row>
    <row r="487" spans="1:12" s="4" customFormat="1" outlineLevel="1" x14ac:dyDescent="0.4">
      <c r="A487" s="765"/>
      <c r="B487" s="51"/>
      <c r="C487" s="134"/>
      <c r="D487" s="141"/>
      <c r="E487" s="144"/>
      <c r="F487" s="1"/>
      <c r="G487" s="1"/>
      <c r="H487" s="43"/>
      <c r="I487" s="27" t="str">
        <f t="shared" si="9"/>
        <v/>
      </c>
      <c r="J487" s="31" t="str">
        <f>IFERROR(IF(C487&gt;0,IF(ISBLANK(E487),"Insert data",IF(E463="No",0,IF(D487="kg",E487*INDEX(Chemical_Emission_Factors,MATCH(C487,Chemicals,0))/(D466*1000),IF(D487="tonnes",E487*INDEX(Chemical_Emission_Factors,MATCH(C487,Chemicals,0))*1000/(D466*1000),IF(D487="kg/tonne(output)",E487*INDEX(Chemical_Emission_Factors,MATCH(C487,Chemicals,0))/1000,IF(D487="tonnes/tonne(output)",E487*INDEX(Chemical_Emission_Factors,MATCH(C487,Chemicals,0))*1000/1000,"Insert unit")))))),""),"Insert data")</f>
        <v/>
      </c>
      <c r="K487" s="44"/>
      <c r="L487" s="54"/>
    </row>
    <row r="488" spans="1:12" s="4" customFormat="1" outlineLevel="1" x14ac:dyDescent="0.4">
      <c r="A488" s="765"/>
      <c r="B488" s="51"/>
      <c r="C488" s="134"/>
      <c r="D488" s="141"/>
      <c r="E488" s="144"/>
      <c r="F488" s="1"/>
      <c r="G488" s="1"/>
      <c r="H488" s="43"/>
      <c r="I488" s="27" t="str">
        <f t="shared" si="9"/>
        <v/>
      </c>
      <c r="J488" s="31" t="str">
        <f>IFERROR(IF(C488&gt;0,IF(ISBLANK(E488),"Insert data",IF(E463="No",0,IF(D488="kg",E488*INDEX(Chemical_Emission_Factors,MATCH(C488,Chemicals,0))/(D466*1000),IF(D488="tonnes",E488*INDEX(Chemical_Emission_Factors,MATCH(C488,Chemicals,0))*1000/(D466*1000),IF(D488="kg/tonne(output)",E488*INDEX(Chemical_Emission_Factors,MATCH(C488,Chemicals,0))/1000,IF(D488="tonnes/tonne(output)",E488*INDEX(Chemical_Emission_Factors,MATCH(C488,Chemicals,0))*1000/1000,"Insert unit")))))),""),"Insert data")</f>
        <v/>
      </c>
      <c r="K488" s="44"/>
      <c r="L488" s="54"/>
    </row>
    <row r="489" spans="1:12" s="4" customFormat="1" outlineLevel="1" x14ac:dyDescent="0.4">
      <c r="A489" s="765"/>
      <c r="B489" s="51"/>
      <c r="C489" s="134"/>
      <c r="D489" s="141"/>
      <c r="E489" s="144"/>
      <c r="F489" s="1"/>
      <c r="G489" s="1"/>
      <c r="H489" s="43"/>
      <c r="I489" s="27" t="str">
        <f t="shared" si="9"/>
        <v/>
      </c>
      <c r="J489" s="31" t="str">
        <f>IFERROR(IF(C489&gt;0,IF(ISBLANK(E489),"Insert data",IF(E463="No",0,IF(D489="kg",E489*INDEX(Chemical_Emission_Factors,MATCH(C489,Chemicals,0))/(D466*1000),IF(D489="tonnes",E489*INDEX(Chemical_Emission_Factors,MATCH(C489,Chemicals,0))*1000/(D466*1000),IF(D489="kg/tonne(output)",E489*INDEX(Chemical_Emission_Factors,MATCH(C489,Chemicals,0))/1000,IF(D489="tonnes/tonne(output)",E489*INDEX(Chemical_Emission_Factors,MATCH(C489,Chemicals,0))*1000/1000,"Insert unit")))))),""),"Insert data")</f>
        <v/>
      </c>
      <c r="K489" s="44"/>
      <c r="L489" s="54"/>
    </row>
    <row r="490" spans="1:12" s="4" customFormat="1" ht="12" customHeight="1" outlineLevel="1" x14ac:dyDescent="0.4">
      <c r="A490" s="293"/>
      <c r="B490" s="51"/>
      <c r="C490" s="307"/>
      <c r="D490" s="306"/>
      <c r="E490" s="306"/>
      <c r="F490" s="1"/>
      <c r="G490" s="1"/>
      <c r="H490" s="49"/>
      <c r="I490" s="65"/>
      <c r="J490" s="308"/>
      <c r="K490" s="66"/>
      <c r="L490" s="54"/>
    </row>
    <row r="491" spans="1:12" s="4" customFormat="1" outlineLevel="1" x14ac:dyDescent="0.4">
      <c r="B491" s="20"/>
      <c r="C491" s="243" t="s">
        <v>193</v>
      </c>
      <c r="D491" s="21"/>
      <c r="E491" s="21"/>
      <c r="F491" s="1"/>
      <c r="G491" s="21"/>
      <c r="H491" s="21"/>
      <c r="I491" s="21"/>
      <c r="J491" s="21"/>
      <c r="K491" s="21"/>
      <c r="L491" s="35"/>
    </row>
    <row r="492" spans="1:12" s="4" customFormat="1" outlineLevel="1" x14ac:dyDescent="0.4">
      <c r="B492" s="20"/>
      <c r="C492" s="766" t="s">
        <v>194</v>
      </c>
      <c r="D492" s="767"/>
      <c r="E492" s="299" t="s">
        <v>178</v>
      </c>
      <c r="F492" s="1"/>
      <c r="G492" s="21"/>
      <c r="H492" s="302"/>
      <c r="I492" s="47"/>
      <c r="J492" s="47"/>
      <c r="K492" s="45"/>
      <c r="L492" s="35"/>
    </row>
    <row r="493" spans="1:12" s="4" customFormat="1" ht="6.75" customHeight="1" outlineLevel="1" x14ac:dyDescent="0.4">
      <c r="B493" s="20"/>
      <c r="C493" s="21"/>
      <c r="D493" s="21"/>
      <c r="E493" s="21"/>
      <c r="F493" s="1"/>
      <c r="G493" s="21"/>
      <c r="H493" s="41"/>
      <c r="I493" s="36"/>
      <c r="J493" s="301"/>
      <c r="K493" s="37"/>
      <c r="L493" s="35"/>
    </row>
    <row r="494" spans="1:12" s="4" customFormat="1" outlineLevel="1" x14ac:dyDescent="0.4">
      <c r="B494" s="20"/>
      <c r="C494" s="21"/>
      <c r="D494" s="164" t="s">
        <v>151</v>
      </c>
      <c r="E494" s="164" t="s">
        <v>140</v>
      </c>
      <c r="F494" s="1"/>
      <c r="G494" s="21"/>
      <c r="H494" s="41"/>
      <c r="I494" s="36"/>
      <c r="J494" s="164" t="s">
        <v>195</v>
      </c>
      <c r="K494" s="37"/>
      <c r="L494" s="35"/>
    </row>
    <row r="495" spans="1:12" s="4" customFormat="1" outlineLevel="1" x14ac:dyDescent="0.4">
      <c r="B495" s="20"/>
      <c r="C495" s="164" t="s">
        <v>196</v>
      </c>
      <c r="D495" s="297" t="s">
        <v>197</v>
      </c>
      <c r="E495" s="299"/>
      <c r="F495" s="1"/>
      <c r="G495" s="21"/>
      <c r="H495" s="41"/>
      <c r="I495" s="164" t="s">
        <v>198</v>
      </c>
      <c r="J495" s="309" t="str">
        <f>IFERROR(IF(E492="No", "", IF(AND(E492="yes",OR(ISBLANK(E495),ISBLANK(E496),ISBLANK(E497))),"Insert data",E496/(E496+E497*E495))), "")</f>
        <v/>
      </c>
      <c r="K495" s="37"/>
      <c r="L495" s="35"/>
    </row>
    <row r="496" spans="1:12" s="4" customFormat="1" outlineLevel="1" x14ac:dyDescent="0.4">
      <c r="B496" s="20"/>
      <c r="C496" s="164" t="s">
        <v>199</v>
      </c>
      <c r="D496" s="296" t="s">
        <v>200</v>
      </c>
      <c r="E496" s="299"/>
      <c r="F496" s="1"/>
      <c r="G496" s="21"/>
      <c r="H496" s="41"/>
      <c r="I496" s="164" t="s">
        <v>201</v>
      </c>
      <c r="J496" s="309" t="str">
        <f>IFERROR(IF(E492="No", "", IF(AND(E492="yes",OR(ISBLANK(E495),ISBLANK(E496),ISBLANK(E497))),"Insert data",(E497*E495)/(E497*E495+E496))),"")</f>
        <v/>
      </c>
      <c r="K496" s="37"/>
      <c r="L496" s="35"/>
    </row>
    <row r="497" spans="2:12" s="4" customFormat="1" outlineLevel="1" x14ac:dyDescent="0.4">
      <c r="B497" s="20"/>
      <c r="C497" s="164" t="s">
        <v>202</v>
      </c>
      <c r="D497" s="296" t="s">
        <v>200</v>
      </c>
      <c r="E497" s="299"/>
      <c r="F497" s="1"/>
      <c r="G497" s="21"/>
      <c r="H497" s="46"/>
      <c r="I497" s="58"/>
      <c r="J497" s="58"/>
      <c r="K497" s="59"/>
      <c r="L497" s="35"/>
    </row>
    <row r="498" spans="2:12" s="4" customFormat="1" ht="6.75" customHeight="1" outlineLevel="1" x14ac:dyDescent="0.4">
      <c r="B498" s="20"/>
      <c r="C498" s="21"/>
      <c r="D498" s="21"/>
      <c r="E498" s="21"/>
      <c r="F498" s="1"/>
      <c r="G498" s="21"/>
      <c r="H498" s="21"/>
      <c r="I498" s="21"/>
      <c r="J498" s="21"/>
      <c r="K498" s="21"/>
      <c r="L498" s="35"/>
    </row>
    <row r="499" spans="2:12" s="4" customFormat="1" ht="12.75" customHeight="1" outlineLevel="1" x14ac:dyDescent="0.4">
      <c r="B499" s="20"/>
      <c r="C499" s="300" t="s">
        <v>203</v>
      </c>
      <c r="D499" s="21"/>
      <c r="E499" s="21"/>
      <c r="F499" s="21"/>
      <c r="G499" s="21"/>
      <c r="H499" s="21"/>
      <c r="I499" s="21"/>
      <c r="J499" s="21"/>
      <c r="K499" s="21"/>
      <c r="L499" s="35"/>
    </row>
    <row r="500" spans="2:12" s="4" customFormat="1" ht="12.75" customHeight="1" outlineLevel="1" x14ac:dyDescent="0.4">
      <c r="B500" s="20"/>
      <c r="C500" s="300" t="s">
        <v>204</v>
      </c>
      <c r="D500" s="21"/>
      <c r="E500" s="21"/>
      <c r="F500" s="21"/>
      <c r="G500" s="21"/>
      <c r="H500" s="21"/>
      <c r="I500" s="21"/>
      <c r="J500" s="21"/>
      <c r="K500" s="21"/>
      <c r="L500" s="35"/>
    </row>
    <row r="501" spans="2:12" s="4" customFormat="1" ht="6.75" customHeight="1" outlineLevel="1" x14ac:dyDescent="0.4">
      <c r="B501" s="28"/>
      <c r="C501" s="298"/>
      <c r="D501" s="29"/>
      <c r="E501" s="29"/>
      <c r="F501" s="29"/>
      <c r="G501" s="29"/>
      <c r="H501" s="29"/>
      <c r="I501" s="29"/>
      <c r="J501" s="29"/>
      <c r="K501" s="29"/>
      <c r="L501" s="60"/>
    </row>
    <row r="502" spans="2:12" s="4" customFormat="1" ht="15.6" customHeight="1" x14ac:dyDescent="0.4"/>
    <row r="503" spans="2:12" s="4" customFormat="1" ht="6" customHeight="1" x14ac:dyDescent="0.4"/>
    <row r="504" spans="2:12" s="4" customFormat="1" ht="1.5" customHeight="1" x14ac:dyDescent="0.4"/>
    <row r="505" spans="2:12" s="4" customFormat="1" hidden="1" x14ac:dyDescent="0.4"/>
    <row r="506" spans="2:12" s="4" customFormat="1" ht="3" customHeight="1" x14ac:dyDescent="0.4"/>
    <row r="507" spans="2:12" s="4" customFormat="1" ht="3" customHeight="1" x14ac:dyDescent="0.4"/>
    <row r="508" spans="2:12" s="4" customFormat="1" ht="19.2" x14ac:dyDescent="0.45">
      <c r="B508" s="754" t="str">
        <f>"Feedstock Conversion"&amp;" - "&amp;Feedstocks!C24</f>
        <v xml:space="preserve">Feedstock Conversion - </v>
      </c>
      <c r="C508" s="755"/>
      <c r="D508" s="755"/>
      <c r="E508" s="755"/>
      <c r="F508" s="755"/>
      <c r="G508" s="755"/>
      <c r="H508" s="755"/>
      <c r="I508" s="755"/>
      <c r="J508" s="755"/>
      <c r="K508" s="755"/>
      <c r="L508" s="756"/>
    </row>
    <row r="509" spans="2:12" s="4" customFormat="1" outlineLevel="1" x14ac:dyDescent="0.4">
      <c r="B509" s="17"/>
      <c r="C509" s="19"/>
      <c r="D509" s="19"/>
      <c r="E509" s="19"/>
      <c r="F509" s="19"/>
      <c r="G509" s="19"/>
      <c r="H509" s="19"/>
      <c r="I509" s="19"/>
      <c r="J509" s="19"/>
      <c r="K509" s="19"/>
      <c r="L509" s="50"/>
    </row>
    <row r="510" spans="2:12" s="4" customFormat="1" outlineLevel="1" x14ac:dyDescent="0.4">
      <c r="B510" s="20"/>
      <c r="C510" s="21"/>
      <c r="D510" s="21"/>
      <c r="E510" s="21"/>
      <c r="F510" s="21"/>
      <c r="G510" s="1"/>
      <c r="H510" s="303" t="s">
        <v>122</v>
      </c>
      <c r="I510" s="47"/>
      <c r="J510" s="47"/>
      <c r="K510" s="45"/>
      <c r="L510" s="35"/>
    </row>
    <row r="511" spans="2:12" s="4" customFormat="1" outlineLevel="1" x14ac:dyDescent="0.4">
      <c r="B511" s="20"/>
      <c r="C511" s="21"/>
      <c r="D511" s="21"/>
      <c r="E511" s="21"/>
      <c r="F511" s="21"/>
      <c r="G511" s="76"/>
      <c r="H511" s="41"/>
      <c r="I511" s="36"/>
      <c r="J511" s="164" t="s">
        <v>124</v>
      </c>
      <c r="K511" s="37"/>
      <c r="L511" s="35"/>
    </row>
    <row r="512" spans="2:12" s="4" customFormat="1" outlineLevel="1" x14ac:dyDescent="0.4">
      <c r="B512" s="20"/>
      <c r="C512" s="21"/>
      <c r="D512" s="21"/>
      <c r="E512" s="21"/>
      <c r="F512" s="21"/>
      <c r="G512" s="21"/>
      <c r="H512" s="41"/>
      <c r="I512" s="164" t="s">
        <v>125</v>
      </c>
      <c r="J512" s="52" t="str">
        <f>IFERROR((J516*'Digestion &amp; outputs'!$K$23/('Transport 2'!F519*('Digestion &amp; outputs'!$G$27/1000))),"")</f>
        <v/>
      </c>
      <c r="K512" s="37"/>
      <c r="L512" s="35"/>
    </row>
    <row r="513" spans="1:14" s="4" customFormat="1" outlineLevel="1" x14ac:dyDescent="0.4">
      <c r="B513" s="20"/>
      <c r="C513" s="759" t="s">
        <v>183</v>
      </c>
      <c r="D513" s="759"/>
      <c r="E513" s="134" t="s">
        <v>178</v>
      </c>
      <c r="F513" s="21"/>
      <c r="G513" s="21"/>
      <c r="H513" s="41"/>
      <c r="I513" s="36"/>
      <c r="J513" s="36"/>
      <c r="K513" s="37"/>
      <c r="L513" s="35"/>
    </row>
    <row r="514" spans="1:14" s="4" customFormat="1" outlineLevel="1" x14ac:dyDescent="0.4">
      <c r="B514" s="20"/>
      <c r="C514" s="763" t="s">
        <v>184</v>
      </c>
      <c r="D514" s="764"/>
      <c r="E514" s="134" t="s">
        <v>96</v>
      </c>
      <c r="F514" s="21"/>
      <c r="G514" s="21"/>
      <c r="H514" s="41"/>
      <c r="I514" s="36"/>
      <c r="J514" s="36"/>
      <c r="K514" s="37"/>
      <c r="L514" s="35"/>
    </row>
    <row r="515" spans="1:14" s="4" customFormat="1" outlineLevel="1" x14ac:dyDescent="0.4">
      <c r="B515" s="20"/>
      <c r="C515" s="21"/>
      <c r="D515" s="21"/>
      <c r="E515" s="21"/>
      <c r="F515" s="21"/>
      <c r="G515" s="21"/>
      <c r="H515" s="43"/>
      <c r="I515" s="34"/>
      <c r="J515" s="164" t="s">
        <v>141</v>
      </c>
      <c r="K515" s="44"/>
      <c r="L515" s="35"/>
    </row>
    <row r="516" spans="1:14" s="4" customFormat="1" outlineLevel="1" x14ac:dyDescent="0.4">
      <c r="A516" s="765"/>
      <c r="B516" s="51"/>
      <c r="C516" s="164" t="s">
        <v>185</v>
      </c>
      <c r="D516" s="70">
        <f>IFERROR(Feedstocks!D24/'Transport 2'!F519,"Insert data")</f>
        <v>0</v>
      </c>
      <c r="E516" s="21"/>
      <c r="F516" s="21"/>
      <c r="G516" s="21"/>
      <c r="H516" s="43"/>
      <c r="I516" s="164" t="s">
        <v>167</v>
      </c>
      <c r="J516" s="52">
        <f>IFERROR(IF(AND(E513="YES",ISBLANK(F517)),"Insert yield",SUM(J532:J539,J525:J528,J521)*IF(E542="Yes",J545,1)),"Insert data")</f>
        <v>0</v>
      </c>
      <c r="K516" s="44"/>
      <c r="L516" s="35"/>
    </row>
    <row r="517" spans="1:14" s="4" customFormat="1" outlineLevel="1" x14ac:dyDescent="0.4">
      <c r="A517" s="765"/>
      <c r="B517" s="51"/>
      <c r="C517" s="164" t="s">
        <v>186</v>
      </c>
      <c r="D517" s="680">
        <v>0.9</v>
      </c>
      <c r="E517" s="134"/>
      <c r="F517" s="623">
        <f>IF(E513="No", 1, IF(E514="Default",D517, IF(E514="Actual", IF(E517&gt;0, E517, "insert data"), "error")))</f>
        <v>1</v>
      </c>
      <c r="G517" s="21"/>
      <c r="H517" s="49"/>
      <c r="I517" s="65"/>
      <c r="J517" s="65"/>
      <c r="K517" s="66"/>
      <c r="L517" s="35"/>
    </row>
    <row r="518" spans="1:14" s="4" customFormat="1" outlineLevel="1" x14ac:dyDescent="0.4">
      <c r="A518" s="765"/>
      <c r="B518" s="51"/>
      <c r="C518" s="21"/>
      <c r="D518" s="21"/>
      <c r="E518" s="21"/>
      <c r="F518" s="21"/>
      <c r="G518" s="21"/>
      <c r="H518" s="29"/>
      <c r="I518" s="29"/>
      <c r="J518" s="29"/>
      <c r="K518" s="29"/>
      <c r="L518" s="35"/>
    </row>
    <row r="519" spans="1:14" s="4" customFormat="1" outlineLevel="1" x14ac:dyDescent="0.4">
      <c r="A519" s="765"/>
      <c r="B519" s="51"/>
      <c r="C519" s="25" t="s">
        <v>187</v>
      </c>
      <c r="D519" s="1"/>
      <c r="E519" s="1"/>
      <c r="F519" s="1"/>
      <c r="G519" s="1"/>
      <c r="H519" s="303" t="s">
        <v>136</v>
      </c>
      <c r="I519" s="79"/>
      <c r="J519" s="79"/>
      <c r="K519" s="61"/>
      <c r="L519" s="54"/>
      <c r="M519" s="12"/>
      <c r="N519" s="12"/>
    </row>
    <row r="520" spans="1:14" s="4" customFormat="1" outlineLevel="1" x14ac:dyDescent="0.4">
      <c r="A520" s="765"/>
      <c r="B520" s="51"/>
      <c r="C520" s="166" t="s">
        <v>188</v>
      </c>
      <c r="D520" s="164" t="s">
        <v>151</v>
      </c>
      <c r="E520" s="164" t="s">
        <v>140</v>
      </c>
      <c r="F520" s="21"/>
      <c r="G520" s="1"/>
      <c r="H520" s="43"/>
      <c r="I520" s="34"/>
      <c r="J520" s="164" t="s">
        <v>141</v>
      </c>
      <c r="K520" s="44"/>
      <c r="L520" s="54"/>
    </row>
    <row r="521" spans="1:14" s="4" customFormat="1" outlineLevel="1" x14ac:dyDescent="0.4">
      <c r="A521" s="765"/>
      <c r="B521" s="51"/>
      <c r="C521" s="145"/>
      <c r="D521" s="141"/>
      <c r="E521" s="144"/>
      <c r="F521" s="21"/>
      <c r="G521" s="1"/>
      <c r="H521" s="43"/>
      <c r="I521" s="164" t="s">
        <v>189</v>
      </c>
      <c r="J521" s="31">
        <f>IFERROR(IF(E513="No",0,IF(D521="MWh",(E521*'Reference values'!$D$47*INDEX(Electricity_Emission_Factors,MATCH(C521,Electricity_Source,0)))/(D516*1000),IF(D521="kWh",(E521*'Reference values'!$D$47*INDEX(Electricity_Emission_Factors,MATCH(C521,Electricity_Source,0))/1000)/(D516*1000),IF(D521="MWh/tonne(output)",(E521*'Reference values'!$D$47*INDEX(Electricity_Emission_Factors,MATCH(C521,Electricity_Source,0)))/1000,IF(D521="kWh/tonne(output)",(E521*'Reference values'!$D$47*INDEX(Electricity_Emission_Factors,MATCH(C521,Electricity_Source,0))/1000)/1000,""))))),"")</f>
        <v>0</v>
      </c>
      <c r="K521" s="44"/>
      <c r="L521" s="54"/>
    </row>
    <row r="522" spans="1:14" s="4" customFormat="1" outlineLevel="1" x14ac:dyDescent="0.4">
      <c r="A522" s="765"/>
      <c r="B522" s="51"/>
      <c r="C522" s="1"/>
      <c r="D522" s="1"/>
      <c r="E522" s="1"/>
      <c r="F522" s="21"/>
      <c r="G522" s="1"/>
      <c r="H522" s="43"/>
      <c r="I522" s="34"/>
      <c r="J522" s="34"/>
      <c r="K522" s="44"/>
      <c r="L522" s="54"/>
    </row>
    <row r="523" spans="1:14" s="4" customFormat="1" outlineLevel="1" x14ac:dyDescent="0.4">
      <c r="A523" s="765"/>
      <c r="B523" s="51"/>
      <c r="C523" s="25" t="s">
        <v>190</v>
      </c>
      <c r="D523" s="1"/>
      <c r="E523" s="1"/>
      <c r="F523" s="21"/>
      <c r="G523" s="1"/>
      <c r="H523" s="43"/>
      <c r="I523" s="34"/>
      <c r="J523" s="34"/>
      <c r="K523" s="44"/>
      <c r="L523" s="54"/>
    </row>
    <row r="524" spans="1:14" s="4" customFormat="1" outlineLevel="1" x14ac:dyDescent="0.4">
      <c r="A524" s="765"/>
      <c r="B524" s="51"/>
      <c r="C524" s="164" t="s">
        <v>160</v>
      </c>
      <c r="D524" s="164" t="s">
        <v>151</v>
      </c>
      <c r="E524" s="164" t="s">
        <v>140</v>
      </c>
      <c r="F524" s="21"/>
      <c r="G524" s="1"/>
      <c r="H524" s="43"/>
      <c r="I524" s="164" t="s">
        <v>160</v>
      </c>
      <c r="J524" s="182" t="s">
        <v>141</v>
      </c>
      <c r="K524" s="44"/>
      <c r="L524" s="54"/>
    </row>
    <row r="525" spans="1:14" s="4" customFormat="1" outlineLevel="1" x14ac:dyDescent="0.4">
      <c r="A525" s="765"/>
      <c r="B525" s="51"/>
      <c r="C525" s="27" t="str">
        <f>IF(E514="Default", "Diesel", "")</f>
        <v>Diesel</v>
      </c>
      <c r="D525" s="74" t="str">
        <f>IF(E514="Default", "kWh/tonne(output)", "")</f>
        <v>kWh/tonne(output)</v>
      </c>
      <c r="E525" s="74">
        <f>IF(E514="Default", 3.881, "")</f>
        <v>3.8809999999999998</v>
      </c>
      <c r="F525" s="21"/>
      <c r="G525" s="1"/>
      <c r="H525" s="43"/>
      <c r="I525" s="27" t="str">
        <f>IF(C525&gt;0,C525,"")</f>
        <v>Diesel</v>
      </c>
      <c r="J525" s="31">
        <f>IF(E514="Actual","",IFERROR(IF(C525&gt;0,IF(ISBLANK(E525),"Insert data",IF(E513="No",0,(IF(D525="litres",(E525*(INDEX(Fuel_Densities,MATCH(C525,Fuels_for_Densities,0))/1000)*INDEX(Fuel_LHV,MATCH(C525,Fuels_for_LHV,0))*INDEX(Fuel_EFs,MATCH(C525,Fuels_for_EF,0)))/(D516*1000),(IF(D525="m3",(E525*(INDEX(Fuel_Densities,MATCH(C525,Fuels_for_Densities,0)))*INDEX(Fuel_LHV,MATCH(C525,Fuels_for_LHV,0))*INDEX(Fuel_EFs,MATCH(C525,Fuels_for_EF,0)))/(D516*1000),IF(D525="kg",(E525*INDEX(Fuel_LHV,MATCH(C525,Fuels_for_LHV,0))*INDEX(Fuel_EFs,MATCH(C525,Fuels_for_EF,0)))/(D516*1000),IF(D525="tonnes",(E525*INDEX(Fuel_LHV,MATCH(C525,Fuels_for_LHV,0))*1000*INDEX(Fuel_EFs,MATCH(C525,Fuels_for_EF,0)))/(D516*1000),IF(D525="MWh",(E525*'Reference values'!$D$47*INDEX(Fuel_EFs,MATCH(C525,Fuels_for_EF,0)))/(D516*1000),IF(D525="kWh",(E525*'Reference values'!$D$47*INDEX(Fuel_EFs,MATCH(C525,Fuels_for_EF,0))/1000)/(D516*1000),(IF(D525="litres/tonne(output)",(E525*(INDEX(Fuel_Densities,MATCH(C525,Fuels_for_Densities,0))/1000)*INDEX(Fuel_LHV,MATCH(C525,Fuels_for_LHV,0))*INDEX(Fuel_EFs,MATCH(C525,Fuels_for_EF,0)))/1000,(IF(D525="m3/tonne(output)",(E525*(INDEX(Fuel_Densities,MATCH(C525,Fuels_for_Densities,0)))*INDEX(Fuel_LHV,MATCH(C525,Fuels_for_LHV,0))*INDEX(Fuel_EFs,MATCH(C525,Fuels_for_EF,0)))/1000,IF(D525="kg/tonne(output)",(E525*INDEX(Fuel_LHV,MATCH(C525,Fuels_for_LHV,0))*INDEX(Fuel_EFs,MATCH(C525,Fuels_for_EF,0)))/1000,IF(D525="tonnes/tonne(output)",(E525*INDEX(Fuel_LHV,MATCH(C525,Fuels_for_LHV,0))*1000*INDEX(Fuel_EFs,MATCH(C525,Fuels_for_EF,0)))/1000,IF(D525="MWh/tonne(output)",(E525*'Reference values'!$D$47*INDEX(Fuel_EFs,MATCH(C525,Fuels_for_EF,0)))/1000,IF(D525="kWh/tonne(output)",(E525*'Reference values'!$D$47*INDEX(Fuel_EFs,MATCH(C525,Fuels_for_EF,0))/1000)/1000,"Insert unit")))))))))))))))))),""),"Insert data"))</f>
        <v>0</v>
      </c>
      <c r="K525" s="44"/>
      <c r="L525" s="54"/>
    </row>
    <row r="526" spans="1:14" s="4" customFormat="1" outlineLevel="1" x14ac:dyDescent="0.4">
      <c r="A526" s="765"/>
      <c r="B526" s="51"/>
      <c r="C526" s="134"/>
      <c r="D526" s="141"/>
      <c r="E526" s="144"/>
      <c r="F526" s="21"/>
      <c r="G526" s="1"/>
      <c r="H526" s="43"/>
      <c r="I526" s="27" t="str">
        <f>IF(C526&gt;0,C526,"")</f>
        <v/>
      </c>
      <c r="J526" s="31" t="str">
        <f>IFERROR(IF(C526&gt;0,IF(ISBLANK(E526),"Insert data",IF(E513="No",0,(IF(D526="litres",(E526*(INDEX(Fuel_Densities,MATCH(C526,Fuels_for_Densities,0))/1000)*INDEX(Fuel_LHV,MATCH(C526,Fuels_for_LHV,0))*INDEX(Fuel_EFs,MATCH(C526,Fuels_for_EF,0)))/(D516*1000),(IF(D526="m3",(E526*(INDEX(Fuel_Densities,MATCH(C526,Fuels_for_Densities,0)))*INDEX(Fuel_LHV,MATCH(C526,Fuels_for_LHV,0))*INDEX(Fuel_EFs,MATCH(C526,Fuels_for_EF,0)))/(D516*1000),IF(D526="kg",(E526*INDEX(Fuel_LHV,MATCH(C526,Fuels_for_LHV,0))*INDEX(Fuel_EFs,MATCH(C526,Fuels_for_EF,0)))/(D516*1000),IF(D526="tonnes",(E526*INDEX(Fuel_LHV,MATCH(C526,Fuels_for_LHV,0))*1000*INDEX(Fuel_EFs,MATCH(C526,Fuels_for_EF,0)))/(D516*1000),IF(D526="MWh",(E526*'Reference values'!$D$47*INDEX(Fuel_EFs,MATCH(C526,Fuels_for_EF,0)))/(D516*1000),IF(D526="kWh",(E526*'Reference values'!$D$47*INDEX(Fuel_EFs,MATCH(C526,Fuels_for_EF,0))/1000)/(D516*1000),(IF(D526="litres/tonne(output)",(E526*(INDEX(Fuel_Densities,MATCH(C526,Fuels_for_Densities,0))/1000)*INDEX(Fuel_LHV,MATCH(C526,Fuels_for_LHV,0))*INDEX(Fuel_EFs,MATCH(C526,Fuels_for_EF,0)))/1000,(IF(D526="m3/tonne(output)",(E526*(INDEX(Fuel_Densities,MATCH(C526,Fuels_for_Densities,0)))*INDEX(Fuel_LHV,MATCH(C526,Fuels_for_LHV,0))*INDEX(Fuel_EFs,MATCH(C526,Fuels_for_EF,0)))/1000,IF(D526="kg/tonne(output)",(E526*INDEX(Fuel_LHV,MATCH(C526,Fuels_for_LHV,0))*INDEX(Fuel_EFs,MATCH(C526,Fuels_for_EF,0)))/1000,IF(D526="tonnes/tonne(output)",(E526*INDEX(Fuel_LHV,MATCH(C526,Fuels_for_LHV,0))*1000*INDEX(Fuel_EFs,MATCH(C526,Fuels_for_EF,0)))/1000,IF(D526="MWh/tonne(output)",(E526*'Reference values'!$D$47*INDEX(Fuel_EFs,MATCH(C526,Fuels_for_EF,0)))/1000,IF(D526="kWh/tonne(output)",(E526*'Reference values'!$D$47*INDEX(Fuel_EFs,MATCH(C526,Fuels_for_EF,0))/1000)/1000,"Insert unit")))))))))))))))))),""),"Insert data")</f>
        <v/>
      </c>
      <c r="K526" s="44"/>
      <c r="L526" s="54"/>
    </row>
    <row r="527" spans="1:14" s="4" customFormat="1" outlineLevel="1" x14ac:dyDescent="0.4">
      <c r="A527" s="765"/>
      <c r="B527" s="51"/>
      <c r="C527" s="134"/>
      <c r="D527" s="141"/>
      <c r="E527" s="144"/>
      <c r="F527" s="21"/>
      <c r="G527" s="1"/>
      <c r="H527" s="43"/>
      <c r="I527" s="27" t="str">
        <f>IF(C527&gt;0,C527,"")</f>
        <v/>
      </c>
      <c r="J527" s="31" t="str">
        <f>IFERROR(IF(C527&gt;0,IF(ISBLANK(E527),"Insert data",IF(E513="No",0,(IF(D527="litres",(E527*(INDEX(Fuel_Densities,MATCH(C527,Fuels_for_Densities,0))/1000)*INDEX(Fuel_LHV,MATCH(C527,Fuels_for_LHV,0))*INDEX(Fuel_EFs,MATCH(C527,Fuels_for_EF,0)))/(D516*1000),(IF(D527="m3",(E527*(INDEX(Fuel_Densities,MATCH(C527,Fuels_for_Densities,0)))*INDEX(Fuel_LHV,MATCH(C527,Fuels_for_LHV,0))*INDEX(Fuel_EFs,MATCH(C527,Fuels_for_EF,0)))/(D516*1000),IF(D527="kg",(E527*INDEX(Fuel_LHV,MATCH(C527,Fuels_for_LHV,0))*INDEX(Fuel_EFs,MATCH(C527,Fuels_for_EF,0)))/(D516*1000),IF(D527="tonnes",(E527*INDEX(Fuel_LHV,MATCH(C527,Fuels_for_LHV,0))*1000*INDEX(Fuel_EFs,MATCH(C527,Fuels_for_EF,0)))/(D516*1000),IF(D527="MWh",(E527*'Reference values'!$D$47*INDEX(Fuel_EFs,MATCH(C527,Fuels_for_EF,0)))/(D516*1000),IF(D527="kWh",(E527*'Reference values'!$D$47*INDEX(Fuel_EFs,MATCH(C527,Fuels_for_EF,0))/1000)/(D516*1000),(IF(D527="litres/tonne(output)",(E527*(INDEX(Fuel_Densities,MATCH(C527,Fuels_for_Densities,0))/1000)*INDEX(Fuel_LHV,MATCH(C527,Fuels_for_LHV,0))*INDEX(Fuel_EFs,MATCH(C527,Fuels_for_EF,0)))/1000,(IF(D527="m3/tonne(output)",(E527*(INDEX(Fuel_Densities,MATCH(C527,Fuels_for_Densities,0)))*INDEX(Fuel_LHV,MATCH(C527,Fuels_for_LHV,0))*INDEX(Fuel_EFs,MATCH(C527,Fuels_for_EF,0)))/1000,IF(D527="kg/tonne(output)",(E527*INDEX(Fuel_LHV,MATCH(C527,Fuels_for_LHV,0))*INDEX(Fuel_EFs,MATCH(C527,Fuels_for_EF,0)))/1000,IF(D527="tonnes/tonne(output)",(E527*INDEX(Fuel_LHV,MATCH(C527,Fuels_for_LHV,0))*1000*INDEX(Fuel_EFs,MATCH(C527,Fuels_for_EF,0)))/1000,IF(D527="MWh/tonne(output)",(E527*'Reference values'!$D$47*INDEX(Fuel_EFs,MATCH(C527,Fuels_for_EF,0)))/1000,IF(D527="kWh/tonne(output)",(E527*'Reference values'!$D$47*INDEX(Fuel_EFs,MATCH(C527,Fuels_for_EF,0))/1000)/1000,"Insert unit")))))))))))))))))),""),"Insert data")</f>
        <v/>
      </c>
      <c r="K527" s="44"/>
      <c r="L527" s="54"/>
    </row>
    <row r="528" spans="1:14" s="4" customFormat="1" outlineLevel="1" x14ac:dyDescent="0.4">
      <c r="A528" s="765"/>
      <c r="B528" s="51"/>
      <c r="C528" s="134"/>
      <c r="D528" s="141"/>
      <c r="E528" s="144"/>
      <c r="F528" s="21"/>
      <c r="G528" s="1"/>
      <c r="H528" s="43"/>
      <c r="I528" s="27" t="str">
        <f>IF(C528&gt;0,C528,"")</f>
        <v/>
      </c>
      <c r="J528" s="31" t="str">
        <f>IFERROR(IF(C528&gt;0,IF(ISBLANK(E528),"Insert data",IF(E513="No",0,(IF(D528="litres",(E528*(INDEX(Fuel_Densities,MATCH(C528,Fuels_for_Densities,0))/1000)*INDEX(Fuel_LHV,MATCH(C528,Fuels_for_LHV,0))*INDEX(Fuel_EFs,MATCH(C528,Fuels_for_EF,0)))/(D516*1000),(IF(D528="m3",(E528*(INDEX(Fuel_Densities,MATCH(C528,Fuels_for_Densities,0)))*INDEX(Fuel_LHV,MATCH(C528,Fuels_for_LHV,0))*INDEX(Fuel_EFs,MATCH(C528,Fuels_for_EF,0)))/(D516*1000),IF(D528="kg",(E528*INDEX(Fuel_LHV,MATCH(C528,Fuels_for_LHV,0))*INDEX(Fuel_EFs,MATCH(C528,Fuels_for_EF,0)))/(D516*1000),IF(D528="tonnes",(E528*INDEX(Fuel_LHV,MATCH(C528,Fuels_for_LHV,0))*1000*INDEX(Fuel_EFs,MATCH(C528,Fuels_for_EF,0)))/(D516*1000),IF(D528="MWh",(E528*'Reference values'!$D$47*INDEX(Fuel_EFs,MATCH(C528,Fuels_for_EF,0)))/(D516*1000),IF(D528="kWh",(E528*'Reference values'!$D$47*INDEX(Fuel_EFs,MATCH(C528,Fuels_for_EF,0))/1000)/(D516*1000),(IF(D528="litres/tonne(output)",(E528*(INDEX(Fuel_Densities,MATCH(C528,Fuels_for_Densities,0))/1000)*INDEX(Fuel_LHV,MATCH(C528,Fuels_for_LHV,0))*INDEX(Fuel_EFs,MATCH(C528,Fuels_for_EF,0)))/1000,(IF(D528="m3/tonne(output)",(E528*(INDEX(Fuel_Densities,MATCH(C528,Fuels_for_Densities,0)))*INDEX(Fuel_LHV,MATCH(C528,Fuels_for_LHV,0))*INDEX(Fuel_EFs,MATCH(C528,Fuels_for_EF,0)))/1000,IF(D528="kg/tonne(output)",(E528*INDEX(Fuel_LHV,MATCH(C528,Fuels_for_LHV,0))*INDEX(Fuel_EFs,MATCH(C528,Fuels_for_EF,0)))/1000,IF(D528="tonnes/tonne(output)",(E528*INDEX(Fuel_LHV,MATCH(C528,Fuels_for_LHV,0))*1000*INDEX(Fuel_EFs,MATCH(C528,Fuels_for_EF,0)))/1000,IF(D528="MWh/tonne(output)",(E528*'Reference values'!$D$47*INDEX(Fuel_EFs,MATCH(C528,Fuels_for_EF,0)))/1000,IF(D528="kWh/tonne(output)",(E528*'Reference values'!$D$47*INDEX(Fuel_EFs,MATCH(C528,Fuels_for_EF,0))/1000)/1000,"Insert unit")))))))))))))))))),""),"Insert data")</f>
        <v/>
      </c>
      <c r="K528" s="44"/>
      <c r="L528" s="54"/>
    </row>
    <row r="529" spans="1:12" s="4" customFormat="1" outlineLevel="1" x14ac:dyDescent="0.4">
      <c r="A529" s="765"/>
      <c r="B529" s="51"/>
      <c r="C529" s="1"/>
      <c r="D529" s="1"/>
      <c r="E529" s="1"/>
      <c r="F529" s="21"/>
      <c r="G529" s="53"/>
      <c r="H529" s="56"/>
      <c r="I529" s="57"/>
      <c r="J529" s="34"/>
      <c r="K529" s="44"/>
      <c r="L529" s="54"/>
    </row>
    <row r="530" spans="1:12" s="4" customFormat="1" outlineLevel="1" x14ac:dyDescent="0.4">
      <c r="A530" s="765"/>
      <c r="B530" s="51"/>
      <c r="C530" s="25" t="s">
        <v>191</v>
      </c>
      <c r="D530" s="1"/>
      <c r="E530" s="1"/>
      <c r="F530" s="21"/>
      <c r="G530" s="53"/>
      <c r="H530" s="56"/>
      <c r="I530" s="34"/>
      <c r="J530" s="34"/>
      <c r="K530" s="44"/>
      <c r="L530" s="54"/>
    </row>
    <row r="531" spans="1:12" s="4" customFormat="1" outlineLevel="1" x14ac:dyDescent="0.4">
      <c r="A531" s="765"/>
      <c r="B531" s="51"/>
      <c r="C531" s="164" t="s">
        <v>192</v>
      </c>
      <c r="D531" s="164" t="s">
        <v>151</v>
      </c>
      <c r="E531" s="164" t="s">
        <v>140</v>
      </c>
      <c r="F531" s="21"/>
      <c r="G531" s="1"/>
      <c r="H531" s="43"/>
      <c r="I531" s="164" t="s">
        <v>192</v>
      </c>
      <c r="J531" s="182" t="s">
        <v>141</v>
      </c>
      <c r="K531" s="44"/>
      <c r="L531" s="54"/>
    </row>
    <row r="532" spans="1:12" s="4" customFormat="1" outlineLevel="1" x14ac:dyDescent="0.4">
      <c r="A532" s="765"/>
      <c r="B532" s="51"/>
      <c r="C532" s="134"/>
      <c r="D532" s="141"/>
      <c r="E532" s="144"/>
      <c r="F532" s="21"/>
      <c r="G532" s="1"/>
      <c r="H532" s="43"/>
      <c r="I532" s="27" t="str">
        <f t="shared" ref="I532:I539" si="10">IF(C532&gt;0,C532,"")</f>
        <v/>
      </c>
      <c r="J532" s="31" t="str">
        <f>IFERROR(IF(C532&gt;0,IF(ISBLANK(E532),"Insert data",IF(E513="No",0,IF(D532="kg",E532*INDEX(Chemical_Emission_Factors,MATCH(C532,Chemicals,0))/(D516*1000),IF(D532="tonnes",E532*INDEX(Chemical_Emission_Factors,MATCH(C532,Chemicals,0))*1000/(D516*1000),IF(D532="kg/tonne(output)",E532*INDEX(Chemical_Emission_Factors,MATCH(C532,Chemicals,0))/1000,IF(D532="tonnes/tonne(output)",E532*INDEX(Chemical_Emission_Factors,MATCH(C532,Chemicals,0))*1000/1000,"Insert unit")))))),""),"Insert data")</f>
        <v/>
      </c>
      <c r="K532" s="44"/>
      <c r="L532" s="54"/>
    </row>
    <row r="533" spans="1:12" s="4" customFormat="1" outlineLevel="1" x14ac:dyDescent="0.4">
      <c r="A533" s="765"/>
      <c r="B533" s="51"/>
      <c r="C533" s="134"/>
      <c r="D533" s="141"/>
      <c r="E533" s="144"/>
      <c r="F533" s="21"/>
      <c r="G533" s="1"/>
      <c r="H533" s="43"/>
      <c r="I533" s="27" t="str">
        <f t="shared" si="10"/>
        <v/>
      </c>
      <c r="J533" s="31" t="str">
        <f>IFERROR(IF(C533&gt;0,IF(ISBLANK(E533),"Insert data",IF(E513="No",0,IF(D533="kg",E533*INDEX(Chemical_Emission_Factors,MATCH(C533,Chemicals,0))/(D516*1000),IF(D533="tonnes",E533*INDEX(Chemical_Emission_Factors,MATCH(C533,Chemicals,0))*1000/(D516*1000),IF(D533="kg/tonne(output)",E533*INDEX(Chemical_Emission_Factors,MATCH(C533,Chemicals,0))/1000,IF(D533="tonnes/tonne(output)",E533*INDEX(Chemical_Emission_Factors,MATCH(C533,Chemicals,0))*1000/1000,"Insert unit")))))),""),"Insert data")</f>
        <v/>
      </c>
      <c r="K533" s="44"/>
      <c r="L533" s="54"/>
    </row>
    <row r="534" spans="1:12" s="4" customFormat="1" outlineLevel="1" x14ac:dyDescent="0.4">
      <c r="A534" s="765"/>
      <c r="B534" s="51"/>
      <c r="C534" s="134"/>
      <c r="D534" s="141"/>
      <c r="E534" s="144"/>
      <c r="F534" s="21"/>
      <c r="G534" s="1"/>
      <c r="H534" s="43"/>
      <c r="I534" s="27" t="str">
        <f t="shared" si="10"/>
        <v/>
      </c>
      <c r="J534" s="31" t="str">
        <f>IFERROR(IF(C534&gt;0,IF(ISBLANK(E534),"Insert data",IF(E513="No",0,IF(D534="kg",E534*INDEX(Chemical_Emission_Factors,MATCH(C534,Chemicals,0))/(D516*1000),IF(D534="tonnes",E534*INDEX(Chemical_Emission_Factors,MATCH(C534,Chemicals,0))*1000/(D516*1000),IF(D534="kg/tonne(output)",E534*INDEX(Chemical_Emission_Factors,MATCH(C534,Chemicals,0))/1000,IF(D534="tonnes/tonne(output)",E534*INDEX(Chemical_Emission_Factors,MATCH(C534,Chemicals,0))*1000/1000,"Insert unit")))))),""),"Insert data")</f>
        <v/>
      </c>
      <c r="K534" s="44"/>
      <c r="L534" s="54"/>
    </row>
    <row r="535" spans="1:12" s="4" customFormat="1" outlineLevel="1" x14ac:dyDescent="0.4">
      <c r="A535" s="765"/>
      <c r="B535" s="51"/>
      <c r="C535" s="134"/>
      <c r="D535" s="141"/>
      <c r="E535" s="144"/>
      <c r="F535" s="21"/>
      <c r="G535" s="1"/>
      <c r="H535" s="43"/>
      <c r="I535" s="27" t="str">
        <f t="shared" si="10"/>
        <v/>
      </c>
      <c r="J535" s="31" t="str">
        <f>IFERROR(IF(C535&gt;0,IF(ISBLANK(E535),"Insert data",IF(E513="No",0,IF(D535="kg",E535*INDEX(Chemical_Emission_Factors,MATCH(C535,Chemicals,0))/(D516*1000),IF(D535="tonnes",E535*INDEX(Chemical_Emission_Factors,MATCH(C535,Chemicals,0))*1000/(D516*1000),IF(D535="kg/tonne(output)",E535*INDEX(Chemical_Emission_Factors,MATCH(C535,Chemicals,0))/1000,IF(D535="tonnes/tonne(output)",E535*INDEX(Chemical_Emission_Factors,MATCH(C535,Chemicals,0))*1000/1000,"Insert unit")))))),""),"Insert data")</f>
        <v/>
      </c>
      <c r="K535" s="44"/>
      <c r="L535" s="54"/>
    </row>
    <row r="536" spans="1:12" s="4" customFormat="1" outlineLevel="1" x14ac:dyDescent="0.4">
      <c r="A536" s="765"/>
      <c r="B536" s="51"/>
      <c r="C536" s="134"/>
      <c r="D536" s="141"/>
      <c r="E536" s="144"/>
      <c r="F536" s="21"/>
      <c r="G536" s="1"/>
      <c r="H536" s="43"/>
      <c r="I536" s="27" t="str">
        <f t="shared" si="10"/>
        <v/>
      </c>
      <c r="J536" s="31" t="str">
        <f>IFERROR(IF(C536&gt;0,IF(ISBLANK(E536),"Insert data",IF(E513="No",0,IF(D536="kg",E536*INDEX(Chemical_Emission_Factors,MATCH(C536,Chemicals,0))/(D516*1000),IF(D536="tonnes",E536*INDEX(Chemical_Emission_Factors,MATCH(C536,Chemicals,0))*1000/(D516*1000),IF(D536="kg/tonne(output)",E536*INDEX(Chemical_Emission_Factors,MATCH(C536,Chemicals,0))/1000,IF(D536="tonnes/tonne(output)",E536*INDEX(Chemical_Emission_Factors,MATCH(C536,Chemicals,0))*1000/1000,"Insert unit")))))),""),"Insert data")</f>
        <v/>
      </c>
      <c r="K536" s="44"/>
      <c r="L536" s="54"/>
    </row>
    <row r="537" spans="1:12" s="4" customFormat="1" outlineLevel="1" x14ac:dyDescent="0.4">
      <c r="A537" s="765"/>
      <c r="B537" s="51"/>
      <c r="C537" s="134"/>
      <c r="D537" s="141"/>
      <c r="E537" s="144"/>
      <c r="F537" s="21"/>
      <c r="G537" s="1"/>
      <c r="H537" s="43"/>
      <c r="I537" s="27" t="str">
        <f t="shared" si="10"/>
        <v/>
      </c>
      <c r="J537" s="31" t="str">
        <f>IFERROR(IF(C537&gt;0,IF(ISBLANK(E537),"Insert data",IF(E513="No",0,IF(D537="kg",E537*INDEX(Chemical_Emission_Factors,MATCH(C537,Chemicals,0))/(D516*1000),IF(D537="tonnes",E537*INDEX(Chemical_Emission_Factors,MATCH(C537,Chemicals,0))*1000/(D516*1000),IF(D537="kg/tonne(output)",E537*INDEX(Chemical_Emission_Factors,MATCH(C537,Chemicals,0))/1000,IF(D537="tonnes/tonne(output)",E537*INDEX(Chemical_Emission_Factors,MATCH(C537,Chemicals,0))*1000/1000,"Insert unit")))))),""),"Insert data")</f>
        <v/>
      </c>
      <c r="K537" s="44"/>
      <c r="L537" s="54"/>
    </row>
    <row r="538" spans="1:12" s="4" customFormat="1" outlineLevel="1" x14ac:dyDescent="0.4">
      <c r="A538" s="765"/>
      <c r="B538" s="51"/>
      <c r="C538" s="134"/>
      <c r="D538" s="141"/>
      <c r="E538" s="144"/>
      <c r="F538" s="21"/>
      <c r="G538" s="1"/>
      <c r="H538" s="43"/>
      <c r="I538" s="27" t="str">
        <f t="shared" si="10"/>
        <v/>
      </c>
      <c r="J538" s="31" t="str">
        <f>IFERROR(IF(C538&gt;0,IF(ISBLANK(E538),"Insert data",IF(E513="No",0,IF(D538="kg",E538*INDEX(Chemical_Emission_Factors,MATCH(C538,Chemicals,0))/(D516*1000),IF(D538="tonnes",E538*INDEX(Chemical_Emission_Factors,MATCH(C538,Chemicals,0))*1000/(D516*1000),IF(D538="kg/tonne(output)",E538*INDEX(Chemical_Emission_Factors,MATCH(C538,Chemicals,0))/1000,IF(D538="tonnes/tonne(output)",E538*INDEX(Chemical_Emission_Factors,MATCH(C538,Chemicals,0))*1000/1000,"Insert unit")))))),""),"Insert data")</f>
        <v/>
      </c>
      <c r="K538" s="44"/>
      <c r="L538" s="54"/>
    </row>
    <row r="539" spans="1:12" s="4" customFormat="1" outlineLevel="1" x14ac:dyDescent="0.4">
      <c r="A539" s="765"/>
      <c r="B539" s="51"/>
      <c r="C539" s="134"/>
      <c r="D539" s="141"/>
      <c r="E539" s="144"/>
      <c r="F539" s="21"/>
      <c r="G539" s="1"/>
      <c r="H539" s="43"/>
      <c r="I539" s="27" t="str">
        <f t="shared" si="10"/>
        <v/>
      </c>
      <c r="J539" s="31" t="str">
        <f>IFERROR(IF(C539&gt;0,IF(ISBLANK(E539),"Insert data",IF(E513="No",0,IF(D539="kg",E539*INDEX(Chemical_Emission_Factors,MATCH(C539,Chemicals,0))/(D516*1000),IF(D539="tonnes",E539*INDEX(Chemical_Emission_Factors,MATCH(C539,Chemicals,0))*1000/(D516*1000),IF(D539="kg/tonne(output)",E539*INDEX(Chemical_Emission_Factors,MATCH(C539,Chemicals,0))/1000,IF(D539="tonnes/tonne(output)",E539*INDEX(Chemical_Emission_Factors,MATCH(C539,Chemicals,0))*1000/1000,"Insert unit")))))),""),"Insert data")</f>
        <v/>
      </c>
      <c r="K539" s="44"/>
      <c r="L539" s="54"/>
    </row>
    <row r="540" spans="1:12" s="4" customFormat="1" ht="12.75" customHeight="1" outlineLevel="1" x14ac:dyDescent="0.4">
      <c r="B540" s="28"/>
      <c r="C540" s="29"/>
      <c r="D540" s="29"/>
      <c r="E540" s="29"/>
      <c r="F540" s="21"/>
      <c r="G540" s="1"/>
      <c r="H540" s="46"/>
      <c r="I540" s="58"/>
      <c r="J540" s="58"/>
      <c r="K540" s="59"/>
      <c r="L540" s="60"/>
    </row>
    <row r="541" spans="1:12" s="4" customFormat="1" outlineLevel="1" x14ac:dyDescent="0.4">
      <c r="B541" s="20"/>
      <c r="C541" s="243" t="s">
        <v>193</v>
      </c>
      <c r="D541" s="21"/>
      <c r="E541" s="21"/>
      <c r="F541" s="21"/>
      <c r="G541" s="1"/>
      <c r="H541" s="21"/>
      <c r="I541" s="21"/>
      <c r="J541" s="21"/>
      <c r="K541" s="21"/>
      <c r="L541" s="35"/>
    </row>
    <row r="542" spans="1:12" s="4" customFormat="1" outlineLevel="1" x14ac:dyDescent="0.4">
      <c r="B542" s="20"/>
      <c r="C542" s="766" t="s">
        <v>194</v>
      </c>
      <c r="D542" s="767"/>
      <c r="E542" s="299" t="s">
        <v>178</v>
      </c>
      <c r="F542" s="21"/>
      <c r="G542" s="21"/>
      <c r="H542" s="302"/>
      <c r="I542" s="47"/>
      <c r="J542" s="47"/>
      <c r="K542" s="45"/>
      <c r="L542" s="35"/>
    </row>
    <row r="543" spans="1:12" s="4" customFormat="1" ht="6.75" customHeight="1" outlineLevel="1" x14ac:dyDescent="0.4">
      <c r="B543" s="20"/>
      <c r="C543" s="21"/>
      <c r="D543" s="21"/>
      <c r="E543" s="21"/>
      <c r="F543" s="21"/>
      <c r="G543" s="21"/>
      <c r="H543" s="41"/>
      <c r="I543" s="36"/>
      <c r="J543" s="301"/>
      <c r="K543" s="37"/>
      <c r="L543" s="35"/>
    </row>
    <row r="544" spans="1:12" s="4" customFormat="1" outlineLevel="1" x14ac:dyDescent="0.4">
      <c r="B544" s="20"/>
      <c r="C544" s="21"/>
      <c r="D544" s="164" t="s">
        <v>151</v>
      </c>
      <c r="E544" s="164" t="s">
        <v>140</v>
      </c>
      <c r="F544" s="21"/>
      <c r="G544" s="21"/>
      <c r="H544" s="41"/>
      <c r="I544" s="36"/>
      <c r="J544" s="164" t="s">
        <v>195</v>
      </c>
      <c r="K544" s="37"/>
      <c r="L544" s="35"/>
    </row>
    <row r="545" spans="2:12" s="4" customFormat="1" outlineLevel="1" x14ac:dyDescent="0.4">
      <c r="B545" s="20"/>
      <c r="C545" s="164" t="s">
        <v>196</v>
      </c>
      <c r="D545" s="297" t="s">
        <v>197</v>
      </c>
      <c r="E545" s="299"/>
      <c r="F545" s="21"/>
      <c r="G545" s="21"/>
      <c r="H545" s="41"/>
      <c r="I545" s="164" t="s">
        <v>198</v>
      </c>
      <c r="J545" s="309" t="str">
        <f>IFERROR(IF(E542="No", "", IF(AND(E542="yes",OR(ISBLANK(E545),ISBLANK(E546),ISBLANK(E547))),"Insert data",E546/(E546+E547*E545))), "")</f>
        <v/>
      </c>
      <c r="K545" s="37"/>
      <c r="L545" s="35"/>
    </row>
    <row r="546" spans="2:12" s="4" customFormat="1" outlineLevel="1" x14ac:dyDescent="0.4">
      <c r="B546" s="20"/>
      <c r="C546" s="164" t="s">
        <v>199</v>
      </c>
      <c r="D546" s="296" t="s">
        <v>200</v>
      </c>
      <c r="E546" s="299"/>
      <c r="F546" s="21"/>
      <c r="G546" s="21"/>
      <c r="H546" s="41"/>
      <c r="I546" s="164" t="s">
        <v>201</v>
      </c>
      <c r="J546" s="309" t="str">
        <f>IFERROR(IF(E542="No", "", IF(AND(E542="yes",OR(ISBLANK(E545),ISBLANK(E546),ISBLANK(E547))),"Insert data",(E547*E545)/(E547*E545+E546))),"")</f>
        <v/>
      </c>
      <c r="K546" s="37"/>
      <c r="L546" s="35"/>
    </row>
    <row r="547" spans="2:12" s="4" customFormat="1" outlineLevel="1" x14ac:dyDescent="0.4">
      <c r="B547" s="20"/>
      <c r="C547" s="164" t="s">
        <v>202</v>
      </c>
      <c r="D547" s="296" t="s">
        <v>200</v>
      </c>
      <c r="E547" s="299"/>
      <c r="F547" s="21"/>
      <c r="G547" s="21"/>
      <c r="H547" s="46"/>
      <c r="I547" s="58"/>
      <c r="J547" s="58"/>
      <c r="K547" s="59"/>
      <c r="L547" s="35"/>
    </row>
    <row r="548" spans="2:12" s="4" customFormat="1" ht="6.75" customHeight="1" outlineLevel="1" x14ac:dyDescent="0.4">
      <c r="B548" s="20"/>
      <c r="C548" s="21"/>
      <c r="D548" s="21"/>
      <c r="E548" s="21"/>
      <c r="F548" s="21"/>
      <c r="G548" s="21"/>
      <c r="H548" s="21"/>
      <c r="I548" s="21"/>
      <c r="J548" s="21"/>
      <c r="K548" s="21"/>
      <c r="L548" s="35"/>
    </row>
    <row r="549" spans="2:12" s="4" customFormat="1" ht="12.75" customHeight="1" outlineLevel="1" x14ac:dyDescent="0.4">
      <c r="B549" s="20"/>
      <c r="C549" s="300" t="s">
        <v>203</v>
      </c>
      <c r="D549" s="21"/>
      <c r="E549" s="21"/>
      <c r="F549" s="21"/>
      <c r="G549" s="21"/>
      <c r="H549" s="21"/>
      <c r="I549" s="21"/>
      <c r="J549" s="21"/>
      <c r="K549" s="21"/>
      <c r="L549" s="35"/>
    </row>
    <row r="550" spans="2:12" s="4" customFormat="1" ht="12.75" customHeight="1" outlineLevel="1" x14ac:dyDescent="0.4">
      <c r="B550" s="20"/>
      <c r="C550" s="300" t="s">
        <v>204</v>
      </c>
      <c r="D550" s="21"/>
      <c r="E550" s="21"/>
      <c r="F550" s="21"/>
      <c r="G550" s="21"/>
      <c r="H550" s="21"/>
      <c r="I550" s="21"/>
      <c r="J550" s="21"/>
      <c r="K550" s="21"/>
      <c r="L550" s="35"/>
    </row>
    <row r="551" spans="2:12" s="4" customFormat="1" ht="6.75" customHeight="1" outlineLevel="1" x14ac:dyDescent="0.4">
      <c r="B551" s="28"/>
      <c r="C551" s="298"/>
      <c r="D551" s="29"/>
      <c r="E551" s="29"/>
      <c r="F551" s="29"/>
      <c r="G551" s="29"/>
      <c r="H551" s="29"/>
      <c r="I551" s="29"/>
      <c r="J551" s="29"/>
      <c r="K551" s="29"/>
      <c r="L551" s="60"/>
    </row>
    <row r="552" spans="2:12" s="4" customFormat="1" x14ac:dyDescent="0.4"/>
    <row r="553" spans="2:12" s="4" customFormat="1" hidden="1" x14ac:dyDescent="0.4"/>
    <row r="554" spans="2:12" s="4" customFormat="1" hidden="1" x14ac:dyDescent="0.4"/>
    <row r="555" spans="2:12" s="4" customFormat="1" hidden="1" x14ac:dyDescent="0.4"/>
    <row r="556" spans="2:12" s="4" customFormat="1" hidden="1" x14ac:dyDescent="0.4"/>
    <row r="557" spans="2:12" s="4" customFormat="1" hidden="1" x14ac:dyDescent="0.4"/>
    <row r="558" spans="2:12" s="4" customFormat="1" ht="19.2" x14ac:dyDescent="0.45">
      <c r="B558" s="754" t="str">
        <f>"Feedstock Conversion"&amp;" - "&amp;Feedstocks!C25</f>
        <v xml:space="preserve">Feedstock Conversion - </v>
      </c>
      <c r="C558" s="755"/>
      <c r="D558" s="755"/>
      <c r="E558" s="755"/>
      <c r="F558" s="755"/>
      <c r="G558" s="755"/>
      <c r="H558" s="755"/>
      <c r="I558" s="755"/>
      <c r="J558" s="755"/>
      <c r="K558" s="755"/>
      <c r="L558" s="756"/>
    </row>
    <row r="559" spans="2:12" s="4" customFormat="1" outlineLevel="1" x14ac:dyDescent="0.4">
      <c r="B559" s="17"/>
      <c r="C559" s="19"/>
      <c r="D559" s="19"/>
      <c r="E559" s="19"/>
      <c r="F559" s="19"/>
      <c r="G559" s="19"/>
      <c r="H559" s="19"/>
      <c r="I559" s="19"/>
      <c r="J559" s="19"/>
      <c r="K559" s="19"/>
      <c r="L559" s="50"/>
    </row>
    <row r="560" spans="2:12" s="4" customFormat="1" outlineLevel="1" x14ac:dyDescent="0.4">
      <c r="B560" s="20"/>
      <c r="C560" s="21"/>
      <c r="D560" s="21"/>
      <c r="E560" s="21"/>
      <c r="F560" s="21"/>
      <c r="G560" s="1"/>
      <c r="H560" s="69" t="s">
        <v>122</v>
      </c>
      <c r="I560" s="47"/>
      <c r="J560" s="47"/>
      <c r="K560" s="45"/>
      <c r="L560" s="35"/>
    </row>
    <row r="561" spans="1:14" s="4" customFormat="1" outlineLevel="1" x14ac:dyDescent="0.4">
      <c r="B561" s="20"/>
      <c r="C561" s="21"/>
      <c r="D561" s="21"/>
      <c r="E561" s="21"/>
      <c r="F561" s="21"/>
      <c r="G561" s="76"/>
      <c r="H561" s="41"/>
      <c r="I561" s="36"/>
      <c r="J561" s="164" t="s">
        <v>124</v>
      </c>
      <c r="K561" s="37"/>
      <c r="L561" s="35"/>
    </row>
    <row r="562" spans="1:14" s="4" customFormat="1" outlineLevel="1" x14ac:dyDescent="0.4">
      <c r="B562" s="20"/>
      <c r="C562" s="21"/>
      <c r="D562" s="21"/>
      <c r="E562" s="21"/>
      <c r="F562" s="21"/>
      <c r="G562" s="21"/>
      <c r="H562" s="41"/>
      <c r="I562" s="164" t="s">
        <v>125</v>
      </c>
      <c r="J562" s="52" t="str">
        <f>IFERROR((J566*'Digestion &amp; outputs'!$K$23/('Transport 2'!F569*('Digestion &amp; outputs'!$G$28/1000))),"")</f>
        <v/>
      </c>
      <c r="K562" s="37"/>
      <c r="L562" s="35"/>
    </row>
    <row r="563" spans="1:14" s="4" customFormat="1" ht="16.5" customHeight="1" outlineLevel="1" x14ac:dyDescent="0.4">
      <c r="B563" s="20"/>
      <c r="C563" s="759" t="s">
        <v>183</v>
      </c>
      <c r="D563" s="759"/>
      <c r="E563" s="134" t="s">
        <v>178</v>
      </c>
      <c r="F563" s="21"/>
      <c r="G563" s="21"/>
      <c r="H563" s="41"/>
      <c r="I563" s="36"/>
      <c r="J563" s="36"/>
      <c r="K563" s="37"/>
      <c r="L563" s="35"/>
    </row>
    <row r="564" spans="1:14" s="4" customFormat="1" outlineLevel="1" x14ac:dyDescent="0.4">
      <c r="B564" s="20"/>
      <c r="C564" s="763" t="s">
        <v>184</v>
      </c>
      <c r="D564" s="764"/>
      <c r="E564" s="134" t="s">
        <v>96</v>
      </c>
      <c r="F564" s="21"/>
      <c r="G564" s="21"/>
      <c r="H564" s="41"/>
      <c r="I564" s="36"/>
      <c r="J564" s="36"/>
      <c r="K564" s="37"/>
      <c r="L564" s="35"/>
    </row>
    <row r="565" spans="1:14" s="4" customFormat="1" outlineLevel="1" x14ac:dyDescent="0.4">
      <c r="B565" s="20"/>
      <c r="C565" s="21"/>
      <c r="D565" s="21"/>
      <c r="E565" s="21"/>
      <c r="F565" s="21"/>
      <c r="G565" s="21"/>
      <c r="H565" s="43"/>
      <c r="I565" s="34"/>
      <c r="J565" s="164" t="s">
        <v>141</v>
      </c>
      <c r="K565" s="44"/>
      <c r="L565" s="35"/>
    </row>
    <row r="566" spans="1:14" s="4" customFormat="1" outlineLevel="1" x14ac:dyDescent="0.4">
      <c r="A566" s="765"/>
      <c r="B566" s="51"/>
      <c r="C566" s="164" t="s">
        <v>185</v>
      </c>
      <c r="D566" s="70">
        <f>IFERROR(Feedstocks!D25/'Transport 2'!F569,"Insert data")</f>
        <v>0</v>
      </c>
      <c r="E566" s="21"/>
      <c r="F566" s="21"/>
      <c r="G566" s="21"/>
      <c r="H566" s="43"/>
      <c r="I566" s="164" t="s">
        <v>167</v>
      </c>
      <c r="J566" s="52">
        <f>IFERROR(IF(AND(E563="YES",ISBLANK(F567)),"Insert yield",SUM(J582:J589,J575:J578,J571)*IF(E592="Yes",J595,1)),"Insert data")</f>
        <v>0</v>
      </c>
      <c r="K566" s="44"/>
      <c r="L566" s="35"/>
    </row>
    <row r="567" spans="1:14" s="4" customFormat="1" outlineLevel="1" x14ac:dyDescent="0.4">
      <c r="A567" s="765"/>
      <c r="B567" s="51"/>
      <c r="C567" s="164" t="s">
        <v>186</v>
      </c>
      <c r="D567" s="680">
        <v>0.9</v>
      </c>
      <c r="E567" s="134"/>
      <c r="F567" s="623">
        <f>IF(E563="No", 1, IF(E564="Default",D567, IF(E564="Actual", IF(E567&gt;0, E567, "insert data"), "error")))</f>
        <v>1</v>
      </c>
      <c r="G567" s="21"/>
      <c r="H567" s="49"/>
      <c r="I567" s="65"/>
      <c r="J567" s="65"/>
      <c r="K567" s="66"/>
      <c r="L567" s="35"/>
    </row>
    <row r="568" spans="1:14" s="4" customFormat="1" outlineLevel="1" x14ac:dyDescent="0.4">
      <c r="A568" s="765"/>
      <c r="B568" s="51"/>
      <c r="C568" s="21"/>
      <c r="D568" s="21"/>
      <c r="E568" s="21"/>
      <c r="F568" s="21"/>
      <c r="G568" s="21"/>
      <c r="H568" s="29"/>
      <c r="I568" s="29"/>
      <c r="J568" s="29"/>
      <c r="K568" s="29"/>
      <c r="L568" s="35"/>
    </row>
    <row r="569" spans="1:14" s="4" customFormat="1" outlineLevel="1" x14ac:dyDescent="0.4">
      <c r="A569" s="765"/>
      <c r="B569" s="51"/>
      <c r="C569" s="25" t="s">
        <v>187</v>
      </c>
      <c r="D569" s="1"/>
      <c r="E569" s="1"/>
      <c r="F569" s="1"/>
      <c r="G569" s="1"/>
      <c r="H569" s="69" t="s">
        <v>136</v>
      </c>
      <c r="I569" s="79"/>
      <c r="J569" s="79"/>
      <c r="K569" s="61"/>
      <c r="L569" s="54"/>
      <c r="M569" s="12"/>
      <c r="N569" s="12"/>
    </row>
    <row r="570" spans="1:14" s="4" customFormat="1" outlineLevel="1" x14ac:dyDescent="0.4">
      <c r="A570" s="765"/>
      <c r="B570" s="51"/>
      <c r="C570" s="166" t="s">
        <v>188</v>
      </c>
      <c r="D570" s="164" t="s">
        <v>151</v>
      </c>
      <c r="E570" s="164" t="s">
        <v>140</v>
      </c>
      <c r="F570" s="21"/>
      <c r="G570" s="1"/>
      <c r="H570" s="43"/>
      <c r="I570" s="34"/>
      <c r="J570" s="164" t="s">
        <v>141</v>
      </c>
      <c r="K570" s="44"/>
      <c r="L570" s="54"/>
    </row>
    <row r="571" spans="1:14" s="4" customFormat="1" outlineLevel="1" x14ac:dyDescent="0.4">
      <c r="A571" s="765"/>
      <c r="B571" s="51"/>
      <c r="C571" s="145"/>
      <c r="D571" s="141"/>
      <c r="E571" s="144"/>
      <c r="F571" s="21"/>
      <c r="G571" s="1"/>
      <c r="H571" s="43"/>
      <c r="I571" s="164" t="s">
        <v>189</v>
      </c>
      <c r="J571" s="31">
        <f>IFERROR(IF(E563="No",0,IF(D571="MWh",(E571*'Reference values'!$D$47*INDEX(Electricity_Emission_Factors,MATCH(C571,Electricity_Source,0)))/(D566*1000),IF(D571="kWh",(E571*'Reference values'!$D$47*INDEX(Electricity_Emission_Factors,MATCH(C571,Electricity_Source,0))/1000)/(D566*1000),IF(D571="MWh/tonne(output)",(E571*'Reference values'!$D$47*INDEX(Electricity_Emission_Factors,MATCH(C571,Electricity_Source,0)))/1000,IF(D571="kWh/tonne(output)",(E571*'Reference values'!$D$47*INDEX(Electricity_Emission_Factors,MATCH(C571,Electricity_Source,0))/1000)/1000,""))))),"")</f>
        <v>0</v>
      </c>
      <c r="K571" s="44"/>
      <c r="L571" s="54"/>
    </row>
    <row r="572" spans="1:14" s="4" customFormat="1" outlineLevel="1" x14ac:dyDescent="0.4">
      <c r="A572" s="765"/>
      <c r="B572" s="51"/>
      <c r="C572" s="1"/>
      <c r="D572" s="1"/>
      <c r="E572" s="1"/>
      <c r="F572" s="21"/>
      <c r="G572" s="1"/>
      <c r="H572" s="43"/>
      <c r="I572" s="34"/>
      <c r="J572" s="34"/>
      <c r="K572" s="44"/>
      <c r="L572" s="54"/>
    </row>
    <row r="573" spans="1:14" s="4" customFormat="1" outlineLevel="1" x14ac:dyDescent="0.4">
      <c r="A573" s="765"/>
      <c r="B573" s="51"/>
      <c r="C573" s="25" t="s">
        <v>190</v>
      </c>
      <c r="D573" s="1"/>
      <c r="E573" s="1"/>
      <c r="F573" s="21"/>
      <c r="G573" s="1"/>
      <c r="H573" s="43"/>
      <c r="I573" s="34"/>
      <c r="J573" s="34"/>
      <c r="K573" s="44"/>
      <c r="L573" s="54"/>
    </row>
    <row r="574" spans="1:14" s="4" customFormat="1" outlineLevel="1" x14ac:dyDescent="0.4">
      <c r="A574" s="765"/>
      <c r="B574" s="51"/>
      <c r="C574" s="164" t="s">
        <v>160</v>
      </c>
      <c r="D574" s="164" t="s">
        <v>151</v>
      </c>
      <c r="E574" s="164" t="s">
        <v>140</v>
      </c>
      <c r="F574" s="21"/>
      <c r="G574" s="1"/>
      <c r="H574" s="43"/>
      <c r="I574" s="164" t="s">
        <v>160</v>
      </c>
      <c r="J574" s="182" t="s">
        <v>141</v>
      </c>
      <c r="K574" s="44"/>
      <c r="L574" s="54"/>
    </row>
    <row r="575" spans="1:14" s="4" customFormat="1" outlineLevel="1" x14ac:dyDescent="0.4">
      <c r="A575" s="765"/>
      <c r="B575" s="51"/>
      <c r="C575" s="27" t="str">
        <f>IF(E564="Default", "Diesel", "")</f>
        <v>Diesel</v>
      </c>
      <c r="D575" s="74" t="str">
        <f>IF(E564="Default", "kWh/tonne(output)", "")</f>
        <v>kWh/tonne(output)</v>
      </c>
      <c r="E575" s="74">
        <f>IF(E564="Default", 3.881, "")</f>
        <v>3.8809999999999998</v>
      </c>
      <c r="F575" s="21"/>
      <c r="G575" s="1"/>
      <c r="H575" s="43"/>
      <c r="I575" s="27" t="str">
        <f>IF(C575&gt;0,C575,"")</f>
        <v>Diesel</v>
      </c>
      <c r="J575" s="31">
        <f>IF(E564="Actual","",IFERROR(IF(C575&gt;0,IF(ISBLANK(E575),"Insert data",IF(E563="No",0,(IF(D575="litres",(E575*(INDEX(Fuel_Densities,MATCH(C575,Fuels_for_Densities,0))/1000)*INDEX(Fuel_LHV,MATCH(C575,Fuels_for_LHV,0))*INDEX(Fuel_EFs,MATCH(C575,Fuels_for_EF,0)))/(D566*1000),(IF(D575="m3",(E575*(INDEX(Fuel_Densities,MATCH(C575,Fuels_for_Densities,0)))*INDEX(Fuel_LHV,MATCH(C575,Fuels_for_LHV,0))*INDEX(Fuel_EFs,MATCH(C575,Fuels_for_EF,0)))/(D566*1000),IF(D575="kg",(E575*INDEX(Fuel_LHV,MATCH(C575,Fuels_for_LHV,0))*INDEX(Fuel_EFs,MATCH(C575,Fuels_for_EF,0)))/(D566*1000),IF(D575="tonnes",(E575*INDEX(Fuel_LHV,MATCH(C575,Fuels_for_LHV,0))*1000*INDEX(Fuel_EFs,MATCH(C575,Fuels_for_EF,0)))/(D566*1000),IF(D575="MWh",(E575*'Reference values'!$D$47*INDEX(Fuel_EFs,MATCH(C575,Fuels_for_EF,0)))/(D566*1000),IF(D575="kWh",(E575*'Reference values'!$D$47*INDEX(Fuel_EFs,MATCH(C575,Fuels_for_EF,0))/1000)/(D566*1000),(IF(D575="litres/tonne(output)",(E575*(INDEX(Fuel_Densities,MATCH(C575,Fuels_for_Densities,0))/1000)*INDEX(Fuel_LHV,MATCH(C575,Fuels_for_LHV,0))*INDEX(Fuel_EFs,MATCH(C575,Fuels_for_EF,0)))/1000,(IF(D575="m3/tonne(output)",(E575*(INDEX(Fuel_Densities,MATCH(C575,Fuels_for_Densities,0)))*INDEX(Fuel_LHV,MATCH(C575,Fuels_for_LHV,0))*INDEX(Fuel_EFs,MATCH(C575,Fuels_for_EF,0)))/1000,IF(D575="kg/tonne(output)",(E575*INDEX(Fuel_LHV,MATCH(C575,Fuels_for_LHV,0))*INDEX(Fuel_EFs,MATCH(C575,Fuels_for_EF,0)))/1000,IF(D575="tonnes/tonne(output)",(E575*INDEX(Fuel_LHV,MATCH(C575,Fuels_for_LHV,0))*1000*INDEX(Fuel_EFs,MATCH(C575,Fuels_for_EF,0)))/1000,IF(D575="MWh/tonne(output)",(E575*'Reference values'!$D$47*INDEX(Fuel_EFs,MATCH(C575,Fuels_for_EF,0)))/1000,IF(D575="kWh/tonne(output)",(E575*'Reference values'!$D$47*INDEX(Fuel_EFs,MATCH(C575,Fuels_for_EF,0))/1000)/1000,"Insert unit")))))))))))))))))),""),"Insert data"))</f>
        <v>0</v>
      </c>
      <c r="K575" s="44"/>
      <c r="L575" s="54"/>
    </row>
    <row r="576" spans="1:14" s="4" customFormat="1" outlineLevel="1" x14ac:dyDescent="0.4">
      <c r="A576" s="765"/>
      <c r="B576" s="51"/>
      <c r="C576" s="134"/>
      <c r="D576" s="141"/>
      <c r="E576" s="144"/>
      <c r="F576" s="21"/>
      <c r="G576" s="1"/>
      <c r="H576" s="43"/>
      <c r="I576" s="27" t="str">
        <f>IF(C576&gt;0,C576,"")</f>
        <v/>
      </c>
      <c r="J576" s="31" t="str">
        <f>IFERROR(IF(C576&gt;0,IF(ISBLANK(E576),"Insert data",IF(E563="No",0,(IF(D576="litres",(E576*(INDEX(Fuel_Densities,MATCH(C576,Fuels_for_Densities,0))/1000)*INDEX(Fuel_LHV,MATCH(C576,Fuels_for_LHV,0))*INDEX(Fuel_EFs,MATCH(C576,Fuels_for_EF,0)))/(D566*1000),(IF(D576="m3",(E576*(INDEX(Fuel_Densities,MATCH(C576,Fuels_for_Densities,0)))*INDEX(Fuel_LHV,MATCH(C576,Fuels_for_LHV,0))*INDEX(Fuel_EFs,MATCH(C576,Fuels_for_EF,0)))/(D566*1000),IF(D576="kg",(E576*INDEX(Fuel_LHV,MATCH(C576,Fuels_for_LHV,0))*INDEX(Fuel_EFs,MATCH(C576,Fuels_for_EF,0)))/(D566*1000),IF(D576="tonnes",(E576*INDEX(Fuel_LHV,MATCH(C576,Fuels_for_LHV,0))*1000*INDEX(Fuel_EFs,MATCH(C576,Fuels_for_EF,0)))/(D566*1000),IF(D576="MWh",(E576*'Reference values'!$D$47*INDEX(Fuel_EFs,MATCH(C576,Fuels_for_EF,0)))/(D566*1000),IF(D576="kWh",(E576*'Reference values'!$D$47*INDEX(Fuel_EFs,MATCH(C576,Fuels_for_EF,0))/1000)/(D566*1000),(IF(D576="litres/tonne(output)",(E576*(INDEX(Fuel_Densities,MATCH(C576,Fuels_for_Densities,0))/1000)*INDEX(Fuel_LHV,MATCH(C576,Fuels_for_LHV,0))*INDEX(Fuel_EFs,MATCH(C576,Fuels_for_EF,0)))/1000,(IF(D576="m3/tonne(output)",(E576*(INDEX(Fuel_Densities,MATCH(C576,Fuels_for_Densities,0)))*INDEX(Fuel_LHV,MATCH(C576,Fuels_for_LHV,0))*INDEX(Fuel_EFs,MATCH(C576,Fuels_for_EF,0)))/1000,IF(D576="kg/tonne(output)",(E576*INDEX(Fuel_LHV,MATCH(C576,Fuels_for_LHV,0))*INDEX(Fuel_EFs,MATCH(C576,Fuels_for_EF,0)))/1000,IF(D576="tonnes/tonne(output)",(E576*INDEX(Fuel_LHV,MATCH(C576,Fuels_for_LHV,0))*1000*INDEX(Fuel_EFs,MATCH(C576,Fuels_for_EF,0)))/1000,IF(D576="MWh/tonne(output)",(E576*'Reference values'!$D$47*INDEX(Fuel_EFs,MATCH(C576,Fuels_for_EF,0)))/1000,IF(D576="kWh/tonne(output)",(E576*'Reference values'!$D$47*INDEX(Fuel_EFs,MATCH(C576,Fuels_for_EF,0))/1000)/1000,"Insert unit")))))))))))))))))),""),"Insert data")</f>
        <v/>
      </c>
      <c r="K576" s="44"/>
      <c r="L576" s="54"/>
    </row>
    <row r="577" spans="1:12" s="4" customFormat="1" outlineLevel="1" x14ac:dyDescent="0.4">
      <c r="A577" s="765"/>
      <c r="B577" s="51"/>
      <c r="C577" s="134"/>
      <c r="D577" s="141"/>
      <c r="E577" s="144"/>
      <c r="F577" s="21"/>
      <c r="G577" s="1"/>
      <c r="H577" s="43"/>
      <c r="I577" s="27" t="str">
        <f>IF(C577&gt;0,C577,"")</f>
        <v/>
      </c>
      <c r="J577" s="31" t="str">
        <f>IFERROR(IF(C577&gt;0,IF(ISBLANK(E577),"Insert data",IF(E563="No",0,(IF(D577="litres",(E577*(INDEX(Fuel_Densities,MATCH(C577,Fuels_for_Densities,0))/1000)*INDEX(Fuel_LHV,MATCH(C577,Fuels_for_LHV,0))*INDEX(Fuel_EFs,MATCH(C577,Fuels_for_EF,0)))/(D566*1000),(IF(D577="m3",(E577*(INDEX(Fuel_Densities,MATCH(C577,Fuels_for_Densities,0)))*INDEX(Fuel_LHV,MATCH(C577,Fuels_for_LHV,0))*INDEX(Fuel_EFs,MATCH(C577,Fuels_for_EF,0)))/(D566*1000),IF(D577="kg",(E577*INDEX(Fuel_LHV,MATCH(C577,Fuels_for_LHV,0))*INDEX(Fuel_EFs,MATCH(C577,Fuels_for_EF,0)))/(D566*1000),IF(D577="tonnes",(E577*INDEX(Fuel_LHV,MATCH(C577,Fuels_for_LHV,0))*1000*INDEX(Fuel_EFs,MATCH(C577,Fuels_for_EF,0)))/(D566*1000),IF(D577="MWh",(E577*'Reference values'!$D$47*INDEX(Fuel_EFs,MATCH(C577,Fuels_for_EF,0)))/(D566*1000),IF(D577="kWh",(E577*'Reference values'!$D$47*INDEX(Fuel_EFs,MATCH(C577,Fuels_for_EF,0))/1000)/(D566*1000),(IF(D577="litres/tonne(output)",(E577*(INDEX(Fuel_Densities,MATCH(C577,Fuels_for_Densities,0))/1000)*INDEX(Fuel_LHV,MATCH(C577,Fuels_for_LHV,0))*INDEX(Fuel_EFs,MATCH(C577,Fuels_for_EF,0)))/1000,(IF(D577="m3/tonne(output)",(E577*(INDEX(Fuel_Densities,MATCH(C577,Fuels_for_Densities,0)))*INDEX(Fuel_LHV,MATCH(C577,Fuels_for_LHV,0))*INDEX(Fuel_EFs,MATCH(C577,Fuels_for_EF,0)))/1000,IF(D577="kg/tonne(output)",(E577*INDEX(Fuel_LHV,MATCH(C577,Fuels_for_LHV,0))*INDEX(Fuel_EFs,MATCH(C577,Fuels_for_EF,0)))/1000,IF(D577="tonnes/tonne(output)",(E577*INDEX(Fuel_LHV,MATCH(C577,Fuels_for_LHV,0))*1000*INDEX(Fuel_EFs,MATCH(C577,Fuels_for_EF,0)))/1000,IF(D577="MWh/tonne(output)",(E577*'Reference values'!$D$47*INDEX(Fuel_EFs,MATCH(C577,Fuels_for_EF,0)))/1000,IF(D577="kWh/tonne(output)",(E577*'Reference values'!$D$47*INDEX(Fuel_EFs,MATCH(C577,Fuels_for_EF,0))/1000)/1000,"Insert unit")))))))))))))))))),""),"Insert data")</f>
        <v/>
      </c>
      <c r="K577" s="44"/>
      <c r="L577" s="54"/>
    </row>
    <row r="578" spans="1:12" s="4" customFormat="1" outlineLevel="1" x14ac:dyDescent="0.4">
      <c r="A578" s="765"/>
      <c r="B578" s="51"/>
      <c r="C578" s="134"/>
      <c r="D578" s="141"/>
      <c r="E578" s="144"/>
      <c r="F578" s="21"/>
      <c r="G578" s="1"/>
      <c r="H578" s="43"/>
      <c r="I578" s="27" t="str">
        <f>IF(C578&gt;0,C578,"")</f>
        <v/>
      </c>
      <c r="J578" s="31" t="str">
        <f>IFERROR(IF(C578&gt;0,IF(ISBLANK(E578),"Insert data",IF(E563="No",0,(IF(D578="litres",(E578*(INDEX(Fuel_Densities,MATCH(C578,Fuels_for_Densities,0))/1000)*INDEX(Fuel_LHV,MATCH(C578,Fuels_for_LHV,0))*INDEX(Fuel_EFs,MATCH(C578,Fuels_for_EF,0)))/(D566*1000),(IF(D578="m3",(E578*(INDEX(Fuel_Densities,MATCH(C578,Fuels_for_Densities,0)))*INDEX(Fuel_LHV,MATCH(C578,Fuels_for_LHV,0))*INDEX(Fuel_EFs,MATCH(C578,Fuels_for_EF,0)))/(D566*1000),IF(D578="kg",(E578*INDEX(Fuel_LHV,MATCH(C578,Fuels_for_LHV,0))*INDEX(Fuel_EFs,MATCH(C578,Fuels_for_EF,0)))/(D566*1000),IF(D578="tonnes",(E578*INDEX(Fuel_LHV,MATCH(C578,Fuels_for_LHV,0))*1000*INDEX(Fuel_EFs,MATCH(C578,Fuels_for_EF,0)))/(D566*1000),IF(D578="MWh",(E578*'Reference values'!$D$47*INDEX(Fuel_EFs,MATCH(C578,Fuels_for_EF,0)))/(D566*1000),IF(D578="kWh",(E578*'Reference values'!$D$47*INDEX(Fuel_EFs,MATCH(C578,Fuels_for_EF,0))/1000)/(D566*1000),(IF(D578="litres/tonne(output)",(E578*(INDEX(Fuel_Densities,MATCH(C578,Fuels_for_Densities,0))/1000)*INDEX(Fuel_LHV,MATCH(C578,Fuels_for_LHV,0))*INDEX(Fuel_EFs,MATCH(C578,Fuels_for_EF,0)))/1000,(IF(D578="m3/tonne(output)",(E578*(INDEX(Fuel_Densities,MATCH(C578,Fuels_for_Densities,0)))*INDEX(Fuel_LHV,MATCH(C578,Fuels_for_LHV,0))*INDEX(Fuel_EFs,MATCH(C578,Fuels_for_EF,0)))/1000,IF(D578="kg/tonne(output)",(E578*INDEX(Fuel_LHV,MATCH(C578,Fuels_for_LHV,0))*INDEX(Fuel_EFs,MATCH(C578,Fuels_for_EF,0)))/1000,IF(D578="tonnes/tonne(output)",(E578*INDEX(Fuel_LHV,MATCH(C578,Fuels_for_LHV,0))*1000*INDEX(Fuel_EFs,MATCH(C578,Fuels_for_EF,0)))/1000,IF(D578="MWh/tonne(output)",(E578*'Reference values'!$D$47*INDEX(Fuel_EFs,MATCH(C578,Fuels_for_EF,0)))/1000,IF(D578="kWh/tonne(output)",(E578*'Reference values'!$D$47*INDEX(Fuel_EFs,MATCH(C578,Fuels_for_EF,0))/1000)/1000,"Insert unit")))))))))))))))))),""),"Insert data")</f>
        <v/>
      </c>
      <c r="K578" s="44"/>
      <c r="L578" s="54"/>
    </row>
    <row r="579" spans="1:12" s="4" customFormat="1" outlineLevel="1" x14ac:dyDescent="0.4">
      <c r="A579" s="765"/>
      <c r="B579" s="51"/>
      <c r="C579" s="1"/>
      <c r="D579" s="1"/>
      <c r="E579" s="1"/>
      <c r="F579" s="21"/>
      <c r="G579" s="53"/>
      <c r="H579" s="56"/>
      <c r="I579" s="57"/>
      <c r="J579" s="34"/>
      <c r="K579" s="44"/>
      <c r="L579" s="54"/>
    </row>
    <row r="580" spans="1:12" s="4" customFormat="1" outlineLevel="1" x14ac:dyDescent="0.4">
      <c r="A580" s="765"/>
      <c r="B580" s="51"/>
      <c r="C580" s="25" t="s">
        <v>191</v>
      </c>
      <c r="D580" s="1"/>
      <c r="E580" s="1"/>
      <c r="F580" s="21"/>
      <c r="G580" s="53"/>
      <c r="H580" s="56"/>
      <c r="I580" s="34"/>
      <c r="J580" s="34"/>
      <c r="K580" s="44"/>
      <c r="L580" s="54"/>
    </row>
    <row r="581" spans="1:12" s="4" customFormat="1" outlineLevel="1" x14ac:dyDescent="0.4">
      <c r="A581" s="765"/>
      <c r="B581" s="51"/>
      <c r="C581" s="164" t="s">
        <v>192</v>
      </c>
      <c r="D581" s="164" t="s">
        <v>151</v>
      </c>
      <c r="E581" s="164" t="s">
        <v>140</v>
      </c>
      <c r="F581" s="21"/>
      <c r="G581" s="1"/>
      <c r="H581" s="43"/>
      <c r="I581" s="164" t="s">
        <v>192</v>
      </c>
      <c r="J581" s="182" t="s">
        <v>141</v>
      </c>
      <c r="K581" s="44"/>
      <c r="L581" s="54"/>
    </row>
    <row r="582" spans="1:12" s="4" customFormat="1" outlineLevel="1" x14ac:dyDescent="0.4">
      <c r="A582" s="765"/>
      <c r="B582" s="51"/>
      <c r="C582" s="134"/>
      <c r="D582" s="141"/>
      <c r="E582" s="144"/>
      <c r="F582" s="21"/>
      <c r="G582" s="1"/>
      <c r="H582" s="43"/>
      <c r="I582" s="27" t="str">
        <f t="shared" ref="I582:I589" si="11">IF(C582&gt;0,C582,"")</f>
        <v/>
      </c>
      <c r="J582" s="31" t="str">
        <f>IFERROR(IF(C582&gt;0,IF(ISBLANK(E582),"Insert data",IF(E563="No",0,IF(D582="kg",E582*INDEX(Chemical_Emission_Factors,MATCH(C582,Chemicals,0))/(D566*1000),IF(D582="tonnes",E582*INDEX(Chemical_Emission_Factors,MATCH(C582,Chemicals,0))*1000/(D566*1000),IF(D582="kg/tonne(output)",E582*INDEX(Chemical_Emission_Factors,MATCH(C582,Chemicals,0))/1000,IF(D582="tonnes/tonne(output)",E582*INDEX(Chemical_Emission_Factors,MATCH(C582,Chemicals,0))*1000/1000,"Insert unit")))))),""),"Insert data")</f>
        <v/>
      </c>
      <c r="K582" s="44"/>
      <c r="L582" s="54"/>
    </row>
    <row r="583" spans="1:12" s="4" customFormat="1" outlineLevel="1" x14ac:dyDescent="0.4">
      <c r="A583" s="765"/>
      <c r="B583" s="51"/>
      <c r="C583" s="134"/>
      <c r="D583" s="141"/>
      <c r="E583" s="144"/>
      <c r="F583" s="21"/>
      <c r="G583" s="1"/>
      <c r="H583" s="43"/>
      <c r="I583" s="27" t="str">
        <f t="shared" si="11"/>
        <v/>
      </c>
      <c r="J583" s="31" t="str">
        <f>IFERROR(IF(C583&gt;0,IF(ISBLANK(E583),"Insert data",IF(E563="No",0,IF(D583="kg",E583*INDEX(Chemical_Emission_Factors,MATCH(C583,Chemicals,0))/(D566*1000),IF(D583="tonnes",E583*INDEX(Chemical_Emission_Factors,MATCH(C583,Chemicals,0))*1000/(D566*1000),IF(D583="kg/tonne(output)",E583*INDEX(Chemical_Emission_Factors,MATCH(C583,Chemicals,0))/1000,IF(D583="tonnes/tonne(output)",E583*INDEX(Chemical_Emission_Factors,MATCH(C583,Chemicals,0))*1000/1000,"Insert unit")))))),""),"Insert data")</f>
        <v/>
      </c>
      <c r="K583" s="44"/>
      <c r="L583" s="54"/>
    </row>
    <row r="584" spans="1:12" s="4" customFormat="1" outlineLevel="1" x14ac:dyDescent="0.4">
      <c r="A584" s="765"/>
      <c r="B584" s="51"/>
      <c r="C584" s="134"/>
      <c r="D584" s="141"/>
      <c r="E584" s="144"/>
      <c r="F584" s="21"/>
      <c r="G584" s="1"/>
      <c r="H584" s="43"/>
      <c r="I584" s="27" t="str">
        <f t="shared" si="11"/>
        <v/>
      </c>
      <c r="J584" s="31" t="str">
        <f>IFERROR(IF(C584&gt;0,IF(ISBLANK(E584),"Insert data",IF(E563="No",0,IF(D584="kg",E584*INDEX(Chemical_Emission_Factors,MATCH(C584,Chemicals,0))/(D566*1000),IF(D584="tonnes",E584*INDEX(Chemical_Emission_Factors,MATCH(C584,Chemicals,0))*1000/(D566*1000),IF(D584="kg/tonne(output)",E584*INDEX(Chemical_Emission_Factors,MATCH(C584,Chemicals,0))/1000,IF(D584="tonnes/tonne(output)",E584*INDEX(Chemical_Emission_Factors,MATCH(C584,Chemicals,0))*1000/1000,"Insert unit")))))),""),"Insert data")</f>
        <v/>
      </c>
      <c r="K584" s="44"/>
      <c r="L584" s="54"/>
    </row>
    <row r="585" spans="1:12" s="4" customFormat="1" outlineLevel="1" x14ac:dyDescent="0.4">
      <c r="A585" s="765"/>
      <c r="B585" s="51"/>
      <c r="C585" s="134"/>
      <c r="D585" s="141"/>
      <c r="E585" s="144"/>
      <c r="F585" s="21"/>
      <c r="G585" s="1"/>
      <c r="H585" s="43"/>
      <c r="I585" s="27" t="str">
        <f t="shared" si="11"/>
        <v/>
      </c>
      <c r="J585" s="31" t="str">
        <f>IFERROR(IF(C585&gt;0,IF(ISBLANK(E585),"Insert data",IF(E563="No",0,IF(D585="kg",E585*INDEX(Chemical_Emission_Factors,MATCH(C585,Chemicals,0))/(D566*1000),IF(D585="tonnes",E585*INDEX(Chemical_Emission_Factors,MATCH(C585,Chemicals,0))*1000/(D566*1000),IF(D585="kg/tonne(output)",E585*INDEX(Chemical_Emission_Factors,MATCH(C585,Chemicals,0))/1000,IF(D585="tonnes/tonne(output)",E585*INDEX(Chemical_Emission_Factors,MATCH(C585,Chemicals,0))*1000/1000,"Insert unit")))))),""),"Insert data")</f>
        <v/>
      </c>
      <c r="K585" s="44"/>
      <c r="L585" s="54"/>
    </row>
    <row r="586" spans="1:12" s="4" customFormat="1" outlineLevel="1" x14ac:dyDescent="0.4">
      <c r="A586" s="765"/>
      <c r="B586" s="51"/>
      <c r="C586" s="134"/>
      <c r="D586" s="141"/>
      <c r="E586" s="144"/>
      <c r="F586" s="21"/>
      <c r="G586" s="1"/>
      <c r="H586" s="43"/>
      <c r="I586" s="27" t="str">
        <f t="shared" si="11"/>
        <v/>
      </c>
      <c r="J586" s="31" t="str">
        <f>IFERROR(IF(C586&gt;0,IF(ISBLANK(E586),"Insert data",IF(E563="No",0,IF(D586="kg",E586*INDEX(Chemical_Emission_Factors,MATCH(C586,Chemicals,0))/(D566*1000),IF(D586="tonnes",E586*INDEX(Chemical_Emission_Factors,MATCH(C586,Chemicals,0))*1000/(D566*1000),IF(D586="kg/tonne(output)",E586*INDEX(Chemical_Emission_Factors,MATCH(C586,Chemicals,0))/1000,IF(D586="tonnes/tonne(output)",E586*INDEX(Chemical_Emission_Factors,MATCH(C586,Chemicals,0))*1000/1000,"Insert unit")))))),""),"Insert data")</f>
        <v/>
      </c>
      <c r="K586" s="44"/>
      <c r="L586" s="54"/>
    </row>
    <row r="587" spans="1:12" s="4" customFormat="1" outlineLevel="1" x14ac:dyDescent="0.4">
      <c r="A587" s="765"/>
      <c r="B587" s="51"/>
      <c r="C587" s="134"/>
      <c r="D587" s="141"/>
      <c r="E587" s="144"/>
      <c r="F587" s="21"/>
      <c r="G587" s="1"/>
      <c r="H587" s="43"/>
      <c r="I587" s="27" t="str">
        <f t="shared" si="11"/>
        <v/>
      </c>
      <c r="J587" s="31" t="str">
        <f>IFERROR(IF(C587&gt;0,IF(ISBLANK(E587),"Insert data",IF(E563="No",0,IF(D587="kg",E587*INDEX(Chemical_Emission_Factors,MATCH(C587,Chemicals,0))/(D566*1000),IF(D587="tonnes",E587*INDEX(Chemical_Emission_Factors,MATCH(C587,Chemicals,0))*1000/(D566*1000),IF(D587="kg/tonne(output)",E587*INDEX(Chemical_Emission_Factors,MATCH(C587,Chemicals,0))/1000,IF(D587="tonnes/tonne(output)",E587*INDEX(Chemical_Emission_Factors,MATCH(C587,Chemicals,0))*1000/1000,"Insert unit")))))),""),"Insert data")</f>
        <v/>
      </c>
      <c r="K587" s="44"/>
      <c r="L587" s="54"/>
    </row>
    <row r="588" spans="1:12" s="4" customFormat="1" outlineLevel="1" x14ac:dyDescent="0.4">
      <c r="A588" s="765"/>
      <c r="B588" s="51"/>
      <c r="C588" s="134"/>
      <c r="D588" s="141"/>
      <c r="E588" s="144"/>
      <c r="F588" s="21"/>
      <c r="G588" s="1"/>
      <c r="H588" s="43"/>
      <c r="I588" s="27" t="str">
        <f t="shared" si="11"/>
        <v/>
      </c>
      <c r="J588" s="31" t="str">
        <f>IFERROR(IF(C588&gt;0,IF(ISBLANK(E588),"Insert data",IF(E563="No",0,IF(D588="kg",E588*INDEX(Chemical_Emission_Factors,MATCH(C588,Chemicals,0))/(D566*1000),IF(D588="tonnes",E588*INDEX(Chemical_Emission_Factors,MATCH(C588,Chemicals,0))*1000/(D566*1000),IF(D588="kg/tonne(output)",E588*INDEX(Chemical_Emission_Factors,MATCH(C588,Chemicals,0))/1000,IF(D588="tonnes/tonne(output)",E588*INDEX(Chemical_Emission_Factors,MATCH(C588,Chemicals,0))*1000/1000,"Insert unit")))))),""),"Insert data")</f>
        <v/>
      </c>
      <c r="K588" s="44"/>
      <c r="L588" s="54"/>
    </row>
    <row r="589" spans="1:12" s="4" customFormat="1" outlineLevel="1" x14ac:dyDescent="0.4">
      <c r="A589" s="765"/>
      <c r="B589" s="51"/>
      <c r="C589" s="134"/>
      <c r="D589" s="141"/>
      <c r="E589" s="144"/>
      <c r="F589" s="21"/>
      <c r="G589" s="1"/>
      <c r="H589" s="43"/>
      <c r="I589" s="27" t="str">
        <f t="shared" si="11"/>
        <v/>
      </c>
      <c r="J589" s="31" t="str">
        <f>IFERROR(IF(C589&gt;0,IF(ISBLANK(E589),"Insert data",IF(E563="No",0,IF(D589="kg",E589*INDEX(Chemical_Emission_Factors,MATCH(C589,Chemicals,0))/(D566*1000),IF(D589="tonnes",E589*INDEX(Chemical_Emission_Factors,MATCH(C589,Chemicals,0))*1000/(D566*1000),IF(D589="kg/tonne(output)",E589*INDEX(Chemical_Emission_Factors,MATCH(C589,Chemicals,0))/1000,IF(D589="tonnes/tonne(output)",E589*INDEX(Chemical_Emission_Factors,MATCH(C589,Chemicals,0))*1000/1000,"Insert unit")))))),""),"Insert data")</f>
        <v/>
      </c>
      <c r="K589" s="44"/>
      <c r="L589" s="54"/>
    </row>
    <row r="590" spans="1:12" s="4" customFormat="1" ht="12.75" customHeight="1" outlineLevel="1" x14ac:dyDescent="0.4">
      <c r="B590" s="20"/>
      <c r="C590" s="21"/>
      <c r="D590" s="21"/>
      <c r="E590" s="21"/>
      <c r="F590" s="21"/>
      <c r="G590" s="21"/>
      <c r="H590" s="46"/>
      <c r="I590" s="58"/>
      <c r="J590" s="58"/>
      <c r="K590" s="59"/>
      <c r="L590" s="35"/>
    </row>
    <row r="591" spans="1:12" s="4" customFormat="1" outlineLevel="1" x14ac:dyDescent="0.4">
      <c r="B591" s="20"/>
      <c r="C591" s="243" t="s">
        <v>193</v>
      </c>
      <c r="D591" s="21"/>
      <c r="E591" s="21"/>
      <c r="F591" s="21"/>
      <c r="G591" s="21"/>
      <c r="H591" s="21"/>
      <c r="I591" s="21"/>
      <c r="J591" s="21"/>
      <c r="K591" s="21"/>
      <c r="L591" s="35"/>
    </row>
    <row r="592" spans="1:12" s="4" customFormat="1" outlineLevel="1" x14ac:dyDescent="0.4">
      <c r="B592" s="20"/>
      <c r="C592" s="766" t="s">
        <v>194</v>
      </c>
      <c r="D592" s="767"/>
      <c r="E592" s="299" t="s">
        <v>178</v>
      </c>
      <c r="F592" s="21"/>
      <c r="G592" s="21"/>
      <c r="H592" s="302"/>
      <c r="I592" s="47"/>
      <c r="J592" s="47"/>
      <c r="K592" s="45"/>
      <c r="L592" s="35"/>
    </row>
    <row r="593" spans="2:12" s="4" customFormat="1" ht="6.75" customHeight="1" outlineLevel="1" x14ac:dyDescent="0.4">
      <c r="B593" s="20"/>
      <c r="C593" s="21"/>
      <c r="D593" s="21"/>
      <c r="E593" s="21"/>
      <c r="F593" s="21"/>
      <c r="G593" s="21"/>
      <c r="H593" s="41"/>
      <c r="I593" s="36"/>
      <c r="J593" s="301"/>
      <c r="K593" s="37"/>
      <c r="L593" s="35"/>
    </row>
    <row r="594" spans="2:12" s="4" customFormat="1" outlineLevel="1" x14ac:dyDescent="0.4">
      <c r="B594" s="20"/>
      <c r="C594" s="21"/>
      <c r="D594" s="164" t="s">
        <v>151</v>
      </c>
      <c r="E594" s="164" t="s">
        <v>140</v>
      </c>
      <c r="F594" s="21"/>
      <c r="G594" s="21"/>
      <c r="H594" s="41"/>
      <c r="I594" s="36"/>
      <c r="J594" s="164" t="s">
        <v>195</v>
      </c>
      <c r="K594" s="37"/>
      <c r="L594" s="35"/>
    </row>
    <row r="595" spans="2:12" s="4" customFormat="1" outlineLevel="1" x14ac:dyDescent="0.4">
      <c r="B595" s="20"/>
      <c r="C595" s="164" t="s">
        <v>196</v>
      </c>
      <c r="D595" s="297" t="s">
        <v>197</v>
      </c>
      <c r="E595" s="299"/>
      <c r="F595" s="21"/>
      <c r="G595" s="21"/>
      <c r="H595" s="41"/>
      <c r="I595" s="164" t="s">
        <v>198</v>
      </c>
      <c r="J595" s="309" t="str">
        <f>IFERROR(IF(E592="No", "", IF(AND(E592="yes",OR(ISBLANK(E595),ISBLANK(E596),ISBLANK(E597))),"Insert data",E596/(E596+E597*E595))), "")</f>
        <v/>
      </c>
      <c r="K595" s="37"/>
      <c r="L595" s="35"/>
    </row>
    <row r="596" spans="2:12" s="4" customFormat="1" outlineLevel="1" x14ac:dyDescent="0.4">
      <c r="B596" s="20"/>
      <c r="C596" s="164" t="s">
        <v>199</v>
      </c>
      <c r="D596" s="296" t="s">
        <v>200</v>
      </c>
      <c r="E596" s="299"/>
      <c r="F596" s="21"/>
      <c r="G596" s="21"/>
      <c r="H596" s="41"/>
      <c r="I596" s="164" t="s">
        <v>201</v>
      </c>
      <c r="J596" s="309" t="str">
        <f>IFERROR(IF(E592="No", "", IF(AND(E592="yes",OR(ISBLANK(E595),ISBLANK(E596),ISBLANK(E597))),"Insert data",(E597*E595)/(E597*E595+E596))),"")</f>
        <v/>
      </c>
      <c r="K596" s="37"/>
      <c r="L596" s="35"/>
    </row>
    <row r="597" spans="2:12" s="4" customFormat="1" outlineLevel="1" x14ac:dyDescent="0.4">
      <c r="B597" s="20"/>
      <c r="C597" s="164" t="s">
        <v>202</v>
      </c>
      <c r="D597" s="296" t="s">
        <v>200</v>
      </c>
      <c r="E597" s="299"/>
      <c r="F597" s="21"/>
      <c r="G597" s="21"/>
      <c r="H597" s="46"/>
      <c r="I597" s="58"/>
      <c r="J597" s="58"/>
      <c r="K597" s="59"/>
      <c r="L597" s="35"/>
    </row>
    <row r="598" spans="2:12" s="4" customFormat="1" ht="6.75" customHeight="1" outlineLevel="1" x14ac:dyDescent="0.4">
      <c r="B598" s="20"/>
      <c r="C598" s="21"/>
      <c r="D598" s="21"/>
      <c r="E598" s="21"/>
      <c r="F598" s="21"/>
      <c r="G598" s="21"/>
      <c r="H598" s="21"/>
      <c r="I598" s="21"/>
      <c r="J598" s="21"/>
      <c r="K598" s="21"/>
      <c r="L598" s="35"/>
    </row>
    <row r="599" spans="2:12" s="4" customFormat="1" ht="12.75" customHeight="1" outlineLevel="1" x14ac:dyDescent="0.4">
      <c r="B599" s="20"/>
      <c r="C599" s="300" t="s">
        <v>203</v>
      </c>
      <c r="D599" s="21"/>
      <c r="E599" s="21"/>
      <c r="F599" s="21"/>
      <c r="G599" s="21"/>
      <c r="H599" s="21"/>
      <c r="I599" s="21"/>
      <c r="J599" s="21"/>
      <c r="K599" s="21"/>
      <c r="L599" s="35"/>
    </row>
    <row r="600" spans="2:12" s="4" customFormat="1" ht="12.75" customHeight="1" outlineLevel="1" x14ac:dyDescent="0.4">
      <c r="B600" s="20"/>
      <c r="C600" s="300" t="s">
        <v>204</v>
      </c>
      <c r="D600" s="21"/>
      <c r="E600" s="21"/>
      <c r="F600" s="21"/>
      <c r="G600" s="21"/>
      <c r="H600" s="21"/>
      <c r="I600" s="21"/>
      <c r="J600" s="21"/>
      <c r="K600" s="21"/>
      <c r="L600" s="35"/>
    </row>
    <row r="601" spans="2:12" s="4" customFormat="1" ht="6.75" customHeight="1" outlineLevel="1" x14ac:dyDescent="0.4">
      <c r="B601" s="28"/>
      <c r="C601" s="298"/>
      <c r="D601" s="29"/>
      <c r="E601" s="29"/>
      <c r="F601" s="29"/>
      <c r="G601" s="29"/>
      <c r="H601" s="29"/>
      <c r="I601" s="29"/>
      <c r="J601" s="29"/>
      <c r="K601" s="29"/>
      <c r="L601" s="60"/>
    </row>
    <row r="602" spans="2:12" s="4" customFormat="1" x14ac:dyDescent="0.4"/>
    <row r="603" spans="2:12" s="4" customFormat="1" hidden="1" x14ac:dyDescent="0.4"/>
    <row r="604" spans="2:12" s="4" customFormat="1" hidden="1" x14ac:dyDescent="0.4"/>
    <row r="605" spans="2:12" s="4" customFormat="1" hidden="1" x14ac:dyDescent="0.4"/>
    <row r="606" spans="2:12" s="4" customFormat="1" hidden="1" x14ac:dyDescent="0.4"/>
    <row r="607" spans="2:12" s="4" customFormat="1" hidden="1" x14ac:dyDescent="0.4"/>
    <row r="608" spans="2:12" s="4" customFormat="1" ht="19.2" x14ac:dyDescent="0.45">
      <c r="B608" s="754" t="str">
        <f>"Feedstock Conversion"&amp;" - "&amp;Feedstocks!C26</f>
        <v xml:space="preserve">Feedstock Conversion - </v>
      </c>
      <c r="C608" s="755"/>
      <c r="D608" s="755"/>
      <c r="E608" s="755"/>
      <c r="F608" s="755"/>
      <c r="G608" s="755"/>
      <c r="H608" s="755"/>
      <c r="I608" s="755"/>
      <c r="J608" s="755"/>
      <c r="K608" s="755"/>
      <c r="L608" s="756"/>
    </row>
    <row r="609" spans="1:14" s="4" customFormat="1" outlineLevel="1" x14ac:dyDescent="0.4">
      <c r="B609" s="17"/>
      <c r="C609" s="21"/>
      <c r="D609" s="19"/>
      <c r="E609" s="19"/>
      <c r="F609" s="21"/>
      <c r="G609" s="19"/>
      <c r="H609" s="19"/>
      <c r="I609" s="19"/>
      <c r="J609" s="19"/>
      <c r="K609" s="19"/>
      <c r="L609" s="50"/>
    </row>
    <row r="610" spans="1:14" s="4" customFormat="1" outlineLevel="1" x14ac:dyDescent="0.4">
      <c r="B610" s="20"/>
      <c r="C610" s="21"/>
      <c r="D610" s="21"/>
      <c r="E610" s="21"/>
      <c r="F610" s="21"/>
      <c r="G610" s="1"/>
      <c r="H610" s="69" t="s">
        <v>122</v>
      </c>
      <c r="I610" s="47"/>
      <c r="J610" s="47"/>
      <c r="K610" s="45"/>
      <c r="L610" s="35"/>
    </row>
    <row r="611" spans="1:14" s="4" customFormat="1" outlineLevel="1" x14ac:dyDescent="0.4">
      <c r="B611" s="20"/>
      <c r="C611" s="21"/>
      <c r="D611" s="21"/>
      <c r="E611" s="21"/>
      <c r="F611" s="21"/>
      <c r="G611" s="76"/>
      <c r="H611" s="41"/>
      <c r="I611" s="36"/>
      <c r="J611" s="164" t="s">
        <v>124</v>
      </c>
      <c r="K611" s="37"/>
      <c r="L611" s="35"/>
    </row>
    <row r="612" spans="1:14" s="4" customFormat="1" outlineLevel="1" x14ac:dyDescent="0.4">
      <c r="B612" s="20"/>
      <c r="C612" s="21"/>
      <c r="D612" s="21"/>
      <c r="E612" s="21"/>
      <c r="F612" s="21"/>
      <c r="G612" s="21"/>
      <c r="H612" s="41"/>
      <c r="I612" s="164" t="s">
        <v>125</v>
      </c>
      <c r="J612" s="52" t="str">
        <f>IFERROR((J616/('Transport 2'!F619*('Digestion &amp; outputs'!$G$29/1000)))*'Digestion &amp; outputs'!$K$23,"")</f>
        <v/>
      </c>
      <c r="K612" s="37"/>
      <c r="L612" s="35"/>
    </row>
    <row r="613" spans="1:14" s="4" customFormat="1" ht="16.5" customHeight="1" outlineLevel="1" x14ac:dyDescent="0.4">
      <c r="B613" s="20"/>
      <c r="C613" s="759" t="s">
        <v>183</v>
      </c>
      <c r="D613" s="759"/>
      <c r="E613" s="134" t="s">
        <v>178</v>
      </c>
      <c r="F613" s="21"/>
      <c r="G613" s="21"/>
      <c r="H613" s="41"/>
      <c r="I613" s="36"/>
      <c r="J613" s="36"/>
      <c r="K613" s="37"/>
      <c r="L613" s="35"/>
    </row>
    <row r="614" spans="1:14" s="4" customFormat="1" outlineLevel="1" x14ac:dyDescent="0.4">
      <c r="B614" s="20"/>
      <c r="C614" s="763" t="s">
        <v>184</v>
      </c>
      <c r="D614" s="764"/>
      <c r="E614" s="134" t="s">
        <v>96</v>
      </c>
      <c r="F614" s="21"/>
      <c r="G614" s="21"/>
      <c r="H614" s="41"/>
      <c r="I614" s="36"/>
      <c r="J614" s="36"/>
      <c r="K614" s="37"/>
      <c r="L614" s="35"/>
    </row>
    <row r="615" spans="1:14" s="4" customFormat="1" outlineLevel="1" x14ac:dyDescent="0.4">
      <c r="B615" s="20"/>
      <c r="C615" s="21"/>
      <c r="D615" s="21"/>
      <c r="E615" s="21"/>
      <c r="F615" s="21"/>
      <c r="G615" s="21"/>
      <c r="H615" s="43"/>
      <c r="I615" s="34"/>
      <c r="J615" s="164" t="s">
        <v>141</v>
      </c>
      <c r="K615" s="44"/>
      <c r="L615" s="35"/>
    </row>
    <row r="616" spans="1:14" s="4" customFormat="1" outlineLevel="1" x14ac:dyDescent="0.4">
      <c r="A616" s="765"/>
      <c r="B616" s="51"/>
      <c r="C616" s="164" t="s">
        <v>185</v>
      </c>
      <c r="D616" s="70">
        <f>IFERROR(Feedstocks!D26/'Transport 2'!F619,"Insert data")</f>
        <v>0</v>
      </c>
      <c r="E616" s="21"/>
      <c r="F616" s="21"/>
      <c r="G616" s="21"/>
      <c r="H616" s="43"/>
      <c r="I616" s="164" t="s">
        <v>167</v>
      </c>
      <c r="J616" s="52">
        <f>IFERROR(IF(AND(E613="YES",ISBLANK(F617)),"Insert yield",SUM(J632:J639,J625:J628,J621)*IF(E642="Yes",J645,1)),"Insert data")</f>
        <v>0</v>
      </c>
      <c r="K616" s="44"/>
      <c r="L616" s="35"/>
    </row>
    <row r="617" spans="1:14" s="4" customFormat="1" outlineLevel="1" x14ac:dyDescent="0.4">
      <c r="A617" s="765"/>
      <c r="B617" s="51"/>
      <c r="C617" s="164" t="s">
        <v>186</v>
      </c>
      <c r="D617" s="680">
        <v>0.9</v>
      </c>
      <c r="E617" s="134"/>
      <c r="F617" s="623">
        <f>IF(E613="No", 1, IF(E614="Default",D617, IF(E614="Actual", IF(E617&gt;0, E617, "insert data"), "error")))</f>
        <v>1</v>
      </c>
      <c r="G617" s="21"/>
      <c r="H617" s="49"/>
      <c r="I617" s="65"/>
      <c r="J617" s="65"/>
      <c r="K617" s="66"/>
      <c r="L617" s="35"/>
    </row>
    <row r="618" spans="1:14" s="4" customFormat="1" outlineLevel="1" x14ac:dyDescent="0.4">
      <c r="A618" s="765"/>
      <c r="B618" s="51"/>
      <c r="C618" s="21"/>
      <c r="D618" s="21"/>
      <c r="E618" s="21"/>
      <c r="F618" s="21"/>
      <c r="G618" s="21"/>
      <c r="H618" s="29"/>
      <c r="I618" s="29"/>
      <c r="J618" s="29"/>
      <c r="K618" s="29"/>
      <c r="L618" s="35"/>
    </row>
    <row r="619" spans="1:14" s="4" customFormat="1" outlineLevel="1" x14ac:dyDescent="0.4">
      <c r="A619" s="765"/>
      <c r="B619" s="51"/>
      <c r="C619" s="25" t="s">
        <v>187</v>
      </c>
      <c r="D619" s="1"/>
      <c r="E619" s="1"/>
      <c r="F619" s="21"/>
      <c r="G619" s="1"/>
      <c r="H619" s="69" t="s">
        <v>136</v>
      </c>
      <c r="I619" s="79"/>
      <c r="J619" s="79"/>
      <c r="K619" s="61"/>
      <c r="L619" s="54"/>
      <c r="M619" s="12"/>
      <c r="N619" s="12"/>
    </row>
    <row r="620" spans="1:14" s="4" customFormat="1" outlineLevel="1" x14ac:dyDescent="0.4">
      <c r="A620" s="765"/>
      <c r="B620" s="51"/>
      <c r="C620" s="166" t="s">
        <v>188</v>
      </c>
      <c r="D620" s="164" t="s">
        <v>151</v>
      </c>
      <c r="E620" s="164" t="s">
        <v>140</v>
      </c>
      <c r="F620" s="21"/>
      <c r="G620" s="1"/>
      <c r="H620" s="43"/>
      <c r="I620" s="34"/>
      <c r="J620" s="164" t="s">
        <v>141</v>
      </c>
      <c r="K620" s="44"/>
      <c r="L620" s="54"/>
    </row>
    <row r="621" spans="1:14" s="4" customFormat="1" outlineLevel="1" x14ac:dyDescent="0.4">
      <c r="A621" s="765"/>
      <c r="B621" s="51"/>
      <c r="C621" s="145"/>
      <c r="D621" s="141"/>
      <c r="E621" s="144"/>
      <c r="F621" s="21"/>
      <c r="G621" s="1"/>
      <c r="H621" s="43"/>
      <c r="I621" s="164" t="s">
        <v>189</v>
      </c>
      <c r="J621" s="31">
        <f>IFERROR(IF(E613="No",0,IF(D621="MWh",(E621*'Reference values'!$D$47*INDEX(Electricity_Emission_Factors,MATCH(C621,Electricity_Source,0)))/(D616*1000),IF(D621="kWh",(E621*'Reference values'!$D$47*INDEX(Electricity_Emission_Factors,MATCH(C621,Electricity_Source,0))/1000)/(D616*1000),IF(D621="MWh/tonne(output)",(E621*'Reference values'!$D$47*INDEX(Electricity_Emission_Factors,MATCH(C621,Electricity_Source,0)))/1000,IF(D621="kWh/tonne(output)",(E621*'Reference values'!$D$47*INDEX(Electricity_Emission_Factors,MATCH(C621,Electricity_Source,0))/1000)/1000,""))))),"")</f>
        <v>0</v>
      </c>
      <c r="K621" s="44"/>
      <c r="L621" s="54"/>
    </row>
    <row r="622" spans="1:14" s="4" customFormat="1" outlineLevel="1" x14ac:dyDescent="0.4">
      <c r="A622" s="765"/>
      <c r="B622" s="51"/>
      <c r="C622" s="1"/>
      <c r="D622" s="1"/>
      <c r="E622" s="1"/>
      <c r="F622" s="21"/>
      <c r="G622" s="1"/>
      <c r="H622" s="43"/>
      <c r="I622" s="34"/>
      <c r="J622" s="34"/>
      <c r="K622" s="44"/>
      <c r="L622" s="54"/>
    </row>
    <row r="623" spans="1:14" s="4" customFormat="1" outlineLevel="1" x14ac:dyDescent="0.4">
      <c r="A623" s="765"/>
      <c r="B623" s="51"/>
      <c r="C623" s="25" t="s">
        <v>190</v>
      </c>
      <c r="D623" s="1"/>
      <c r="E623" s="1"/>
      <c r="F623" s="21"/>
      <c r="G623" s="1"/>
      <c r="H623" s="43"/>
      <c r="I623" s="34"/>
      <c r="J623" s="34"/>
      <c r="K623" s="44"/>
      <c r="L623" s="54"/>
    </row>
    <row r="624" spans="1:14" s="4" customFormat="1" outlineLevel="1" x14ac:dyDescent="0.4">
      <c r="A624" s="765"/>
      <c r="B624" s="51"/>
      <c r="C624" s="164" t="s">
        <v>160</v>
      </c>
      <c r="D624" s="164" t="s">
        <v>151</v>
      </c>
      <c r="E624" s="164" t="s">
        <v>140</v>
      </c>
      <c r="F624" s="21"/>
      <c r="G624" s="1"/>
      <c r="H624" s="43"/>
      <c r="I624" s="164" t="s">
        <v>160</v>
      </c>
      <c r="J624" s="182" t="s">
        <v>141</v>
      </c>
      <c r="K624" s="44"/>
      <c r="L624" s="54"/>
    </row>
    <row r="625" spans="1:12" s="4" customFormat="1" outlineLevel="1" x14ac:dyDescent="0.4">
      <c r="A625" s="765"/>
      <c r="B625" s="51"/>
      <c r="C625" s="27" t="str">
        <f>IF(E614="Default", "Diesel", "")</f>
        <v>Diesel</v>
      </c>
      <c r="D625" s="74" t="str">
        <f>IF(E614="Default", "kWh/tonne(output)", "")</f>
        <v>kWh/tonne(output)</v>
      </c>
      <c r="E625" s="74">
        <f>IF(E614="Default", 3.881, "")</f>
        <v>3.8809999999999998</v>
      </c>
      <c r="F625" s="21"/>
      <c r="G625" s="1"/>
      <c r="H625" s="43"/>
      <c r="I625" s="27" t="str">
        <f>IF(C625&gt;0,C625,"")</f>
        <v>Diesel</v>
      </c>
      <c r="J625" s="31">
        <f>IF(E614="Actual","",IFERROR(IF(C625&gt;0,IF(ISBLANK(E625),"Insert data",IF(E613="No",0,(IF(D625="litres",(E625*(INDEX(Fuel_Densities,MATCH(C625,Fuels_for_Densities,0))/1000)*INDEX(Fuel_LHV,MATCH(C625,Fuels_for_LHV,0))*INDEX(Fuel_EFs,MATCH(C625,Fuels_for_EF,0)))/(D616*1000),(IF(D625="m3",(E625*(INDEX(Fuel_Densities,MATCH(C625,Fuels_for_Densities,0)))*INDEX(Fuel_LHV,MATCH(C625,Fuels_for_LHV,0))*INDEX(Fuel_EFs,MATCH(C625,Fuels_for_EF,0)))/(D616*1000),IF(D625="kg",(E625*INDEX(Fuel_LHV,MATCH(C625,Fuels_for_LHV,0))*INDEX(Fuel_EFs,MATCH(C625,Fuels_for_EF,0)))/(D616*1000),IF(D625="tonnes",(E625*INDEX(Fuel_LHV,MATCH(C625,Fuels_for_LHV,0))*1000*INDEX(Fuel_EFs,MATCH(C625,Fuels_for_EF,0)))/(D616*1000),IF(D625="MWh",(E625*'Reference values'!$D$47*INDEX(Fuel_EFs,MATCH(C625,Fuels_for_EF,0)))/(D616*1000),IF(D625="kWh",(E625*'Reference values'!$D$47*INDEX(Fuel_EFs,MATCH(C625,Fuels_for_EF,0))/1000)/(D616*1000),(IF(D625="litres/tonne(output)",(E625*(INDEX(Fuel_Densities,MATCH(C625,Fuels_for_Densities,0))/1000)*INDEX(Fuel_LHV,MATCH(C625,Fuels_for_LHV,0))*INDEX(Fuel_EFs,MATCH(C625,Fuels_for_EF,0)))/1000,(IF(D625="m3/tonne(output)",(E625*(INDEX(Fuel_Densities,MATCH(C625,Fuels_for_Densities,0)))*INDEX(Fuel_LHV,MATCH(C625,Fuels_for_LHV,0))*INDEX(Fuel_EFs,MATCH(C625,Fuels_for_EF,0)))/1000,IF(D625="kg/tonne(output)",(E625*INDEX(Fuel_LHV,MATCH(C625,Fuels_for_LHV,0))*INDEX(Fuel_EFs,MATCH(C625,Fuels_for_EF,0)))/1000,IF(D625="tonnes/tonne(output)",(E625*INDEX(Fuel_LHV,MATCH(C625,Fuels_for_LHV,0))*1000*INDEX(Fuel_EFs,MATCH(C625,Fuels_for_EF,0)))/1000,IF(D625="MWh/tonne(output)",(E625*'Reference values'!$D$47*INDEX(Fuel_EFs,MATCH(C625,Fuels_for_EF,0)))/1000,IF(D625="kWh/tonne(output)",(E625*'Reference values'!$D$47*INDEX(Fuel_EFs,MATCH(C625,Fuels_for_EF,0))/1000)/1000,"Insert unit")))))))))))))))))),""),"Insert data"))</f>
        <v>0</v>
      </c>
      <c r="K625" s="44"/>
      <c r="L625" s="54"/>
    </row>
    <row r="626" spans="1:12" s="4" customFormat="1" outlineLevel="1" x14ac:dyDescent="0.4">
      <c r="A626" s="765"/>
      <c r="B626" s="51"/>
      <c r="C626" s="134"/>
      <c r="D626" s="141"/>
      <c r="E626" s="144"/>
      <c r="F626" s="21"/>
      <c r="G626" s="1"/>
      <c r="H626" s="43"/>
      <c r="I626" s="27" t="str">
        <f>IF(C626&gt;0,C626,"")</f>
        <v/>
      </c>
      <c r="J626" s="31" t="str">
        <f>IFERROR(IF(C626&gt;0,IF(ISBLANK(E626),"Insert data",IF(E613="No",0,(IF(D626="litres",(E626*(INDEX(Fuel_Densities,MATCH(C626,Fuels_for_Densities,0))/1000)*INDEX(Fuel_LHV,MATCH(C626,Fuels_for_LHV,0))*INDEX(Fuel_EFs,MATCH(C626,Fuels_for_EF,0)))/(D616*1000),(IF(D626="m3",(E626*(INDEX(Fuel_Densities,MATCH(C626,Fuels_for_Densities,0)))*INDEX(Fuel_LHV,MATCH(C626,Fuels_for_LHV,0))*INDEX(Fuel_EFs,MATCH(C626,Fuels_for_EF,0)))/(D616*1000),IF(D626="kg",(E626*INDEX(Fuel_LHV,MATCH(C626,Fuels_for_LHV,0))*INDEX(Fuel_EFs,MATCH(C626,Fuels_for_EF,0)))/(D616*1000),IF(D626="tonnes",(E626*INDEX(Fuel_LHV,MATCH(C626,Fuels_for_LHV,0))*1000*INDEX(Fuel_EFs,MATCH(C626,Fuels_for_EF,0)))/(D616*1000),IF(D626="MWh",(E626*'Reference values'!$D$47*INDEX(Fuel_EFs,MATCH(C626,Fuels_for_EF,0)))/(D616*1000),IF(D626="kWh",(E626*'Reference values'!$D$47*INDEX(Fuel_EFs,MATCH(C626,Fuels_for_EF,0))/1000)/(D616*1000),(IF(D626="litres/tonne(output)",(E626*(INDEX(Fuel_Densities,MATCH(C626,Fuels_for_Densities,0))/1000)*INDEX(Fuel_LHV,MATCH(C626,Fuels_for_LHV,0))*INDEX(Fuel_EFs,MATCH(C626,Fuels_for_EF,0)))/1000,(IF(D626="m3/tonne(output)",(E626*(INDEX(Fuel_Densities,MATCH(C626,Fuels_for_Densities,0)))*INDEX(Fuel_LHV,MATCH(C626,Fuels_for_LHV,0))*INDEX(Fuel_EFs,MATCH(C626,Fuels_for_EF,0)))/1000,IF(D626="kg/tonne(output)",(E626*INDEX(Fuel_LHV,MATCH(C626,Fuels_for_LHV,0))*INDEX(Fuel_EFs,MATCH(C626,Fuels_for_EF,0)))/1000,IF(D626="tonnes/tonne(output)",(E626*INDEX(Fuel_LHV,MATCH(C626,Fuels_for_LHV,0))*1000*INDEX(Fuel_EFs,MATCH(C626,Fuels_for_EF,0)))/1000,IF(D626="MWh/tonne(output)",(E626*'Reference values'!$D$47*INDEX(Fuel_EFs,MATCH(C626,Fuels_for_EF,0)))/1000,IF(D626="kWh/tonne(output)",(E626*'Reference values'!$D$47*INDEX(Fuel_EFs,MATCH(C626,Fuels_for_EF,0))/1000)/1000,"Insert unit")))))))))))))))))),""),"Insert data")</f>
        <v/>
      </c>
      <c r="K626" s="44"/>
      <c r="L626" s="54"/>
    </row>
    <row r="627" spans="1:12" s="4" customFormat="1" outlineLevel="1" x14ac:dyDescent="0.4">
      <c r="A627" s="765"/>
      <c r="B627" s="51"/>
      <c r="C627" s="134"/>
      <c r="D627" s="141"/>
      <c r="E627" s="144"/>
      <c r="F627" s="21"/>
      <c r="G627" s="1"/>
      <c r="H627" s="43"/>
      <c r="I627" s="27" t="str">
        <f>IF(C627&gt;0,C627,"")</f>
        <v/>
      </c>
      <c r="J627" s="31" t="str">
        <f>IFERROR(IF(C627&gt;0,IF(ISBLANK(E627),"Insert data",IF(E613="No",0,(IF(D627="litres",(E627*(INDEX(Fuel_Densities,MATCH(C627,Fuels_for_Densities,0))/1000)*INDEX(Fuel_LHV,MATCH(C627,Fuels_for_LHV,0))*INDEX(Fuel_EFs,MATCH(C627,Fuels_for_EF,0)))/(D616*1000),(IF(D627="m3",(E627*(INDEX(Fuel_Densities,MATCH(C627,Fuels_for_Densities,0)))*INDEX(Fuel_LHV,MATCH(C627,Fuels_for_LHV,0))*INDEX(Fuel_EFs,MATCH(C627,Fuels_for_EF,0)))/(D616*1000),IF(D627="kg",(E627*INDEX(Fuel_LHV,MATCH(C627,Fuels_for_LHV,0))*INDEX(Fuel_EFs,MATCH(C627,Fuels_for_EF,0)))/(D616*1000),IF(D627="tonnes",(E627*INDEX(Fuel_LHV,MATCH(C627,Fuels_for_LHV,0))*1000*INDEX(Fuel_EFs,MATCH(C627,Fuels_for_EF,0)))/(D616*1000),IF(D627="MWh",(E627*'Reference values'!$D$47*INDEX(Fuel_EFs,MATCH(C627,Fuels_for_EF,0)))/(D616*1000),IF(D627="kWh",(E627*'Reference values'!$D$47*INDEX(Fuel_EFs,MATCH(C627,Fuels_for_EF,0))/1000)/(D616*1000),(IF(D627="litres/tonne(output)",(E627*(INDEX(Fuel_Densities,MATCH(C627,Fuels_for_Densities,0))/1000)*INDEX(Fuel_LHV,MATCH(C627,Fuels_for_LHV,0))*INDEX(Fuel_EFs,MATCH(C627,Fuels_for_EF,0)))/1000,(IF(D627="m3/tonne(output)",(E627*(INDEX(Fuel_Densities,MATCH(C627,Fuels_for_Densities,0)))*INDEX(Fuel_LHV,MATCH(C627,Fuels_for_LHV,0))*INDEX(Fuel_EFs,MATCH(C627,Fuels_for_EF,0)))/1000,IF(D627="kg/tonne(output)",(E627*INDEX(Fuel_LHV,MATCH(C627,Fuels_for_LHV,0))*INDEX(Fuel_EFs,MATCH(C627,Fuels_for_EF,0)))/1000,IF(D627="tonnes/tonne(output)",(E627*INDEX(Fuel_LHV,MATCH(C627,Fuels_for_LHV,0))*1000*INDEX(Fuel_EFs,MATCH(C627,Fuels_for_EF,0)))/1000,IF(D627="MWh/tonne(output)",(E627*'Reference values'!$D$47*INDEX(Fuel_EFs,MATCH(C627,Fuels_for_EF,0)))/1000,IF(D627="kWh/tonne(output)",(E627*'Reference values'!$D$47*INDEX(Fuel_EFs,MATCH(C627,Fuels_for_EF,0))/1000)/1000,"Insert unit")))))))))))))))))),""),"Insert data")</f>
        <v/>
      </c>
      <c r="K627" s="44"/>
      <c r="L627" s="54"/>
    </row>
    <row r="628" spans="1:12" s="4" customFormat="1" outlineLevel="1" x14ac:dyDescent="0.4">
      <c r="A628" s="765"/>
      <c r="B628" s="51"/>
      <c r="C628" s="134"/>
      <c r="D628" s="141"/>
      <c r="E628" s="144"/>
      <c r="F628" s="21"/>
      <c r="G628" s="1"/>
      <c r="H628" s="43"/>
      <c r="I628" s="27" t="str">
        <f>IF(C628&gt;0,C628,"")</f>
        <v/>
      </c>
      <c r="J628" s="31" t="str">
        <f>IFERROR(IF(C628&gt;0,IF(ISBLANK(E628),"Insert data",IF(E613="No",0,(IF(D628="litres",(E628*(INDEX(Fuel_Densities,MATCH(C628,Fuels_for_Densities,0))/1000)*INDEX(Fuel_LHV,MATCH(C628,Fuels_for_LHV,0))*INDEX(Fuel_EFs,MATCH(C628,Fuels_for_EF,0)))/(D616*1000),(IF(D628="m3",(E628*(INDEX(Fuel_Densities,MATCH(C628,Fuels_for_Densities,0)))*INDEX(Fuel_LHV,MATCH(C628,Fuels_for_LHV,0))*INDEX(Fuel_EFs,MATCH(C628,Fuels_for_EF,0)))/(D616*1000),IF(D628="kg",(E628*INDEX(Fuel_LHV,MATCH(C628,Fuels_for_LHV,0))*INDEX(Fuel_EFs,MATCH(C628,Fuels_for_EF,0)))/(D616*1000),IF(D628="tonnes",(E628*INDEX(Fuel_LHV,MATCH(C628,Fuels_for_LHV,0))*1000*INDEX(Fuel_EFs,MATCH(C628,Fuels_for_EF,0)))/(D616*1000),IF(D628="MWh",(E628*'Reference values'!$D$47*INDEX(Fuel_EFs,MATCH(C628,Fuels_for_EF,0)))/(D616*1000),IF(D628="kWh",(E628*'Reference values'!$D$47*INDEX(Fuel_EFs,MATCH(C628,Fuels_for_EF,0))/1000)/(D616*1000),(IF(D628="litres/tonne(output)",(E628*(INDEX(Fuel_Densities,MATCH(C628,Fuels_for_Densities,0))/1000)*INDEX(Fuel_LHV,MATCH(C628,Fuels_for_LHV,0))*INDEX(Fuel_EFs,MATCH(C628,Fuels_for_EF,0)))/1000,(IF(D628="m3/tonne(output)",(E628*(INDEX(Fuel_Densities,MATCH(C628,Fuels_for_Densities,0)))*INDEX(Fuel_LHV,MATCH(C628,Fuels_for_LHV,0))*INDEX(Fuel_EFs,MATCH(C628,Fuels_for_EF,0)))/1000,IF(D628="kg/tonne(output)",(E628*INDEX(Fuel_LHV,MATCH(C628,Fuels_for_LHV,0))*INDEX(Fuel_EFs,MATCH(C628,Fuels_for_EF,0)))/1000,IF(D628="tonnes/tonne(output)",(E628*INDEX(Fuel_LHV,MATCH(C628,Fuels_for_LHV,0))*1000*INDEX(Fuel_EFs,MATCH(C628,Fuels_for_EF,0)))/1000,IF(D628="MWh/tonne(output)",(E628*'Reference values'!$D$47*INDEX(Fuel_EFs,MATCH(C628,Fuels_for_EF,0)))/1000,IF(D628="kWh/tonne(output)",(E628*'Reference values'!$D$47*INDEX(Fuel_EFs,MATCH(C628,Fuels_for_EF,0))/1000)/1000,"Insert unit")))))))))))))))))),""),"Insert data")</f>
        <v/>
      </c>
      <c r="K628" s="44"/>
      <c r="L628" s="54"/>
    </row>
    <row r="629" spans="1:12" s="4" customFormat="1" outlineLevel="1" x14ac:dyDescent="0.4">
      <c r="A629" s="765"/>
      <c r="B629" s="51"/>
      <c r="C629" s="1"/>
      <c r="D629" s="1"/>
      <c r="E629" s="1"/>
      <c r="F629" s="21"/>
      <c r="G629" s="53"/>
      <c r="H629" s="56"/>
      <c r="I629" s="57"/>
      <c r="J629" s="34"/>
      <c r="K629" s="44"/>
      <c r="L629" s="54"/>
    </row>
    <row r="630" spans="1:12" s="4" customFormat="1" outlineLevel="1" x14ac:dyDescent="0.4">
      <c r="A630" s="765"/>
      <c r="B630" s="51"/>
      <c r="C630" s="25" t="s">
        <v>191</v>
      </c>
      <c r="D630" s="1"/>
      <c r="E630" s="1"/>
      <c r="F630" s="21"/>
      <c r="G630" s="53"/>
      <c r="H630" s="56"/>
      <c r="I630" s="34"/>
      <c r="J630" s="34"/>
      <c r="K630" s="44"/>
      <c r="L630" s="54"/>
    </row>
    <row r="631" spans="1:12" s="4" customFormat="1" outlineLevel="1" x14ac:dyDescent="0.4">
      <c r="A631" s="765"/>
      <c r="B631" s="51"/>
      <c r="C631" s="164" t="s">
        <v>192</v>
      </c>
      <c r="D631" s="164" t="s">
        <v>151</v>
      </c>
      <c r="E631" s="164" t="s">
        <v>140</v>
      </c>
      <c r="F631" s="21"/>
      <c r="G631" s="1"/>
      <c r="H631" s="43"/>
      <c r="I631" s="164" t="s">
        <v>192</v>
      </c>
      <c r="J631" s="182" t="s">
        <v>141</v>
      </c>
      <c r="K631" s="44"/>
      <c r="L631" s="54"/>
    </row>
    <row r="632" spans="1:12" s="4" customFormat="1" outlineLevel="1" x14ac:dyDescent="0.4">
      <c r="A632" s="765"/>
      <c r="B632" s="51"/>
      <c r="C632" s="134"/>
      <c r="D632" s="141"/>
      <c r="E632" s="144"/>
      <c r="F632" s="21"/>
      <c r="G632" s="1"/>
      <c r="H632" s="43"/>
      <c r="I632" s="27" t="str">
        <f t="shared" ref="I632:I639" si="12">IF(C632&gt;0,C632,"")</f>
        <v/>
      </c>
      <c r="J632" s="31" t="str">
        <f>IFERROR(IF(C632&gt;0,IF(ISBLANK(E632),"Insert data",IF(E613="No",0,IF(D632="kg",E632*INDEX(Chemical_Emission_Factors,MATCH(C632,Chemicals,0))/(D616*1000),IF(D632="tonnes",E632*INDEX(Chemical_Emission_Factors,MATCH(C632,Chemicals,0))*1000/(D616*1000),IF(D632="kg/tonne(output)",E632*INDEX(Chemical_Emission_Factors,MATCH(C632,Chemicals,0))/1000,IF(D632="tonnes/tonne(output)",E632*INDEX(Chemical_Emission_Factors,MATCH(C632,Chemicals,0))*1000/1000,"Insert unit")))))),""),"Insert data")</f>
        <v/>
      </c>
      <c r="K632" s="44"/>
      <c r="L632" s="54"/>
    </row>
    <row r="633" spans="1:12" s="4" customFormat="1" outlineLevel="1" x14ac:dyDescent="0.4">
      <c r="A633" s="765"/>
      <c r="B633" s="51"/>
      <c r="C633" s="134"/>
      <c r="D633" s="141"/>
      <c r="E633" s="144"/>
      <c r="F633" s="21"/>
      <c r="G633" s="1"/>
      <c r="H633" s="43"/>
      <c r="I633" s="27" t="str">
        <f t="shared" si="12"/>
        <v/>
      </c>
      <c r="J633" s="31" t="str">
        <f>IFERROR(IF(C633&gt;0,IF(ISBLANK(E633),"Insert data",IF(E613="No",0,IF(D633="kg",E633*INDEX(Chemical_Emission_Factors,MATCH(C633,Chemicals,0))/(D616*1000),IF(D633="tonnes",E633*INDEX(Chemical_Emission_Factors,MATCH(C633,Chemicals,0))*1000/(D616*1000),IF(D633="kg/tonne(output)",E633*INDEX(Chemical_Emission_Factors,MATCH(C633,Chemicals,0))/1000,IF(D633="tonnes/tonne(output)",E633*INDEX(Chemical_Emission_Factors,MATCH(C633,Chemicals,0))*1000/1000,"Insert unit")))))),""),"Insert data")</f>
        <v/>
      </c>
      <c r="K633" s="44"/>
      <c r="L633" s="54"/>
    </row>
    <row r="634" spans="1:12" s="4" customFormat="1" outlineLevel="1" x14ac:dyDescent="0.4">
      <c r="A634" s="765"/>
      <c r="B634" s="51"/>
      <c r="C634" s="134"/>
      <c r="D634" s="141"/>
      <c r="E634" s="144"/>
      <c r="F634" s="21"/>
      <c r="G634" s="1"/>
      <c r="H634" s="43"/>
      <c r="I634" s="27" t="str">
        <f t="shared" si="12"/>
        <v/>
      </c>
      <c r="J634" s="31" t="str">
        <f>IFERROR(IF(C634&gt;0,IF(ISBLANK(E634),"Insert data",IF(E613="No",0,IF(D634="kg",E634*INDEX(Chemical_Emission_Factors,MATCH(C634,Chemicals,0))/(D616*1000),IF(D634="tonnes",E634*INDEX(Chemical_Emission_Factors,MATCH(C634,Chemicals,0))*1000/(D616*1000),IF(D634="kg/tonne(output)",E634*INDEX(Chemical_Emission_Factors,MATCH(C634,Chemicals,0))/1000,IF(D634="tonnes/tonne(output)",E634*INDEX(Chemical_Emission_Factors,MATCH(C634,Chemicals,0))*1000/1000,"Insert unit")))))),""),"Insert data")</f>
        <v/>
      </c>
      <c r="K634" s="44"/>
      <c r="L634" s="54"/>
    </row>
    <row r="635" spans="1:12" s="4" customFormat="1" outlineLevel="1" x14ac:dyDescent="0.4">
      <c r="A635" s="765"/>
      <c r="B635" s="51"/>
      <c r="C635" s="134"/>
      <c r="D635" s="141"/>
      <c r="E635" s="144"/>
      <c r="F635" s="21"/>
      <c r="G635" s="1"/>
      <c r="H635" s="43"/>
      <c r="I635" s="27" t="str">
        <f t="shared" si="12"/>
        <v/>
      </c>
      <c r="J635" s="31" t="str">
        <f>IFERROR(IF(C635&gt;0,IF(ISBLANK(E635),"Insert data",IF(E613="No",0,IF(D635="kg",E635*INDEX(Chemical_Emission_Factors,MATCH(C635,Chemicals,0))/(D616*1000),IF(D635="tonnes",E635*INDEX(Chemical_Emission_Factors,MATCH(C635,Chemicals,0))*1000/(D616*1000),IF(D635="kg/tonne(output)",E635*INDEX(Chemical_Emission_Factors,MATCH(C635,Chemicals,0))/1000,IF(D635="tonnes/tonne(output)",E635*INDEX(Chemical_Emission_Factors,MATCH(C635,Chemicals,0))*1000/1000,"Insert unit")))))),""),"Insert data")</f>
        <v/>
      </c>
      <c r="K635" s="44"/>
      <c r="L635" s="54"/>
    </row>
    <row r="636" spans="1:12" s="4" customFormat="1" outlineLevel="1" x14ac:dyDescent="0.4">
      <c r="A636" s="765"/>
      <c r="B636" s="51"/>
      <c r="C636" s="134"/>
      <c r="D636" s="141"/>
      <c r="E636" s="144"/>
      <c r="F636" s="21"/>
      <c r="G636" s="1"/>
      <c r="H636" s="43"/>
      <c r="I636" s="27" t="str">
        <f t="shared" si="12"/>
        <v/>
      </c>
      <c r="J636" s="31" t="str">
        <f>IFERROR(IF(C636&gt;0,IF(ISBLANK(E636),"Insert data",IF(E613="No",0,IF(D636="kg",E636*INDEX(Chemical_Emission_Factors,MATCH(C636,Chemicals,0))/(D616*1000),IF(D636="tonnes",E636*INDEX(Chemical_Emission_Factors,MATCH(C636,Chemicals,0))*1000/(D616*1000),IF(D636="kg/tonne(output)",E636*INDEX(Chemical_Emission_Factors,MATCH(C636,Chemicals,0))/1000,IF(D636="tonnes/tonne(output)",E636*INDEX(Chemical_Emission_Factors,MATCH(C636,Chemicals,0))*1000/1000,"Insert unit")))))),""),"Insert data")</f>
        <v/>
      </c>
      <c r="K636" s="44"/>
      <c r="L636" s="54"/>
    </row>
    <row r="637" spans="1:12" s="4" customFormat="1" outlineLevel="1" x14ac:dyDescent="0.4">
      <c r="A637" s="765"/>
      <c r="B637" s="51"/>
      <c r="C637" s="134"/>
      <c r="D637" s="141"/>
      <c r="E637" s="144"/>
      <c r="F637" s="21"/>
      <c r="G637" s="1"/>
      <c r="H637" s="43"/>
      <c r="I637" s="27" t="str">
        <f t="shared" si="12"/>
        <v/>
      </c>
      <c r="J637" s="31" t="str">
        <f>IFERROR(IF(C637&gt;0,IF(ISBLANK(E637),"Insert data",IF(E613="No",0,IF(D637="kg",E637*INDEX(Chemical_Emission_Factors,MATCH(C637,Chemicals,0))/(D616*1000),IF(D637="tonnes",E637*INDEX(Chemical_Emission_Factors,MATCH(C637,Chemicals,0))*1000/(D616*1000),IF(D637="kg/tonne(output)",E637*INDEX(Chemical_Emission_Factors,MATCH(C637,Chemicals,0))/1000,IF(D637="tonnes/tonne(output)",E637*INDEX(Chemical_Emission_Factors,MATCH(C637,Chemicals,0))*1000/1000,"Insert unit")))))),""),"Insert data")</f>
        <v/>
      </c>
      <c r="K637" s="44"/>
      <c r="L637" s="54"/>
    </row>
    <row r="638" spans="1:12" s="4" customFormat="1" outlineLevel="1" x14ac:dyDescent="0.4">
      <c r="A638" s="765"/>
      <c r="B638" s="51"/>
      <c r="C638" s="134"/>
      <c r="D638" s="141"/>
      <c r="E638" s="144"/>
      <c r="F638" s="21"/>
      <c r="G638" s="1"/>
      <c r="H638" s="43"/>
      <c r="I638" s="27" t="str">
        <f t="shared" si="12"/>
        <v/>
      </c>
      <c r="J638" s="31" t="str">
        <f>IFERROR(IF(C638&gt;0,IF(ISBLANK(E638),"Insert data",IF(E613="No",0,IF(D638="kg",E638*INDEX(Chemical_Emission_Factors,MATCH(C638,Chemicals,0))/(D616*1000),IF(D638="tonnes",E638*INDEX(Chemical_Emission_Factors,MATCH(C638,Chemicals,0))*1000/(D616*1000),IF(D638="kg/tonne(output)",E638*INDEX(Chemical_Emission_Factors,MATCH(C638,Chemicals,0))/1000,IF(D638="tonnes/tonne(output)",E638*INDEX(Chemical_Emission_Factors,MATCH(C638,Chemicals,0))*1000/1000,"Insert unit")))))),""),"Insert data")</f>
        <v/>
      </c>
      <c r="K638" s="44"/>
      <c r="L638" s="54"/>
    </row>
    <row r="639" spans="1:12" s="4" customFormat="1" outlineLevel="1" x14ac:dyDescent="0.4">
      <c r="A639" s="765"/>
      <c r="B639" s="51"/>
      <c r="C639" s="134"/>
      <c r="D639" s="141"/>
      <c r="E639" s="144"/>
      <c r="F639" s="21"/>
      <c r="G639" s="1"/>
      <c r="H639" s="43"/>
      <c r="I639" s="27" t="str">
        <f t="shared" si="12"/>
        <v/>
      </c>
      <c r="J639" s="31" t="str">
        <f>IFERROR(IF(C639&gt;0,IF(ISBLANK(E639),"Insert data",IF(E613="No",0,IF(D639="kg",E639*INDEX(Chemical_Emission_Factors,MATCH(C639,Chemicals,0))/(D616*1000),IF(D639="tonnes",E639*INDEX(Chemical_Emission_Factors,MATCH(C639,Chemicals,0))*1000/(D616*1000),IF(D639="kg/tonne(output)",E639*INDEX(Chemical_Emission_Factors,MATCH(C639,Chemicals,0))/1000,IF(D639="tonnes/tonne(output)",E639*INDEX(Chemical_Emission_Factors,MATCH(C639,Chemicals,0))*1000/1000,"Insert unit")))))),""),"Insert data")</f>
        <v/>
      </c>
      <c r="K639" s="44"/>
      <c r="L639" s="54"/>
    </row>
    <row r="640" spans="1:12" s="4" customFormat="1" ht="12.75" customHeight="1" outlineLevel="1" x14ac:dyDescent="0.4">
      <c r="B640" s="20"/>
      <c r="C640" s="21"/>
      <c r="D640" s="21"/>
      <c r="E640" s="21"/>
      <c r="F640" s="21"/>
      <c r="G640" s="21"/>
      <c r="H640" s="46"/>
      <c r="I640" s="58"/>
      <c r="J640" s="58"/>
      <c r="K640" s="59"/>
      <c r="L640" s="35"/>
    </row>
    <row r="641" spans="2:12" s="4" customFormat="1" outlineLevel="1" x14ac:dyDescent="0.4">
      <c r="B641" s="20"/>
      <c r="C641" s="243" t="s">
        <v>193</v>
      </c>
      <c r="D641" s="21"/>
      <c r="E641" s="21"/>
      <c r="F641" s="21"/>
      <c r="G641" s="21"/>
      <c r="H641" s="21"/>
      <c r="I641" s="21"/>
      <c r="J641" s="21"/>
      <c r="K641" s="21"/>
      <c r="L641" s="35"/>
    </row>
    <row r="642" spans="2:12" s="4" customFormat="1" outlineLevel="1" x14ac:dyDescent="0.4">
      <c r="B642" s="20"/>
      <c r="C642" s="766" t="s">
        <v>194</v>
      </c>
      <c r="D642" s="767"/>
      <c r="E642" s="299" t="s">
        <v>178</v>
      </c>
      <c r="F642" s="21"/>
      <c r="G642" s="21"/>
      <c r="H642" s="302"/>
      <c r="I642" s="47"/>
      <c r="J642" s="47"/>
      <c r="K642" s="45"/>
      <c r="L642" s="35"/>
    </row>
    <row r="643" spans="2:12" s="4" customFormat="1" ht="6.75" customHeight="1" outlineLevel="1" x14ac:dyDescent="0.4">
      <c r="B643" s="20"/>
      <c r="C643" s="21"/>
      <c r="D643" s="21"/>
      <c r="E643" s="21"/>
      <c r="F643" s="21"/>
      <c r="G643" s="21"/>
      <c r="H643" s="41"/>
      <c r="I643" s="36"/>
      <c r="J643" s="301"/>
      <c r="K643" s="37"/>
      <c r="L643" s="35"/>
    </row>
    <row r="644" spans="2:12" s="4" customFormat="1" outlineLevel="1" x14ac:dyDescent="0.4">
      <c r="B644" s="20"/>
      <c r="C644" s="21"/>
      <c r="D644" s="164" t="s">
        <v>151</v>
      </c>
      <c r="E644" s="164" t="s">
        <v>140</v>
      </c>
      <c r="F644" s="21"/>
      <c r="G644" s="21"/>
      <c r="H644" s="41"/>
      <c r="I644" s="36"/>
      <c r="J644" s="164" t="s">
        <v>195</v>
      </c>
      <c r="K644" s="37"/>
      <c r="L644" s="35"/>
    </row>
    <row r="645" spans="2:12" s="4" customFormat="1" outlineLevel="1" x14ac:dyDescent="0.4">
      <c r="B645" s="20"/>
      <c r="C645" s="164" t="s">
        <v>196</v>
      </c>
      <c r="D645" s="297" t="s">
        <v>197</v>
      </c>
      <c r="E645" s="299"/>
      <c r="F645" s="21"/>
      <c r="G645" s="21"/>
      <c r="H645" s="41"/>
      <c r="I645" s="164" t="s">
        <v>198</v>
      </c>
      <c r="J645" s="309" t="str">
        <f>IFERROR(IF(E642="No", "", IF(AND(E642="yes",OR(ISBLANK(E645),ISBLANK(E646),ISBLANK(E647))),"Insert data",E646/(E646+E647*E645))), "")</f>
        <v/>
      </c>
      <c r="K645" s="37"/>
      <c r="L645" s="35"/>
    </row>
    <row r="646" spans="2:12" s="4" customFormat="1" outlineLevel="1" x14ac:dyDescent="0.4">
      <c r="B646" s="20"/>
      <c r="C646" s="164" t="s">
        <v>199</v>
      </c>
      <c r="D646" s="296" t="s">
        <v>200</v>
      </c>
      <c r="E646" s="299"/>
      <c r="F646" s="21"/>
      <c r="G646" s="21"/>
      <c r="H646" s="41"/>
      <c r="I646" s="164" t="s">
        <v>201</v>
      </c>
      <c r="J646" s="309" t="str">
        <f>IFERROR(IF(E642="No", "", IF(AND(E642="yes",OR(ISBLANK(E645),ISBLANK(E646),ISBLANK(E647))),"Insert data",(E647*E645)/(E647*E645+E646))),"")</f>
        <v/>
      </c>
      <c r="K646" s="37"/>
      <c r="L646" s="35"/>
    </row>
    <row r="647" spans="2:12" s="4" customFormat="1" outlineLevel="1" x14ac:dyDescent="0.4">
      <c r="B647" s="20"/>
      <c r="C647" s="164" t="s">
        <v>202</v>
      </c>
      <c r="D647" s="296" t="s">
        <v>200</v>
      </c>
      <c r="E647" s="299"/>
      <c r="F647" s="21"/>
      <c r="G647" s="21"/>
      <c r="H647" s="46"/>
      <c r="I647" s="58"/>
      <c r="J647" s="58"/>
      <c r="K647" s="59"/>
      <c r="L647" s="35"/>
    </row>
    <row r="648" spans="2:12" s="4" customFormat="1" ht="6.75" customHeight="1" outlineLevel="1" x14ac:dyDescent="0.4">
      <c r="B648" s="20"/>
      <c r="C648" s="21"/>
      <c r="D648" s="21"/>
      <c r="E648" s="21"/>
      <c r="F648" s="21"/>
      <c r="G648" s="21"/>
      <c r="H648" s="21"/>
      <c r="I648" s="21"/>
      <c r="J648" s="21"/>
      <c r="K648" s="21"/>
      <c r="L648" s="35"/>
    </row>
    <row r="649" spans="2:12" s="4" customFormat="1" ht="12.75" customHeight="1" outlineLevel="1" x14ac:dyDescent="0.4">
      <c r="B649" s="20"/>
      <c r="C649" s="300" t="s">
        <v>203</v>
      </c>
      <c r="D649" s="21"/>
      <c r="E649" s="21"/>
      <c r="F649" s="21"/>
      <c r="G649" s="21"/>
      <c r="H649" s="21"/>
      <c r="I649" s="21"/>
      <c r="J649" s="21"/>
      <c r="K649" s="21"/>
      <c r="L649" s="35"/>
    </row>
    <row r="650" spans="2:12" s="4" customFormat="1" ht="12.75" customHeight="1" outlineLevel="1" x14ac:dyDescent="0.4">
      <c r="B650" s="20"/>
      <c r="C650" s="300" t="s">
        <v>204</v>
      </c>
      <c r="D650" s="21"/>
      <c r="E650" s="21"/>
      <c r="F650" s="21"/>
      <c r="G650" s="21"/>
      <c r="H650" s="21"/>
      <c r="I650" s="21"/>
      <c r="J650" s="21"/>
      <c r="K650" s="21"/>
      <c r="L650" s="35"/>
    </row>
    <row r="651" spans="2:12" s="4" customFormat="1" ht="6.75" customHeight="1" outlineLevel="1" x14ac:dyDescent="0.4">
      <c r="B651" s="28"/>
      <c r="C651" s="298"/>
      <c r="D651" s="29"/>
      <c r="E651" s="29"/>
      <c r="F651" s="29"/>
      <c r="G651" s="29"/>
      <c r="H651" s="29"/>
      <c r="I651" s="29"/>
      <c r="J651" s="29"/>
      <c r="K651" s="29"/>
      <c r="L651" s="60"/>
    </row>
    <row r="652" spans="2:12" s="4" customFormat="1" x14ac:dyDescent="0.4"/>
    <row r="653" spans="2:12" s="4" customFormat="1" hidden="1" x14ac:dyDescent="0.4"/>
    <row r="654" spans="2:12" s="4" customFormat="1" hidden="1" x14ac:dyDescent="0.4"/>
    <row r="655" spans="2:12" s="4" customFormat="1" hidden="1" x14ac:dyDescent="0.4"/>
    <row r="656" spans="2:12" s="4" customFormat="1" hidden="1" x14ac:dyDescent="0.4"/>
    <row r="657" spans="1:14" s="4" customFormat="1" hidden="1" x14ac:dyDescent="0.4"/>
    <row r="658" spans="1:14" s="4" customFormat="1" ht="19.2" x14ac:dyDescent="0.45">
      <c r="B658" s="754" t="str">
        <f>"Feedstock Conversion"&amp;" - "&amp;Feedstocks!C27</f>
        <v xml:space="preserve">Feedstock Conversion - </v>
      </c>
      <c r="C658" s="755"/>
      <c r="D658" s="755"/>
      <c r="E658" s="755"/>
      <c r="F658" s="755"/>
      <c r="G658" s="755"/>
      <c r="H658" s="755"/>
      <c r="I658" s="755"/>
      <c r="J658" s="755"/>
      <c r="K658" s="755"/>
      <c r="L658" s="756"/>
    </row>
    <row r="659" spans="1:14" s="4" customFormat="1" outlineLevel="1" x14ac:dyDescent="0.4">
      <c r="B659" s="17"/>
      <c r="C659" s="19"/>
      <c r="D659" s="19"/>
      <c r="E659" s="19"/>
      <c r="F659" s="19"/>
      <c r="G659" s="19"/>
      <c r="H659" s="19"/>
      <c r="I659" s="19"/>
      <c r="J659" s="19"/>
      <c r="K659" s="19"/>
      <c r="L659" s="50"/>
    </row>
    <row r="660" spans="1:14" s="4" customFormat="1" outlineLevel="1" x14ac:dyDescent="0.4">
      <c r="B660" s="20"/>
      <c r="C660" s="21"/>
      <c r="D660" s="21"/>
      <c r="E660" s="21"/>
      <c r="F660" s="21"/>
      <c r="G660" s="1"/>
      <c r="H660" s="69" t="s">
        <v>122</v>
      </c>
      <c r="I660" s="47"/>
      <c r="J660" s="47"/>
      <c r="K660" s="45"/>
      <c r="L660" s="35"/>
    </row>
    <row r="661" spans="1:14" s="4" customFormat="1" outlineLevel="1" x14ac:dyDescent="0.4">
      <c r="B661" s="20"/>
      <c r="C661" s="21"/>
      <c r="D661" s="21"/>
      <c r="E661" s="21"/>
      <c r="F661" s="21"/>
      <c r="G661" s="76"/>
      <c r="H661" s="41"/>
      <c r="I661" s="36"/>
      <c r="J661" s="164" t="s">
        <v>124</v>
      </c>
      <c r="K661" s="37"/>
      <c r="L661" s="35"/>
    </row>
    <row r="662" spans="1:14" s="4" customFormat="1" outlineLevel="1" x14ac:dyDescent="0.4">
      <c r="B662" s="20"/>
      <c r="C662" s="21"/>
      <c r="D662" s="21"/>
      <c r="E662" s="21"/>
      <c r="F662" s="21"/>
      <c r="G662" s="21"/>
      <c r="H662" s="41"/>
      <c r="I662" s="164" t="s">
        <v>125</v>
      </c>
      <c r="J662" s="52" t="str">
        <f>IFERROR((J666/('Transport 2'!F669*('Digestion &amp; outputs'!$G$30/1000)))*'Digestion &amp; outputs'!$K$23,"")</f>
        <v/>
      </c>
      <c r="K662" s="37"/>
      <c r="L662" s="35"/>
    </row>
    <row r="663" spans="1:14" s="4" customFormat="1" ht="16.5" customHeight="1" outlineLevel="1" x14ac:dyDescent="0.4">
      <c r="B663" s="20"/>
      <c r="C663" s="759" t="s">
        <v>183</v>
      </c>
      <c r="D663" s="759"/>
      <c r="E663" s="134" t="s">
        <v>178</v>
      </c>
      <c r="F663" s="21"/>
      <c r="G663" s="21"/>
      <c r="H663" s="41"/>
      <c r="I663" s="36"/>
      <c r="J663" s="36"/>
      <c r="K663" s="37"/>
      <c r="L663" s="35"/>
    </row>
    <row r="664" spans="1:14" s="4" customFormat="1" outlineLevel="1" x14ac:dyDescent="0.4">
      <c r="B664" s="20"/>
      <c r="C664" s="763" t="s">
        <v>184</v>
      </c>
      <c r="D664" s="764"/>
      <c r="E664" s="134" t="s">
        <v>96</v>
      </c>
      <c r="F664" s="21"/>
      <c r="G664" s="21"/>
      <c r="H664" s="41"/>
      <c r="I664" s="36"/>
      <c r="J664" s="36"/>
      <c r="K664" s="37"/>
      <c r="L664" s="35"/>
    </row>
    <row r="665" spans="1:14" s="4" customFormat="1" outlineLevel="1" x14ac:dyDescent="0.4">
      <c r="B665" s="20"/>
      <c r="C665" s="21"/>
      <c r="D665" s="21"/>
      <c r="E665" s="21"/>
      <c r="F665" s="21"/>
      <c r="G665" s="21"/>
      <c r="H665" s="43"/>
      <c r="I665" s="34"/>
      <c r="J665" s="164" t="s">
        <v>141</v>
      </c>
      <c r="K665" s="44"/>
      <c r="L665" s="35"/>
    </row>
    <row r="666" spans="1:14" s="4" customFormat="1" outlineLevel="1" x14ac:dyDescent="0.4">
      <c r="A666" s="765"/>
      <c r="B666" s="51"/>
      <c r="C666" s="164" t="s">
        <v>185</v>
      </c>
      <c r="D666" s="70">
        <f>IFERROR(Feedstocks!D27/'Transport 2'!F669,"Insert data")</f>
        <v>0</v>
      </c>
      <c r="E666" s="21"/>
      <c r="F666" s="21"/>
      <c r="G666" s="21"/>
      <c r="H666" s="43"/>
      <c r="I666" s="164" t="s">
        <v>167</v>
      </c>
      <c r="J666" s="52">
        <f>IFERROR(IF(AND(E663="YES",ISBLANK(F667)),"Insert yield",SUM(J682:J689,J675:J678,J671)*IF(E692="Yes",J695,1)),"Insert data")</f>
        <v>0</v>
      </c>
      <c r="K666" s="44"/>
      <c r="L666" s="35"/>
    </row>
    <row r="667" spans="1:14" s="4" customFormat="1" outlineLevel="1" x14ac:dyDescent="0.4">
      <c r="A667" s="765"/>
      <c r="B667" s="51"/>
      <c r="C667" s="164" t="s">
        <v>186</v>
      </c>
      <c r="D667" s="680">
        <v>0.9</v>
      </c>
      <c r="E667" s="134"/>
      <c r="F667" s="623">
        <f>IF(E663="No", 1, IF(E664="Default",D667, IF(E664="Actual", IF(E667&gt;0, E667, "insert data"), "error")))</f>
        <v>1</v>
      </c>
      <c r="G667" s="21"/>
      <c r="H667" s="49"/>
      <c r="I667" s="65"/>
      <c r="J667" s="65"/>
      <c r="K667" s="66"/>
      <c r="L667" s="35"/>
    </row>
    <row r="668" spans="1:14" s="4" customFormat="1" outlineLevel="1" x14ac:dyDescent="0.4">
      <c r="A668" s="765"/>
      <c r="B668" s="51"/>
      <c r="C668" s="21"/>
      <c r="D668" s="21"/>
      <c r="E668" s="21"/>
      <c r="F668" s="21"/>
      <c r="G668" s="21"/>
      <c r="H668" s="29"/>
      <c r="I668" s="29"/>
      <c r="J668" s="29"/>
      <c r="K668" s="29"/>
      <c r="L668" s="35"/>
    </row>
    <row r="669" spans="1:14" s="4" customFormat="1" outlineLevel="1" x14ac:dyDescent="0.4">
      <c r="A669" s="765"/>
      <c r="B669" s="51"/>
      <c r="C669" s="25" t="s">
        <v>187</v>
      </c>
      <c r="D669" s="1"/>
      <c r="E669" s="1"/>
      <c r="F669" s="21"/>
      <c r="G669" s="1"/>
      <c r="H669" s="69" t="s">
        <v>136</v>
      </c>
      <c r="I669" s="79"/>
      <c r="J669" s="79"/>
      <c r="K669" s="61"/>
      <c r="L669" s="54"/>
      <c r="M669" s="12"/>
      <c r="N669" s="12"/>
    </row>
    <row r="670" spans="1:14" s="4" customFormat="1" outlineLevel="1" x14ac:dyDescent="0.4">
      <c r="A670" s="765"/>
      <c r="B670" s="51"/>
      <c r="C670" s="166" t="s">
        <v>188</v>
      </c>
      <c r="D670" s="164" t="s">
        <v>151</v>
      </c>
      <c r="E670" s="164" t="s">
        <v>140</v>
      </c>
      <c r="F670" s="21"/>
      <c r="G670" s="1"/>
      <c r="H670" s="43"/>
      <c r="I670" s="34"/>
      <c r="J670" s="164" t="s">
        <v>141</v>
      </c>
      <c r="K670" s="44"/>
      <c r="L670" s="54"/>
    </row>
    <row r="671" spans="1:14" s="4" customFormat="1" outlineLevel="1" x14ac:dyDescent="0.4">
      <c r="A671" s="765"/>
      <c r="B671" s="51"/>
      <c r="C671" s="145"/>
      <c r="D671" s="141"/>
      <c r="E671" s="144"/>
      <c r="F671" s="21"/>
      <c r="G671" s="1"/>
      <c r="H671" s="43"/>
      <c r="I671" s="164" t="s">
        <v>189</v>
      </c>
      <c r="J671" s="31">
        <f>IFERROR(IF(E663="No",0,IF(D671="MWh",(E671*'Reference values'!$D$47*INDEX(Electricity_Emission_Factors,MATCH(C671,Electricity_Source,0)))/(D666*1000),IF(D671="kWh",(E671*'Reference values'!$D$47*INDEX(Electricity_Emission_Factors,MATCH(C671,Electricity_Source,0))/1000)/(D666*1000),IF(D671="MWh/tonne(output)",(E671*'Reference values'!$D$47*INDEX(Electricity_Emission_Factors,MATCH(C671,Electricity_Source,0)))/1000,IF(D671="kWh/tonne(output)",(E671*'Reference values'!$D$47*INDEX(Electricity_Emission_Factors,MATCH(C671,Electricity_Source,0))/1000)/1000,""))))),"")</f>
        <v>0</v>
      </c>
      <c r="K671" s="44"/>
      <c r="L671" s="54"/>
    </row>
    <row r="672" spans="1:14" s="4" customFormat="1" outlineLevel="1" x14ac:dyDescent="0.4">
      <c r="A672" s="765"/>
      <c r="B672" s="51"/>
      <c r="C672" s="1"/>
      <c r="D672" s="1"/>
      <c r="E672" s="1"/>
      <c r="F672" s="21"/>
      <c r="G672" s="1"/>
      <c r="H672" s="43"/>
      <c r="I672" s="34"/>
      <c r="J672" s="34"/>
      <c r="K672" s="44"/>
      <c r="L672" s="54"/>
    </row>
    <row r="673" spans="1:12" s="4" customFormat="1" outlineLevel="1" x14ac:dyDescent="0.4">
      <c r="A673" s="765"/>
      <c r="B673" s="51"/>
      <c r="C673" s="25" t="s">
        <v>190</v>
      </c>
      <c r="D673" s="1"/>
      <c r="E673" s="1"/>
      <c r="F673" s="21"/>
      <c r="G673" s="1"/>
      <c r="H673" s="43"/>
      <c r="I673" s="34"/>
      <c r="J673" s="34"/>
      <c r="K673" s="44"/>
      <c r="L673" s="54"/>
    </row>
    <row r="674" spans="1:12" s="4" customFormat="1" outlineLevel="1" x14ac:dyDescent="0.4">
      <c r="A674" s="765"/>
      <c r="B674" s="51"/>
      <c r="C674" s="164" t="s">
        <v>160</v>
      </c>
      <c r="D674" s="164" t="s">
        <v>151</v>
      </c>
      <c r="E674" s="164" t="s">
        <v>140</v>
      </c>
      <c r="F674" s="21"/>
      <c r="G674" s="1"/>
      <c r="H674" s="43"/>
      <c r="I674" s="164" t="s">
        <v>160</v>
      </c>
      <c r="J674" s="182" t="s">
        <v>141</v>
      </c>
      <c r="K674" s="44"/>
      <c r="L674" s="54"/>
    </row>
    <row r="675" spans="1:12" s="4" customFormat="1" outlineLevel="1" x14ac:dyDescent="0.4">
      <c r="A675" s="765"/>
      <c r="B675" s="51"/>
      <c r="C675" s="27" t="str">
        <f>IF(E664="Default", "Diesel", "")</f>
        <v>Diesel</v>
      </c>
      <c r="D675" s="74" t="str">
        <f>IF(E664="Default", "kWh/tonne(output)", "")</f>
        <v>kWh/tonne(output)</v>
      </c>
      <c r="E675" s="74">
        <f>IF(E664="Default", 3.881, "")</f>
        <v>3.8809999999999998</v>
      </c>
      <c r="F675" s="21"/>
      <c r="G675" s="1"/>
      <c r="H675" s="43"/>
      <c r="I675" s="27" t="str">
        <f>IF(C675&gt;0,C675,"")</f>
        <v>Diesel</v>
      </c>
      <c r="J675" s="31">
        <f>IF(E664="Actual","",IFERROR(IF(C675&gt;0,IF(ISBLANK(E675),"Insert data",IF(E663="No",0,(IF(D675="litres",(E675*(INDEX(Fuel_Densities,MATCH(C675,Fuels_for_Densities,0))/1000)*INDEX(Fuel_LHV,MATCH(C675,Fuels_for_LHV,0))*INDEX(Fuel_EFs,MATCH(C675,Fuels_for_EF,0)))/(D666*1000),(IF(D675="m3",(E675*(INDEX(Fuel_Densities,MATCH(C675,Fuels_for_Densities,0)))*INDEX(Fuel_LHV,MATCH(C675,Fuels_for_LHV,0))*INDEX(Fuel_EFs,MATCH(C675,Fuels_for_EF,0)))/(D666*1000),IF(D675="kg",(E675*INDEX(Fuel_LHV,MATCH(C675,Fuels_for_LHV,0))*INDEX(Fuel_EFs,MATCH(C675,Fuels_for_EF,0)))/(D666*1000),IF(D675="tonnes",(E675*INDEX(Fuel_LHV,MATCH(C675,Fuels_for_LHV,0))*1000*INDEX(Fuel_EFs,MATCH(C675,Fuels_for_EF,0)))/(D666*1000),IF(D675="MWh",(E675*'Reference values'!$D$47*INDEX(Fuel_EFs,MATCH(C675,Fuels_for_EF,0)))/(D666*1000),IF(D675="kWh",(E675*'Reference values'!$D$47*INDEX(Fuel_EFs,MATCH(C675,Fuels_for_EF,0))/1000)/(D666*1000),(IF(D675="litres/tonne(output)",(E675*(INDEX(Fuel_Densities,MATCH(C675,Fuels_for_Densities,0))/1000)*INDEX(Fuel_LHV,MATCH(C675,Fuels_for_LHV,0))*INDEX(Fuel_EFs,MATCH(C675,Fuels_for_EF,0)))/1000,(IF(D675="m3/tonne(output)",(E675*(INDEX(Fuel_Densities,MATCH(C675,Fuels_for_Densities,0)))*INDEX(Fuel_LHV,MATCH(C675,Fuels_for_LHV,0))*INDEX(Fuel_EFs,MATCH(C675,Fuels_for_EF,0)))/1000,IF(D675="kg/tonne(output)",(E675*INDEX(Fuel_LHV,MATCH(C675,Fuels_for_LHV,0))*INDEX(Fuel_EFs,MATCH(C675,Fuels_for_EF,0)))/1000,IF(D675="tonnes/tonne(output)",(E675*INDEX(Fuel_LHV,MATCH(C675,Fuels_for_LHV,0))*1000*INDEX(Fuel_EFs,MATCH(C675,Fuels_for_EF,0)))/1000,IF(D675="MWh/tonne(output)",(E675*'Reference values'!$D$47*INDEX(Fuel_EFs,MATCH(C675,Fuels_for_EF,0)))/1000,IF(D675="kWh/tonne(output)",(E675*'Reference values'!$D$47*INDEX(Fuel_EFs,MATCH(C675,Fuels_for_EF,0))/1000)/1000,"Insert unit")))))))))))))))))),""),"Insert data"))</f>
        <v>0</v>
      </c>
      <c r="K675" s="44"/>
      <c r="L675" s="54"/>
    </row>
    <row r="676" spans="1:12" s="4" customFormat="1" outlineLevel="1" x14ac:dyDescent="0.4">
      <c r="A676" s="765"/>
      <c r="B676" s="51"/>
      <c r="C676" s="134"/>
      <c r="D676" s="141"/>
      <c r="E676" s="144"/>
      <c r="F676" s="21"/>
      <c r="G676" s="1"/>
      <c r="H676" s="43"/>
      <c r="I676" s="27" t="str">
        <f>IF(C676&gt;0,C676,"")</f>
        <v/>
      </c>
      <c r="J676" s="31" t="str">
        <f>IFERROR(IF(C676&gt;0,IF(ISBLANK(E676),"Insert data",IF(E663="No",0,(IF(D676="litres",(E676*(INDEX(Fuel_Densities,MATCH(C676,Fuels_for_Densities,0))/1000)*INDEX(Fuel_LHV,MATCH(C676,Fuels_for_LHV,0))*INDEX(Fuel_EFs,MATCH(C676,Fuels_for_EF,0)))/(D666*1000),(IF(D676="m3",(E676*(INDEX(Fuel_Densities,MATCH(C676,Fuels_for_Densities,0)))*INDEX(Fuel_LHV,MATCH(C676,Fuels_for_LHV,0))*INDEX(Fuel_EFs,MATCH(C676,Fuels_for_EF,0)))/(D666*1000),IF(D676="kg",(E676*INDEX(Fuel_LHV,MATCH(C676,Fuels_for_LHV,0))*INDEX(Fuel_EFs,MATCH(C676,Fuels_for_EF,0)))/(D666*1000),IF(D676="tonnes",(E676*INDEX(Fuel_LHV,MATCH(C676,Fuels_for_LHV,0))*1000*INDEX(Fuel_EFs,MATCH(C676,Fuels_for_EF,0)))/(D666*1000),IF(D676="MWh",(E676*'Reference values'!$D$47*INDEX(Fuel_EFs,MATCH(C676,Fuels_for_EF,0)))/(D666*1000),IF(D676="kWh",(E676*'Reference values'!$D$47*INDEX(Fuel_EFs,MATCH(C676,Fuels_for_EF,0))/1000)/(D666*1000),(IF(D676="litres/tonne(output)",(E676*(INDEX(Fuel_Densities,MATCH(C676,Fuels_for_Densities,0))/1000)*INDEX(Fuel_LHV,MATCH(C676,Fuels_for_LHV,0))*INDEX(Fuel_EFs,MATCH(C676,Fuels_for_EF,0)))/1000,(IF(D676="m3/tonne(output)",(E676*(INDEX(Fuel_Densities,MATCH(C676,Fuels_for_Densities,0)))*INDEX(Fuel_LHV,MATCH(C676,Fuels_for_LHV,0))*INDEX(Fuel_EFs,MATCH(C676,Fuels_for_EF,0)))/1000,IF(D676="kg/tonne(output)",(E676*INDEX(Fuel_LHV,MATCH(C676,Fuels_for_LHV,0))*INDEX(Fuel_EFs,MATCH(C676,Fuels_for_EF,0)))/1000,IF(D676="tonnes/tonne(output)",(E676*INDEX(Fuel_LHV,MATCH(C676,Fuels_for_LHV,0))*1000*INDEX(Fuel_EFs,MATCH(C676,Fuels_for_EF,0)))/1000,IF(D676="MWh/tonne(output)",(E676*'Reference values'!$D$47*INDEX(Fuel_EFs,MATCH(C676,Fuels_for_EF,0)))/1000,IF(D676="kWh/tonne(output)",(E676*'Reference values'!$D$47*INDEX(Fuel_EFs,MATCH(C676,Fuels_for_EF,0))/1000)/1000,"Insert unit")))))))))))))))))),""),"Insert data")</f>
        <v/>
      </c>
      <c r="K676" s="44"/>
      <c r="L676" s="54"/>
    </row>
    <row r="677" spans="1:12" s="4" customFormat="1" outlineLevel="1" x14ac:dyDescent="0.4">
      <c r="A677" s="765"/>
      <c r="B677" s="51"/>
      <c r="C677" s="134"/>
      <c r="D677" s="141"/>
      <c r="E677" s="144"/>
      <c r="F677" s="21"/>
      <c r="G677" s="1"/>
      <c r="H677" s="43"/>
      <c r="I677" s="27" t="str">
        <f>IF(C677&gt;0,C677,"")</f>
        <v/>
      </c>
      <c r="J677" s="31" t="str">
        <f>IFERROR(IF(C677&gt;0,IF(ISBLANK(E677),"Insert data",IF(E663="No",0,(IF(D677="litres",(E677*(INDEX(Fuel_Densities,MATCH(C677,Fuels_for_Densities,0))/1000)*INDEX(Fuel_LHV,MATCH(C677,Fuels_for_LHV,0))*INDEX(Fuel_EFs,MATCH(C677,Fuels_for_EF,0)))/(D666*1000),(IF(D677="m3",(E677*(INDEX(Fuel_Densities,MATCH(C677,Fuels_for_Densities,0)))*INDEX(Fuel_LHV,MATCH(C677,Fuels_for_LHV,0))*INDEX(Fuel_EFs,MATCH(C677,Fuels_for_EF,0)))/(D666*1000),IF(D677="kg",(E677*INDEX(Fuel_LHV,MATCH(C677,Fuels_for_LHV,0))*INDEX(Fuel_EFs,MATCH(C677,Fuels_for_EF,0)))/(D666*1000),IF(D677="tonnes",(E677*INDEX(Fuel_LHV,MATCH(C677,Fuels_for_LHV,0))*1000*INDEX(Fuel_EFs,MATCH(C677,Fuels_for_EF,0)))/(D666*1000),IF(D677="MWh",(E677*'Reference values'!$D$47*INDEX(Fuel_EFs,MATCH(C677,Fuels_for_EF,0)))/(D666*1000),IF(D677="kWh",(E677*'Reference values'!$D$47*INDEX(Fuel_EFs,MATCH(C677,Fuels_for_EF,0))/1000)/(D666*1000),(IF(D677="litres/tonne(output)",(E677*(INDEX(Fuel_Densities,MATCH(C677,Fuels_for_Densities,0))/1000)*INDEX(Fuel_LHV,MATCH(C677,Fuels_for_LHV,0))*INDEX(Fuel_EFs,MATCH(C677,Fuels_for_EF,0)))/1000,(IF(D677="m3/tonne(output)",(E677*(INDEX(Fuel_Densities,MATCH(C677,Fuels_for_Densities,0)))*INDEX(Fuel_LHV,MATCH(C677,Fuels_for_LHV,0))*INDEX(Fuel_EFs,MATCH(C677,Fuels_for_EF,0)))/1000,IF(D677="kg/tonne(output)",(E677*INDEX(Fuel_LHV,MATCH(C677,Fuels_for_LHV,0))*INDEX(Fuel_EFs,MATCH(C677,Fuels_for_EF,0)))/1000,IF(D677="tonnes/tonne(output)",(E677*INDEX(Fuel_LHV,MATCH(C677,Fuels_for_LHV,0))*1000*INDEX(Fuel_EFs,MATCH(C677,Fuels_for_EF,0)))/1000,IF(D677="MWh/tonne(output)",(E677*'Reference values'!$D$47*INDEX(Fuel_EFs,MATCH(C677,Fuels_for_EF,0)))/1000,IF(D677="kWh/tonne(output)",(E677*'Reference values'!$D$47*INDEX(Fuel_EFs,MATCH(C677,Fuels_for_EF,0))/1000)/1000,"Insert unit")))))))))))))))))),""),"Insert data")</f>
        <v/>
      </c>
      <c r="K677" s="44"/>
      <c r="L677" s="54"/>
    </row>
    <row r="678" spans="1:12" s="4" customFormat="1" outlineLevel="1" x14ac:dyDescent="0.4">
      <c r="A678" s="765"/>
      <c r="B678" s="51"/>
      <c r="C678" s="134"/>
      <c r="D678" s="141"/>
      <c r="E678" s="144"/>
      <c r="F678" s="21"/>
      <c r="G678" s="1"/>
      <c r="H678" s="43"/>
      <c r="I678" s="27" t="str">
        <f>IF(C678&gt;0,C678,"")</f>
        <v/>
      </c>
      <c r="J678" s="31" t="str">
        <f>IFERROR(IF(C678&gt;0,IF(ISBLANK(E678),"Insert data",IF(E663="No",0,(IF(D678="litres",(E678*(INDEX(Fuel_Densities,MATCH(C678,Fuels_for_Densities,0))/1000)*INDEX(Fuel_LHV,MATCH(C678,Fuels_for_LHV,0))*INDEX(Fuel_EFs,MATCH(C678,Fuels_for_EF,0)))/(D666*1000),(IF(D678="m3",(E678*(INDEX(Fuel_Densities,MATCH(C678,Fuels_for_Densities,0)))*INDEX(Fuel_LHV,MATCH(C678,Fuels_for_LHV,0))*INDEX(Fuel_EFs,MATCH(C678,Fuels_for_EF,0)))/(D666*1000),IF(D678="kg",(E678*INDEX(Fuel_LHV,MATCH(C678,Fuels_for_LHV,0))*INDEX(Fuel_EFs,MATCH(C678,Fuels_for_EF,0)))/(D666*1000),IF(D678="tonnes",(E678*INDEX(Fuel_LHV,MATCH(C678,Fuels_for_LHV,0))*1000*INDEX(Fuel_EFs,MATCH(C678,Fuels_for_EF,0)))/(D666*1000),IF(D678="MWh",(E678*'Reference values'!$D$47*INDEX(Fuel_EFs,MATCH(C678,Fuels_for_EF,0)))/(D666*1000),IF(D678="kWh",(E678*'Reference values'!$D$47*INDEX(Fuel_EFs,MATCH(C678,Fuels_for_EF,0))/1000)/(D666*1000),(IF(D678="litres/tonne(output)",(E678*(INDEX(Fuel_Densities,MATCH(C678,Fuels_for_Densities,0))/1000)*INDEX(Fuel_LHV,MATCH(C678,Fuels_for_LHV,0))*INDEX(Fuel_EFs,MATCH(C678,Fuels_for_EF,0)))/1000,(IF(D678="m3/tonne(output)",(E678*(INDEX(Fuel_Densities,MATCH(C678,Fuels_for_Densities,0)))*INDEX(Fuel_LHV,MATCH(C678,Fuels_for_LHV,0))*INDEX(Fuel_EFs,MATCH(C678,Fuels_for_EF,0)))/1000,IF(D678="kg/tonne(output)",(E678*INDEX(Fuel_LHV,MATCH(C678,Fuels_for_LHV,0))*INDEX(Fuel_EFs,MATCH(C678,Fuels_for_EF,0)))/1000,IF(D678="tonnes/tonne(output)",(E678*INDEX(Fuel_LHV,MATCH(C678,Fuels_for_LHV,0))*1000*INDEX(Fuel_EFs,MATCH(C678,Fuels_for_EF,0)))/1000,IF(D678="MWh/tonne(output)",(E678*'Reference values'!$D$47*INDEX(Fuel_EFs,MATCH(C678,Fuels_for_EF,0)))/1000,IF(D678="kWh/tonne(output)",(E678*'Reference values'!$D$47*INDEX(Fuel_EFs,MATCH(C678,Fuels_for_EF,0))/1000)/1000,"Insert unit")))))))))))))))))),""),"Insert data")</f>
        <v/>
      </c>
      <c r="K678" s="44"/>
      <c r="L678" s="54"/>
    </row>
    <row r="679" spans="1:12" s="4" customFormat="1" outlineLevel="1" x14ac:dyDescent="0.4">
      <c r="A679" s="765"/>
      <c r="B679" s="51"/>
      <c r="C679" s="1"/>
      <c r="D679" s="1"/>
      <c r="E679" s="1"/>
      <c r="F679" s="21"/>
      <c r="G679" s="53"/>
      <c r="H679" s="56"/>
      <c r="I679" s="57"/>
      <c r="J679" s="34"/>
      <c r="K679" s="44"/>
      <c r="L679" s="54"/>
    </row>
    <row r="680" spans="1:12" s="4" customFormat="1" outlineLevel="1" x14ac:dyDescent="0.4">
      <c r="A680" s="765"/>
      <c r="B680" s="51"/>
      <c r="C680" s="25" t="s">
        <v>191</v>
      </c>
      <c r="D680" s="1"/>
      <c r="E680" s="1"/>
      <c r="F680" s="21"/>
      <c r="G680" s="53"/>
      <c r="H680" s="56"/>
      <c r="I680" s="34"/>
      <c r="J680" s="34"/>
      <c r="K680" s="44"/>
      <c r="L680" s="54"/>
    </row>
    <row r="681" spans="1:12" s="4" customFormat="1" outlineLevel="1" x14ac:dyDescent="0.4">
      <c r="A681" s="765"/>
      <c r="B681" s="51"/>
      <c r="C681" s="164" t="s">
        <v>192</v>
      </c>
      <c r="D681" s="164" t="s">
        <v>151</v>
      </c>
      <c r="E681" s="164" t="s">
        <v>140</v>
      </c>
      <c r="F681" s="21"/>
      <c r="G681" s="1"/>
      <c r="H681" s="43"/>
      <c r="I681" s="164" t="s">
        <v>192</v>
      </c>
      <c r="J681" s="182" t="s">
        <v>141</v>
      </c>
      <c r="K681" s="44"/>
      <c r="L681" s="54"/>
    </row>
    <row r="682" spans="1:12" s="4" customFormat="1" outlineLevel="1" x14ac:dyDescent="0.4">
      <c r="A682" s="765"/>
      <c r="B682" s="51"/>
      <c r="C682" s="134"/>
      <c r="D682" s="141"/>
      <c r="E682" s="144"/>
      <c r="F682" s="21"/>
      <c r="G682" s="1"/>
      <c r="H682" s="43"/>
      <c r="I682" s="27" t="str">
        <f t="shared" ref="I682:I689" si="13">IF(C682&gt;0,C682,"")</f>
        <v/>
      </c>
      <c r="J682" s="31" t="str">
        <f>IFERROR(IF(C682&gt;0,IF(ISBLANK(E682),"Insert data",IF(E663="No",0,IF(D682="kg",E682*INDEX(Chemical_Emission_Factors,MATCH(C682,Chemicals,0))/(D666*1000),IF(D682="tonnes",E682*INDEX(Chemical_Emission_Factors,MATCH(C682,Chemicals,0))*1000/(D666*1000),IF(D682="kg/tonne(output)",E682*INDEX(Chemical_Emission_Factors,MATCH(C682,Chemicals,0))/1000,IF(D682="tonnes/tonne(output)",E682*INDEX(Chemical_Emission_Factors,MATCH(C682,Chemicals,0))*1000/1000,"Insert unit")))))),""),"Insert data")</f>
        <v/>
      </c>
      <c r="K682" s="44"/>
      <c r="L682" s="54"/>
    </row>
    <row r="683" spans="1:12" s="4" customFormat="1" outlineLevel="1" x14ac:dyDescent="0.4">
      <c r="A683" s="765"/>
      <c r="B683" s="51"/>
      <c r="C683" s="134"/>
      <c r="D683" s="141"/>
      <c r="E683" s="144"/>
      <c r="F683" s="21"/>
      <c r="G683" s="1"/>
      <c r="H683" s="43"/>
      <c r="I683" s="27" t="str">
        <f t="shared" si="13"/>
        <v/>
      </c>
      <c r="J683" s="31" t="str">
        <f>IFERROR(IF(C683&gt;0,IF(ISBLANK(E683),"Insert data",IF(E663="No",0,IF(D683="kg",E683*INDEX(Chemical_Emission_Factors,MATCH(C683,Chemicals,0))/(D666*1000),IF(D683="tonnes",E683*INDEX(Chemical_Emission_Factors,MATCH(C683,Chemicals,0))*1000/(D666*1000),IF(D683="kg/tonne(output)",E683*INDEX(Chemical_Emission_Factors,MATCH(C683,Chemicals,0))/1000,IF(D683="tonnes/tonne(output)",E683*INDEX(Chemical_Emission_Factors,MATCH(C683,Chemicals,0))*1000/1000,"Insert unit")))))),""),"Insert data")</f>
        <v/>
      </c>
      <c r="K683" s="44"/>
      <c r="L683" s="54"/>
    </row>
    <row r="684" spans="1:12" s="4" customFormat="1" outlineLevel="1" x14ac:dyDescent="0.4">
      <c r="A684" s="765"/>
      <c r="B684" s="51"/>
      <c r="C684" s="134"/>
      <c r="D684" s="141"/>
      <c r="E684" s="144"/>
      <c r="F684" s="21"/>
      <c r="G684" s="1"/>
      <c r="H684" s="43"/>
      <c r="I684" s="27" t="str">
        <f t="shared" si="13"/>
        <v/>
      </c>
      <c r="J684" s="31" t="str">
        <f>IFERROR(IF(C684&gt;0,IF(ISBLANK(E684),"Insert data",IF(E663="No",0,IF(D684="kg",E684*INDEX(Chemical_Emission_Factors,MATCH(C684,Chemicals,0))/(D666*1000),IF(D684="tonnes",E684*INDEX(Chemical_Emission_Factors,MATCH(C684,Chemicals,0))*1000/(D666*1000),IF(D684="kg/tonne(output)",E684*INDEX(Chemical_Emission_Factors,MATCH(C684,Chemicals,0))/1000,IF(D684="tonnes/tonne(output)",E684*INDEX(Chemical_Emission_Factors,MATCH(C684,Chemicals,0))*1000/1000,"Insert unit")))))),""),"Insert data")</f>
        <v/>
      </c>
      <c r="K684" s="44"/>
      <c r="L684" s="54"/>
    </row>
    <row r="685" spans="1:12" s="4" customFormat="1" outlineLevel="1" x14ac:dyDescent="0.4">
      <c r="A685" s="765"/>
      <c r="B685" s="51"/>
      <c r="C685" s="134"/>
      <c r="D685" s="141"/>
      <c r="E685" s="144"/>
      <c r="F685" s="21"/>
      <c r="G685" s="1"/>
      <c r="H685" s="43"/>
      <c r="I685" s="27" t="str">
        <f t="shared" si="13"/>
        <v/>
      </c>
      <c r="J685" s="31" t="str">
        <f>IFERROR(IF(C685&gt;0,IF(ISBLANK(E685),"Insert data",IF(E663="No",0,IF(D685="kg",E685*INDEX(Chemical_Emission_Factors,MATCH(C685,Chemicals,0))/(D666*1000),IF(D685="tonnes",E685*INDEX(Chemical_Emission_Factors,MATCH(C685,Chemicals,0))*1000/(D666*1000),IF(D685="kg/tonne(output)",E685*INDEX(Chemical_Emission_Factors,MATCH(C685,Chemicals,0))/1000,IF(D685="tonnes/tonne(output)",E685*INDEX(Chemical_Emission_Factors,MATCH(C685,Chemicals,0))*1000/1000,"Insert unit")))))),""),"Insert data")</f>
        <v/>
      </c>
      <c r="K685" s="44"/>
      <c r="L685" s="54"/>
    </row>
    <row r="686" spans="1:12" s="4" customFormat="1" outlineLevel="1" x14ac:dyDescent="0.4">
      <c r="A686" s="765"/>
      <c r="B686" s="51"/>
      <c r="C686" s="134"/>
      <c r="D686" s="141"/>
      <c r="E686" s="144"/>
      <c r="F686" s="21"/>
      <c r="G686" s="1"/>
      <c r="H686" s="43"/>
      <c r="I686" s="27" t="str">
        <f t="shared" si="13"/>
        <v/>
      </c>
      <c r="J686" s="31" t="str">
        <f>IFERROR(IF(C686&gt;0,IF(ISBLANK(E686),"Insert data",IF(E663="No",0,IF(D686="kg",E686*INDEX(Chemical_Emission_Factors,MATCH(C686,Chemicals,0))/(D666*1000),IF(D686="tonnes",E686*INDEX(Chemical_Emission_Factors,MATCH(C686,Chemicals,0))*1000/(D666*1000),IF(D686="kg/tonne(output)",E686*INDEX(Chemical_Emission_Factors,MATCH(C686,Chemicals,0))/1000,IF(D686="tonnes/tonne(output)",E686*INDEX(Chemical_Emission_Factors,MATCH(C686,Chemicals,0))*1000/1000,"Insert unit")))))),""),"Insert data")</f>
        <v/>
      </c>
      <c r="K686" s="44"/>
      <c r="L686" s="54"/>
    </row>
    <row r="687" spans="1:12" s="4" customFormat="1" outlineLevel="1" x14ac:dyDescent="0.4">
      <c r="A687" s="765"/>
      <c r="B687" s="51"/>
      <c r="C687" s="134"/>
      <c r="D687" s="141"/>
      <c r="E687" s="144"/>
      <c r="F687" s="21"/>
      <c r="G687" s="1"/>
      <c r="H687" s="43"/>
      <c r="I687" s="27" t="str">
        <f t="shared" si="13"/>
        <v/>
      </c>
      <c r="J687" s="31" t="str">
        <f>IFERROR(IF(C687&gt;0,IF(ISBLANK(E687),"Insert data",IF(E663="No",0,IF(D687="kg",E687*INDEX(Chemical_Emission_Factors,MATCH(C687,Chemicals,0))/(D666*1000),IF(D687="tonnes",E687*INDEX(Chemical_Emission_Factors,MATCH(C687,Chemicals,0))*1000/(D666*1000),IF(D687="kg/tonne(output)",E687*INDEX(Chemical_Emission_Factors,MATCH(C687,Chemicals,0))/1000,IF(D687="tonnes/tonne(output)",E687*INDEX(Chemical_Emission_Factors,MATCH(C687,Chemicals,0))*1000/1000,"Insert unit")))))),""),"Insert data")</f>
        <v/>
      </c>
      <c r="K687" s="44"/>
      <c r="L687" s="54"/>
    </row>
    <row r="688" spans="1:12" s="4" customFormat="1" outlineLevel="1" x14ac:dyDescent="0.4">
      <c r="A688" s="765"/>
      <c r="B688" s="51"/>
      <c r="C688" s="134"/>
      <c r="D688" s="141"/>
      <c r="E688" s="144"/>
      <c r="F688" s="21"/>
      <c r="G688" s="1"/>
      <c r="H688" s="43"/>
      <c r="I688" s="27" t="str">
        <f t="shared" si="13"/>
        <v/>
      </c>
      <c r="J688" s="31" t="str">
        <f>IFERROR(IF(C688&gt;0,IF(ISBLANK(E688),"Insert data",IF(E663="No",0,IF(D688="kg",E688*INDEX(Chemical_Emission_Factors,MATCH(C688,Chemicals,0))/(D666*1000),IF(D688="tonnes",E688*INDEX(Chemical_Emission_Factors,MATCH(C688,Chemicals,0))*1000/(D666*1000),IF(D688="kg/tonne(output)",E688*INDEX(Chemical_Emission_Factors,MATCH(C688,Chemicals,0))/1000,IF(D688="tonnes/tonne(output)",E688*INDEX(Chemical_Emission_Factors,MATCH(C688,Chemicals,0))*1000/1000,"Insert unit")))))),""),"Insert data")</f>
        <v/>
      </c>
      <c r="K688" s="44"/>
      <c r="L688" s="54"/>
    </row>
    <row r="689" spans="1:12" s="4" customFormat="1" outlineLevel="1" x14ac:dyDescent="0.4">
      <c r="A689" s="765"/>
      <c r="B689" s="51"/>
      <c r="C689" s="134"/>
      <c r="D689" s="141"/>
      <c r="E689" s="144"/>
      <c r="F689" s="21"/>
      <c r="G689" s="1"/>
      <c r="H689" s="43"/>
      <c r="I689" s="27" t="str">
        <f t="shared" si="13"/>
        <v/>
      </c>
      <c r="J689" s="31" t="str">
        <f>IFERROR(IF(C689&gt;0,IF(ISBLANK(E689),"Insert data",IF(E663="No",0,IF(D689="kg",E689*INDEX(Chemical_Emission_Factors,MATCH(C689,Chemicals,0))/(D666*1000),IF(D689="tonnes",E689*INDEX(Chemical_Emission_Factors,MATCH(C689,Chemicals,0))*1000/(D666*1000),IF(D689="kg/tonne(output)",E689*INDEX(Chemical_Emission_Factors,MATCH(C689,Chemicals,0))/1000,IF(D689="tonnes/tonne(output)",E689*INDEX(Chemical_Emission_Factors,MATCH(C689,Chemicals,0))*1000/1000,"Insert unit")))))),""),"Insert data")</f>
        <v/>
      </c>
      <c r="K689" s="44"/>
      <c r="L689" s="54"/>
    </row>
    <row r="690" spans="1:12" s="4" customFormat="1" ht="12.75" customHeight="1" outlineLevel="1" x14ac:dyDescent="0.4">
      <c r="B690" s="20"/>
      <c r="C690" s="21"/>
      <c r="D690" s="21"/>
      <c r="E690" s="21"/>
      <c r="F690" s="21"/>
      <c r="G690" s="21"/>
      <c r="H690" s="46"/>
      <c r="I690" s="58"/>
      <c r="J690" s="58"/>
      <c r="K690" s="59"/>
      <c r="L690" s="35"/>
    </row>
    <row r="691" spans="1:12" s="4" customFormat="1" outlineLevel="1" x14ac:dyDescent="0.4">
      <c r="B691" s="20"/>
      <c r="C691" s="243" t="s">
        <v>193</v>
      </c>
      <c r="D691" s="21"/>
      <c r="E691" s="21"/>
      <c r="F691" s="21"/>
      <c r="G691" s="21"/>
      <c r="H691" s="21"/>
      <c r="I691" s="21"/>
      <c r="J691" s="21"/>
      <c r="K691" s="21"/>
      <c r="L691" s="35"/>
    </row>
    <row r="692" spans="1:12" s="4" customFormat="1" outlineLevel="1" x14ac:dyDescent="0.4">
      <c r="B692" s="20"/>
      <c r="C692" s="766" t="s">
        <v>194</v>
      </c>
      <c r="D692" s="767"/>
      <c r="E692" s="299" t="s">
        <v>178</v>
      </c>
      <c r="F692" s="21"/>
      <c r="G692" s="21"/>
      <c r="H692" s="302"/>
      <c r="I692" s="47"/>
      <c r="J692" s="47"/>
      <c r="K692" s="45"/>
      <c r="L692" s="35"/>
    </row>
    <row r="693" spans="1:12" s="4" customFormat="1" ht="6.75" customHeight="1" outlineLevel="1" x14ac:dyDescent="0.4">
      <c r="B693" s="20"/>
      <c r="C693" s="21"/>
      <c r="D693" s="21"/>
      <c r="E693" s="21"/>
      <c r="F693" s="21"/>
      <c r="G693" s="21"/>
      <c r="H693" s="41"/>
      <c r="I693" s="36"/>
      <c r="J693" s="301"/>
      <c r="K693" s="37"/>
      <c r="L693" s="35"/>
    </row>
    <row r="694" spans="1:12" s="4" customFormat="1" outlineLevel="1" x14ac:dyDescent="0.4">
      <c r="B694" s="20"/>
      <c r="C694" s="21"/>
      <c r="D694" s="164" t="s">
        <v>151</v>
      </c>
      <c r="E694" s="164" t="s">
        <v>140</v>
      </c>
      <c r="F694" s="21"/>
      <c r="G694" s="21"/>
      <c r="H694" s="41"/>
      <c r="I694" s="36"/>
      <c r="J694" s="164" t="s">
        <v>195</v>
      </c>
      <c r="K694" s="37"/>
      <c r="L694" s="35"/>
    </row>
    <row r="695" spans="1:12" s="4" customFormat="1" outlineLevel="1" x14ac:dyDescent="0.4">
      <c r="B695" s="20"/>
      <c r="C695" s="164" t="s">
        <v>196</v>
      </c>
      <c r="D695" s="297" t="s">
        <v>197</v>
      </c>
      <c r="E695" s="299"/>
      <c r="F695" s="21"/>
      <c r="G695" s="21"/>
      <c r="H695" s="41"/>
      <c r="I695" s="164" t="s">
        <v>198</v>
      </c>
      <c r="J695" s="309" t="str">
        <f>IFERROR(IF(E692="No", "", IF(AND(E692="yes",OR(ISBLANK(E695),ISBLANK(E696),ISBLANK(E697))),"Insert data",E696/(E696+E697*E695))), "")</f>
        <v/>
      </c>
      <c r="K695" s="37"/>
      <c r="L695" s="35"/>
    </row>
    <row r="696" spans="1:12" s="4" customFormat="1" outlineLevel="1" x14ac:dyDescent="0.4">
      <c r="B696" s="20"/>
      <c r="C696" s="164" t="s">
        <v>199</v>
      </c>
      <c r="D696" s="296" t="s">
        <v>200</v>
      </c>
      <c r="E696" s="299"/>
      <c r="F696" s="21"/>
      <c r="G696" s="21"/>
      <c r="H696" s="41"/>
      <c r="I696" s="164" t="s">
        <v>201</v>
      </c>
      <c r="J696" s="309" t="str">
        <f>IFERROR(IF(E692="No", "", IF(AND(E692="yes",OR(ISBLANK(E695),ISBLANK(E696),ISBLANK(E697))),"Insert data",(E697*E695)/(E697*E695+E696))),"")</f>
        <v/>
      </c>
      <c r="K696" s="37"/>
      <c r="L696" s="35"/>
    </row>
    <row r="697" spans="1:12" s="4" customFormat="1" outlineLevel="1" x14ac:dyDescent="0.4">
      <c r="B697" s="20"/>
      <c r="C697" s="164" t="s">
        <v>202</v>
      </c>
      <c r="D697" s="296" t="s">
        <v>200</v>
      </c>
      <c r="E697" s="299"/>
      <c r="F697" s="21"/>
      <c r="G697" s="21"/>
      <c r="H697" s="46"/>
      <c r="I697" s="58"/>
      <c r="J697" s="58"/>
      <c r="K697" s="59"/>
      <c r="L697" s="35"/>
    </row>
    <row r="698" spans="1:12" s="4" customFormat="1" ht="6.75" customHeight="1" outlineLevel="1" x14ac:dyDescent="0.4">
      <c r="B698" s="20"/>
      <c r="C698" s="21"/>
      <c r="D698" s="21"/>
      <c r="E698" s="21"/>
      <c r="F698" s="21"/>
      <c r="G698" s="21"/>
      <c r="H698" s="21"/>
      <c r="I698" s="21"/>
      <c r="J698" s="21"/>
      <c r="K698" s="21"/>
      <c r="L698" s="35"/>
    </row>
    <row r="699" spans="1:12" s="4" customFormat="1" ht="12.75" customHeight="1" outlineLevel="1" x14ac:dyDescent="0.4">
      <c r="B699" s="20"/>
      <c r="C699" s="300" t="s">
        <v>203</v>
      </c>
      <c r="D699" s="21"/>
      <c r="E699" s="21"/>
      <c r="F699" s="21"/>
      <c r="G699" s="21"/>
      <c r="H699" s="21"/>
      <c r="I699" s="21"/>
      <c r="J699" s="21"/>
      <c r="K699" s="21"/>
      <c r="L699" s="35"/>
    </row>
    <row r="700" spans="1:12" s="4" customFormat="1" ht="12.75" customHeight="1" outlineLevel="1" x14ac:dyDescent="0.4">
      <c r="B700" s="20"/>
      <c r="C700" s="300" t="s">
        <v>204</v>
      </c>
      <c r="D700" s="21"/>
      <c r="E700" s="21"/>
      <c r="F700" s="21"/>
      <c r="G700" s="21"/>
      <c r="H700" s="21"/>
      <c r="I700" s="21"/>
      <c r="J700" s="21"/>
      <c r="K700" s="21"/>
      <c r="L700" s="35"/>
    </row>
    <row r="701" spans="1:12" s="4" customFormat="1" ht="6.75" customHeight="1" outlineLevel="1" x14ac:dyDescent="0.4">
      <c r="B701" s="28"/>
      <c r="C701" s="298"/>
      <c r="D701" s="29"/>
      <c r="E701" s="29"/>
      <c r="F701" s="29"/>
      <c r="G701" s="29"/>
      <c r="H701" s="29"/>
      <c r="I701" s="29"/>
      <c r="J701" s="29"/>
      <c r="K701" s="29"/>
      <c r="L701" s="60"/>
    </row>
    <row r="702" spans="1:12" s="4" customFormat="1" x14ac:dyDescent="0.4"/>
    <row r="703" spans="1:12" s="4" customFormat="1" hidden="1" x14ac:dyDescent="0.4"/>
    <row r="704" spans="1:12" s="4" customFormat="1" hidden="1" x14ac:dyDescent="0.4"/>
    <row r="705" spans="1:14" s="4" customFormat="1" hidden="1" x14ac:dyDescent="0.4"/>
    <row r="706" spans="1:14" s="4" customFormat="1" hidden="1" x14ac:dyDescent="0.4"/>
    <row r="707" spans="1:14" s="4" customFormat="1" hidden="1" x14ac:dyDescent="0.4"/>
    <row r="708" spans="1:14" s="4" customFormat="1" ht="19.2" x14ac:dyDescent="0.45">
      <c r="B708" s="754" t="str">
        <f>"Feedstock Conversion"&amp;" - "&amp;Feedstocks!C28</f>
        <v xml:space="preserve">Feedstock Conversion - </v>
      </c>
      <c r="C708" s="755"/>
      <c r="D708" s="755"/>
      <c r="E708" s="755"/>
      <c r="F708" s="755"/>
      <c r="G708" s="755"/>
      <c r="H708" s="755"/>
      <c r="I708" s="755"/>
      <c r="J708" s="755"/>
      <c r="K708" s="755"/>
      <c r="L708" s="756"/>
    </row>
    <row r="709" spans="1:14" s="4" customFormat="1" outlineLevel="1" x14ac:dyDescent="0.4">
      <c r="B709" s="17"/>
      <c r="C709" s="21"/>
      <c r="D709" s="19"/>
      <c r="E709" s="19"/>
      <c r="F709" s="21"/>
      <c r="G709" s="19"/>
      <c r="H709" s="19"/>
      <c r="I709" s="19"/>
      <c r="J709" s="19"/>
      <c r="K709" s="19"/>
      <c r="L709" s="50"/>
    </row>
    <row r="710" spans="1:14" s="4" customFormat="1" outlineLevel="1" x14ac:dyDescent="0.4">
      <c r="B710" s="20"/>
      <c r="C710" s="21"/>
      <c r="D710" s="21"/>
      <c r="E710" s="21"/>
      <c r="F710" s="21"/>
      <c r="G710" s="1"/>
      <c r="H710" s="69" t="s">
        <v>122</v>
      </c>
      <c r="I710" s="47"/>
      <c r="J710" s="47"/>
      <c r="K710" s="45"/>
      <c r="L710" s="35"/>
    </row>
    <row r="711" spans="1:14" s="4" customFormat="1" outlineLevel="1" x14ac:dyDescent="0.4">
      <c r="B711" s="20"/>
      <c r="C711" s="21"/>
      <c r="D711" s="21"/>
      <c r="E711" s="21"/>
      <c r="F711" s="21"/>
      <c r="G711" s="76"/>
      <c r="H711" s="41"/>
      <c r="I711" s="36"/>
      <c r="J711" s="164" t="s">
        <v>124</v>
      </c>
      <c r="K711" s="37"/>
      <c r="L711" s="35"/>
    </row>
    <row r="712" spans="1:14" s="4" customFormat="1" outlineLevel="1" x14ac:dyDescent="0.4">
      <c r="B712" s="20"/>
      <c r="C712" s="21"/>
      <c r="D712" s="21"/>
      <c r="E712" s="21"/>
      <c r="F712" s="21"/>
      <c r="G712" s="21"/>
      <c r="H712" s="41"/>
      <c r="I712" s="164" t="s">
        <v>125</v>
      </c>
      <c r="J712" s="52" t="str">
        <f>IFERROR((J716/('Transport 2'!F719*('Digestion &amp; outputs'!$G$31/1000)))*'Digestion &amp; outputs'!$K$23,"")</f>
        <v/>
      </c>
      <c r="K712" s="37"/>
      <c r="L712" s="35"/>
    </row>
    <row r="713" spans="1:14" s="4" customFormat="1" ht="16.5" customHeight="1" outlineLevel="1" x14ac:dyDescent="0.4">
      <c r="B713" s="20"/>
      <c r="C713" s="759" t="s">
        <v>183</v>
      </c>
      <c r="D713" s="759"/>
      <c r="E713" s="134" t="s">
        <v>178</v>
      </c>
      <c r="F713" s="21"/>
      <c r="G713" s="21"/>
      <c r="H713" s="41"/>
      <c r="I713" s="36"/>
      <c r="J713" s="36"/>
      <c r="K713" s="37"/>
      <c r="L713" s="35"/>
    </row>
    <row r="714" spans="1:14" s="4" customFormat="1" outlineLevel="1" x14ac:dyDescent="0.4">
      <c r="B714" s="20"/>
      <c r="C714" s="763" t="s">
        <v>184</v>
      </c>
      <c r="D714" s="764"/>
      <c r="E714" s="134" t="s">
        <v>96</v>
      </c>
      <c r="F714" s="21"/>
      <c r="G714" s="21"/>
      <c r="H714" s="41"/>
      <c r="I714" s="36"/>
      <c r="J714" s="36"/>
      <c r="K714" s="37"/>
      <c r="L714" s="35"/>
    </row>
    <row r="715" spans="1:14" s="4" customFormat="1" outlineLevel="1" x14ac:dyDescent="0.4">
      <c r="B715" s="20"/>
      <c r="C715" s="21"/>
      <c r="D715" s="21"/>
      <c r="E715" s="21"/>
      <c r="F715" s="21"/>
      <c r="G715" s="21"/>
      <c r="H715" s="43"/>
      <c r="I715" s="34"/>
      <c r="J715" s="164" t="s">
        <v>141</v>
      </c>
      <c r="K715" s="44"/>
      <c r="L715" s="35"/>
    </row>
    <row r="716" spans="1:14" s="4" customFormat="1" outlineLevel="1" x14ac:dyDescent="0.4">
      <c r="A716" s="765"/>
      <c r="B716" s="51"/>
      <c r="C716" s="164" t="s">
        <v>185</v>
      </c>
      <c r="D716" s="70">
        <f>IFERROR(Feedstocks!D28/'Transport 2'!F719,"Insert data")</f>
        <v>0</v>
      </c>
      <c r="E716" s="21"/>
      <c r="F716" s="21"/>
      <c r="G716" s="21"/>
      <c r="H716" s="43"/>
      <c r="I716" s="164" t="s">
        <v>167</v>
      </c>
      <c r="J716" s="52">
        <f>IFERROR(IF(AND(E713="YES",ISBLANK(F717)),"Insert yield",SUM(J732:J739,J725:J728,J721)*IF(E742="Yes",J745,1)),"Insert data")</f>
        <v>0</v>
      </c>
      <c r="K716" s="44"/>
      <c r="L716" s="35"/>
    </row>
    <row r="717" spans="1:14" s="4" customFormat="1" outlineLevel="1" x14ac:dyDescent="0.4">
      <c r="A717" s="765"/>
      <c r="B717" s="51"/>
      <c r="C717" s="164" t="s">
        <v>186</v>
      </c>
      <c r="D717" s="680">
        <v>0.9</v>
      </c>
      <c r="E717" s="134"/>
      <c r="F717" s="623">
        <f>IF(E713="No", 1, IF(E714="Default",D717, IF(E714="Actual", IF(E717&gt;0, E717, "insert data"), "error")))</f>
        <v>1</v>
      </c>
      <c r="G717" s="21"/>
      <c r="H717" s="49"/>
      <c r="I717" s="65"/>
      <c r="J717" s="65"/>
      <c r="K717" s="66"/>
      <c r="L717" s="35"/>
    </row>
    <row r="718" spans="1:14" s="4" customFormat="1" outlineLevel="1" x14ac:dyDescent="0.4">
      <c r="A718" s="765"/>
      <c r="B718" s="51"/>
      <c r="C718" s="21"/>
      <c r="D718" s="21"/>
      <c r="E718" s="21"/>
      <c r="F718" s="21"/>
      <c r="G718" s="21"/>
      <c r="H718" s="29"/>
      <c r="I718" s="29"/>
      <c r="J718" s="29"/>
      <c r="K718" s="29"/>
      <c r="L718" s="35"/>
    </row>
    <row r="719" spans="1:14" s="4" customFormat="1" outlineLevel="1" x14ac:dyDescent="0.4">
      <c r="A719" s="765"/>
      <c r="B719" s="51"/>
      <c r="C719" s="25" t="s">
        <v>187</v>
      </c>
      <c r="D719" s="1"/>
      <c r="E719" s="1"/>
      <c r="F719" s="21"/>
      <c r="G719" s="1"/>
      <c r="H719" s="69" t="s">
        <v>136</v>
      </c>
      <c r="I719" s="79"/>
      <c r="J719" s="79"/>
      <c r="K719" s="61"/>
      <c r="L719" s="54"/>
      <c r="M719" s="12"/>
      <c r="N719" s="12"/>
    </row>
    <row r="720" spans="1:14" s="4" customFormat="1" outlineLevel="1" x14ac:dyDescent="0.4">
      <c r="A720" s="765"/>
      <c r="B720" s="51"/>
      <c r="C720" s="166" t="s">
        <v>188</v>
      </c>
      <c r="D720" s="164" t="s">
        <v>151</v>
      </c>
      <c r="E720" s="164" t="s">
        <v>140</v>
      </c>
      <c r="F720" s="21"/>
      <c r="G720" s="1"/>
      <c r="H720" s="43"/>
      <c r="I720" s="34"/>
      <c r="J720" s="164" t="s">
        <v>141</v>
      </c>
      <c r="K720" s="44"/>
      <c r="L720" s="54"/>
    </row>
    <row r="721" spans="1:12" s="4" customFormat="1" outlineLevel="1" x14ac:dyDescent="0.4">
      <c r="A721" s="765"/>
      <c r="B721" s="51"/>
      <c r="C721" s="145"/>
      <c r="D721" s="141"/>
      <c r="E721" s="144"/>
      <c r="F721" s="21"/>
      <c r="G721" s="1"/>
      <c r="H721" s="43"/>
      <c r="I721" s="164" t="s">
        <v>189</v>
      </c>
      <c r="J721" s="31">
        <f>IFERROR(IF(E713="No",0,IF(D721="MWh",(E721*'Reference values'!$D$47*INDEX(Electricity_Emission_Factors,MATCH(C721,Electricity_Source,0)))/(D716*1000),IF(D721="kWh",(E721*'Reference values'!$D$47*INDEX(Electricity_Emission_Factors,MATCH(C721,Electricity_Source,0))/1000)/(D716*1000),IF(D721="MWh/tonne(output)",(E721*'Reference values'!$D$47*INDEX(Electricity_Emission_Factors,MATCH(C721,Electricity_Source,0)))/1000,IF(D721="kWh/tonne(output)",(E721*'Reference values'!$D$47*INDEX(Electricity_Emission_Factors,MATCH(C721,Electricity_Source,0))/1000)/1000,""))))),"")</f>
        <v>0</v>
      </c>
      <c r="K721" s="44"/>
      <c r="L721" s="54"/>
    </row>
    <row r="722" spans="1:12" s="4" customFormat="1" outlineLevel="1" x14ac:dyDescent="0.4">
      <c r="A722" s="765"/>
      <c r="B722" s="51"/>
      <c r="C722" s="1"/>
      <c r="D722" s="1"/>
      <c r="E722" s="1"/>
      <c r="F722" s="21"/>
      <c r="G722" s="1"/>
      <c r="H722" s="43"/>
      <c r="I722" s="34"/>
      <c r="J722" s="34"/>
      <c r="K722" s="44"/>
      <c r="L722" s="54"/>
    </row>
    <row r="723" spans="1:12" s="4" customFormat="1" outlineLevel="1" x14ac:dyDescent="0.4">
      <c r="A723" s="765"/>
      <c r="B723" s="51"/>
      <c r="C723" s="25" t="s">
        <v>190</v>
      </c>
      <c r="D723" s="1"/>
      <c r="E723" s="1"/>
      <c r="F723" s="21"/>
      <c r="G723" s="1"/>
      <c r="H723" s="43"/>
      <c r="I723" s="34"/>
      <c r="J723" s="34"/>
      <c r="K723" s="44"/>
      <c r="L723" s="54"/>
    </row>
    <row r="724" spans="1:12" s="4" customFormat="1" outlineLevel="1" x14ac:dyDescent="0.4">
      <c r="A724" s="765"/>
      <c r="B724" s="51"/>
      <c r="C724" s="164" t="s">
        <v>160</v>
      </c>
      <c r="D724" s="164" t="s">
        <v>151</v>
      </c>
      <c r="E724" s="164" t="s">
        <v>140</v>
      </c>
      <c r="F724" s="21"/>
      <c r="G724" s="1"/>
      <c r="H724" s="43"/>
      <c r="I724" s="164" t="s">
        <v>160</v>
      </c>
      <c r="J724" s="182" t="s">
        <v>141</v>
      </c>
      <c r="K724" s="44"/>
      <c r="L724" s="54"/>
    </row>
    <row r="725" spans="1:12" s="4" customFormat="1" outlineLevel="1" x14ac:dyDescent="0.4">
      <c r="A725" s="765"/>
      <c r="B725" s="51"/>
      <c r="C725" s="27" t="str">
        <f>IF(E714="Default", "Diesel", "")</f>
        <v>Diesel</v>
      </c>
      <c r="D725" s="74" t="str">
        <f>IF(E714="Default", "kWh/tonne(output)", "")</f>
        <v>kWh/tonne(output)</v>
      </c>
      <c r="E725" s="74">
        <f>IF(E714="Default", 3.881, "")</f>
        <v>3.8809999999999998</v>
      </c>
      <c r="F725" s="21"/>
      <c r="G725" s="1"/>
      <c r="H725" s="43"/>
      <c r="I725" s="27" t="str">
        <f>IF(C725&gt;0,C725,"")</f>
        <v>Diesel</v>
      </c>
      <c r="J725" s="31">
        <f>IF(E714="Actual","",IFERROR(IF(C725&gt;0,IF(ISBLANK(E725),"Insert data",IF(E713="No",0,(IF(D725="litres",(E725*(INDEX(Fuel_Densities,MATCH(C725,Fuels_for_Densities,0))/1000)*INDEX(Fuel_LHV,MATCH(C725,Fuels_for_LHV,0))*INDEX(Fuel_EFs,MATCH(C725,Fuels_for_EF,0)))/(D716*1000),(IF(D725="m3",(E725*(INDEX(Fuel_Densities,MATCH(C725,Fuels_for_Densities,0)))*INDEX(Fuel_LHV,MATCH(C725,Fuels_for_LHV,0))*INDEX(Fuel_EFs,MATCH(C725,Fuels_for_EF,0)))/(D716*1000),IF(D725="kg",(E725*INDEX(Fuel_LHV,MATCH(C725,Fuels_for_LHV,0))*INDEX(Fuel_EFs,MATCH(C725,Fuels_for_EF,0)))/(D716*1000),IF(D725="tonnes",(E725*INDEX(Fuel_LHV,MATCH(C725,Fuels_for_LHV,0))*1000*INDEX(Fuel_EFs,MATCH(C725,Fuels_for_EF,0)))/(D716*1000),IF(D725="MWh",(E725*'Reference values'!$D$47*INDEX(Fuel_EFs,MATCH(C725,Fuels_for_EF,0)))/(D716*1000),IF(D725="kWh",(E725*'Reference values'!$D$47*INDEX(Fuel_EFs,MATCH(C725,Fuels_for_EF,0))/1000)/(D716*1000),(IF(D725="litres/tonne(output)",(E725*(INDEX(Fuel_Densities,MATCH(C725,Fuels_for_Densities,0))/1000)*INDEX(Fuel_LHV,MATCH(C725,Fuels_for_LHV,0))*INDEX(Fuel_EFs,MATCH(C725,Fuels_for_EF,0)))/1000,(IF(D725="m3/tonne(output)",(E725*(INDEX(Fuel_Densities,MATCH(C725,Fuels_for_Densities,0)))*INDEX(Fuel_LHV,MATCH(C725,Fuels_for_LHV,0))*INDEX(Fuel_EFs,MATCH(C725,Fuels_for_EF,0)))/1000,IF(D725="kg/tonne(output)",(E725*INDEX(Fuel_LHV,MATCH(C725,Fuels_for_LHV,0))*INDEX(Fuel_EFs,MATCH(C725,Fuels_for_EF,0)))/1000,IF(D725="tonnes/tonne(output)",(E725*INDEX(Fuel_LHV,MATCH(C725,Fuels_for_LHV,0))*1000*INDEX(Fuel_EFs,MATCH(C725,Fuels_for_EF,0)))/1000,IF(D725="MWh/tonne(output)",(E725*'Reference values'!$D$47*INDEX(Fuel_EFs,MATCH(C725,Fuels_for_EF,0)))/1000,IF(D725="kWh/tonne(output)",(E725*'Reference values'!$D$47*INDEX(Fuel_EFs,MATCH(C725,Fuels_for_EF,0))/1000)/1000,"Insert unit")))))))))))))))))),""),"Insert data"))</f>
        <v>0</v>
      </c>
      <c r="K725" s="44"/>
      <c r="L725" s="54"/>
    </row>
    <row r="726" spans="1:12" s="4" customFormat="1" outlineLevel="1" x14ac:dyDescent="0.4">
      <c r="A726" s="765"/>
      <c r="B726" s="51"/>
      <c r="C726" s="134"/>
      <c r="D726" s="141"/>
      <c r="E726" s="144"/>
      <c r="F726" s="21"/>
      <c r="G726" s="1"/>
      <c r="H726" s="43"/>
      <c r="I726" s="27" t="str">
        <f>IF(C726&gt;0,C726,"")</f>
        <v/>
      </c>
      <c r="J726" s="31" t="str">
        <f>IFERROR(IF(C726&gt;0,IF(ISBLANK(E726),"Insert data",IF(E713="No",0,(IF(D726="litres",(E726*(INDEX(Fuel_Densities,MATCH(C726,Fuels_for_Densities,0))/1000)*INDEX(Fuel_LHV,MATCH(C726,Fuels_for_LHV,0))*INDEX(Fuel_EFs,MATCH(C726,Fuels_for_EF,0)))/(D716*1000),(IF(D726="m3",(E726*(INDEX(Fuel_Densities,MATCH(C726,Fuels_for_Densities,0)))*INDEX(Fuel_LHV,MATCH(C726,Fuels_for_LHV,0))*INDEX(Fuel_EFs,MATCH(C726,Fuels_for_EF,0)))/(D716*1000),IF(D726="kg",(E726*INDEX(Fuel_LHV,MATCH(C726,Fuels_for_LHV,0))*INDEX(Fuel_EFs,MATCH(C726,Fuels_for_EF,0)))/(D716*1000),IF(D726="tonnes",(E726*INDEX(Fuel_LHV,MATCH(C726,Fuels_for_LHV,0))*1000*INDEX(Fuel_EFs,MATCH(C726,Fuels_for_EF,0)))/(D716*1000),IF(D726="MWh",(E726*'Reference values'!$D$47*INDEX(Fuel_EFs,MATCH(C726,Fuels_for_EF,0)))/(D716*1000),IF(D726="kWh",(E726*'Reference values'!$D$47*INDEX(Fuel_EFs,MATCH(C726,Fuels_for_EF,0))/1000)/(D716*1000),(IF(D726="litres/tonne(output)",(E726*(INDEX(Fuel_Densities,MATCH(C726,Fuels_for_Densities,0))/1000)*INDEX(Fuel_LHV,MATCH(C726,Fuels_for_LHV,0))*INDEX(Fuel_EFs,MATCH(C726,Fuels_for_EF,0)))/1000,(IF(D726="m3/tonne(output)",(E726*(INDEX(Fuel_Densities,MATCH(C726,Fuels_for_Densities,0)))*INDEX(Fuel_LHV,MATCH(C726,Fuels_for_LHV,0))*INDEX(Fuel_EFs,MATCH(C726,Fuels_for_EF,0)))/1000,IF(D726="kg/tonne(output)",(E726*INDEX(Fuel_LHV,MATCH(C726,Fuels_for_LHV,0))*INDEX(Fuel_EFs,MATCH(C726,Fuels_for_EF,0)))/1000,IF(D726="tonnes/tonne(output)",(E726*INDEX(Fuel_LHV,MATCH(C726,Fuels_for_LHV,0))*1000*INDEX(Fuel_EFs,MATCH(C726,Fuels_for_EF,0)))/1000,IF(D726="MWh/tonne(output)",(E726*'Reference values'!$D$47*INDEX(Fuel_EFs,MATCH(C726,Fuels_for_EF,0)))/1000,IF(D726="kWh/tonne(output)",(E726*'Reference values'!$D$47*INDEX(Fuel_EFs,MATCH(C726,Fuels_for_EF,0))/1000)/1000,"Insert unit")))))))))))))))))),""),"Insert data")</f>
        <v/>
      </c>
      <c r="K726" s="44"/>
      <c r="L726" s="54"/>
    </row>
    <row r="727" spans="1:12" s="4" customFormat="1" outlineLevel="1" x14ac:dyDescent="0.4">
      <c r="A727" s="765"/>
      <c r="B727" s="51"/>
      <c r="C727" s="134"/>
      <c r="D727" s="141"/>
      <c r="E727" s="144"/>
      <c r="F727" s="21"/>
      <c r="G727" s="1"/>
      <c r="H727" s="43"/>
      <c r="I727" s="27" t="str">
        <f>IF(C727&gt;0,C727,"")</f>
        <v/>
      </c>
      <c r="J727" s="31" t="str">
        <f>IFERROR(IF(C727&gt;0,IF(ISBLANK(E727),"Insert data",IF(E713="No",0,(IF(D727="litres",(E727*(INDEX(Fuel_Densities,MATCH(C727,Fuels_for_Densities,0))/1000)*INDEX(Fuel_LHV,MATCH(C727,Fuels_for_LHV,0))*INDEX(Fuel_EFs,MATCH(C727,Fuels_for_EF,0)))/(D716*1000),(IF(D727="m3",(E727*(INDEX(Fuel_Densities,MATCH(C727,Fuels_for_Densities,0)))*INDEX(Fuel_LHV,MATCH(C727,Fuels_for_LHV,0))*INDEX(Fuel_EFs,MATCH(C727,Fuels_for_EF,0)))/(D716*1000),IF(D727="kg",(E727*INDEX(Fuel_LHV,MATCH(C727,Fuels_for_LHV,0))*INDEX(Fuel_EFs,MATCH(C727,Fuels_for_EF,0)))/(D716*1000),IF(D727="tonnes",(E727*INDEX(Fuel_LHV,MATCH(C727,Fuels_for_LHV,0))*1000*INDEX(Fuel_EFs,MATCH(C727,Fuels_for_EF,0)))/(D716*1000),IF(D727="MWh",(E727*'Reference values'!$D$47*INDEX(Fuel_EFs,MATCH(C727,Fuels_for_EF,0)))/(D716*1000),IF(D727="kWh",(E727*'Reference values'!$D$47*INDEX(Fuel_EFs,MATCH(C727,Fuels_for_EF,0))/1000)/(D716*1000),(IF(D727="litres/tonne(output)",(E727*(INDEX(Fuel_Densities,MATCH(C727,Fuels_for_Densities,0))/1000)*INDEX(Fuel_LHV,MATCH(C727,Fuels_for_LHV,0))*INDEX(Fuel_EFs,MATCH(C727,Fuels_for_EF,0)))/1000,(IF(D727="m3/tonne(output)",(E727*(INDEX(Fuel_Densities,MATCH(C727,Fuels_for_Densities,0)))*INDEX(Fuel_LHV,MATCH(C727,Fuels_for_LHV,0))*INDEX(Fuel_EFs,MATCH(C727,Fuels_for_EF,0)))/1000,IF(D727="kg/tonne(output)",(E727*INDEX(Fuel_LHV,MATCH(C727,Fuels_for_LHV,0))*INDEX(Fuel_EFs,MATCH(C727,Fuels_for_EF,0)))/1000,IF(D727="tonnes/tonne(output)",(E727*INDEX(Fuel_LHV,MATCH(C727,Fuels_for_LHV,0))*1000*INDEX(Fuel_EFs,MATCH(C727,Fuels_for_EF,0)))/1000,IF(D727="MWh/tonne(output)",(E727*'Reference values'!$D$47*INDEX(Fuel_EFs,MATCH(C727,Fuels_for_EF,0)))/1000,IF(D727="kWh/tonne(output)",(E727*'Reference values'!$D$47*INDEX(Fuel_EFs,MATCH(C727,Fuels_for_EF,0))/1000)/1000,"Insert unit")))))))))))))))))),""),"Insert data")</f>
        <v/>
      </c>
      <c r="K727" s="44"/>
      <c r="L727" s="54"/>
    </row>
    <row r="728" spans="1:12" s="4" customFormat="1" outlineLevel="1" x14ac:dyDescent="0.4">
      <c r="A728" s="765"/>
      <c r="B728" s="51"/>
      <c r="C728" s="134"/>
      <c r="D728" s="141"/>
      <c r="E728" s="144"/>
      <c r="F728" s="21"/>
      <c r="G728" s="1"/>
      <c r="H728" s="43"/>
      <c r="I728" s="27" t="str">
        <f>IF(C728&gt;0,C728,"")</f>
        <v/>
      </c>
      <c r="J728" s="31" t="str">
        <f>IFERROR(IF(C728&gt;0,IF(ISBLANK(E728),"Insert data",IF(E713="No",0,(IF(D728="litres",(E728*(INDEX(Fuel_Densities,MATCH(C728,Fuels_for_Densities,0))/1000)*INDEX(Fuel_LHV,MATCH(C728,Fuels_for_LHV,0))*INDEX(Fuel_EFs,MATCH(C728,Fuels_for_EF,0)))/(D716*1000),(IF(D728="m3",(E728*(INDEX(Fuel_Densities,MATCH(C728,Fuels_for_Densities,0)))*INDEX(Fuel_LHV,MATCH(C728,Fuels_for_LHV,0))*INDEX(Fuel_EFs,MATCH(C728,Fuels_for_EF,0)))/(D716*1000),IF(D728="kg",(E728*INDEX(Fuel_LHV,MATCH(C728,Fuels_for_LHV,0))*INDEX(Fuel_EFs,MATCH(C728,Fuels_for_EF,0)))/(D716*1000),IF(D728="tonnes",(E728*INDEX(Fuel_LHV,MATCH(C728,Fuels_for_LHV,0))*1000*INDEX(Fuel_EFs,MATCH(C728,Fuels_for_EF,0)))/(D716*1000),IF(D728="MWh",(E728*'Reference values'!$D$47*INDEX(Fuel_EFs,MATCH(C728,Fuels_for_EF,0)))/(D716*1000),IF(D728="kWh",(E728*'Reference values'!$D$47*INDEX(Fuel_EFs,MATCH(C728,Fuels_for_EF,0))/1000)/(D716*1000),(IF(D728="litres/tonne(output)",(E728*(INDEX(Fuel_Densities,MATCH(C728,Fuels_for_Densities,0))/1000)*INDEX(Fuel_LHV,MATCH(C728,Fuels_for_LHV,0))*INDEX(Fuel_EFs,MATCH(C728,Fuels_for_EF,0)))/1000,(IF(D728="m3/tonne(output)",(E728*(INDEX(Fuel_Densities,MATCH(C728,Fuels_for_Densities,0)))*INDEX(Fuel_LHV,MATCH(C728,Fuels_for_LHV,0))*INDEX(Fuel_EFs,MATCH(C728,Fuels_for_EF,0)))/1000,IF(D728="kg/tonne(output)",(E728*INDEX(Fuel_LHV,MATCH(C728,Fuels_for_LHV,0))*INDEX(Fuel_EFs,MATCH(C728,Fuels_for_EF,0)))/1000,IF(D728="tonnes/tonne(output)",(E728*INDEX(Fuel_LHV,MATCH(C728,Fuels_for_LHV,0))*1000*INDEX(Fuel_EFs,MATCH(C728,Fuels_for_EF,0)))/1000,IF(D728="MWh/tonne(output)",(E728*'Reference values'!$D$47*INDEX(Fuel_EFs,MATCH(C728,Fuels_for_EF,0)))/1000,IF(D728="kWh/tonne(output)",(E728*'Reference values'!$D$47*INDEX(Fuel_EFs,MATCH(C728,Fuels_for_EF,0))/1000)/1000,"Insert unit")))))))))))))))))),""),"Insert data")</f>
        <v/>
      </c>
      <c r="K728" s="44"/>
      <c r="L728" s="54"/>
    </row>
    <row r="729" spans="1:12" s="4" customFormat="1" outlineLevel="1" x14ac:dyDescent="0.4">
      <c r="A729" s="765"/>
      <c r="B729" s="51"/>
      <c r="C729" s="1"/>
      <c r="D729" s="1"/>
      <c r="E729" s="1"/>
      <c r="F729" s="21"/>
      <c r="G729" s="53"/>
      <c r="H729" s="56"/>
      <c r="I729" s="57"/>
      <c r="J729" s="34"/>
      <c r="K729" s="44"/>
      <c r="L729" s="54"/>
    </row>
    <row r="730" spans="1:12" s="4" customFormat="1" outlineLevel="1" x14ac:dyDescent="0.4">
      <c r="A730" s="765"/>
      <c r="B730" s="51"/>
      <c r="C730" s="25" t="s">
        <v>191</v>
      </c>
      <c r="D730" s="1"/>
      <c r="E730" s="1"/>
      <c r="F730" s="21"/>
      <c r="G730" s="53"/>
      <c r="H730" s="56"/>
      <c r="I730" s="34"/>
      <c r="J730" s="34"/>
      <c r="K730" s="44"/>
      <c r="L730" s="54"/>
    </row>
    <row r="731" spans="1:12" s="4" customFormat="1" outlineLevel="1" x14ac:dyDescent="0.4">
      <c r="A731" s="765"/>
      <c r="B731" s="51"/>
      <c r="C731" s="164" t="s">
        <v>192</v>
      </c>
      <c r="D731" s="164" t="s">
        <v>151</v>
      </c>
      <c r="E731" s="164" t="s">
        <v>140</v>
      </c>
      <c r="F731" s="21"/>
      <c r="G731" s="1"/>
      <c r="H731" s="43"/>
      <c r="I731" s="164" t="s">
        <v>192</v>
      </c>
      <c r="J731" s="182" t="s">
        <v>141</v>
      </c>
      <c r="K731" s="44"/>
      <c r="L731" s="54"/>
    </row>
    <row r="732" spans="1:12" s="4" customFormat="1" outlineLevel="1" x14ac:dyDescent="0.4">
      <c r="A732" s="765"/>
      <c r="B732" s="51"/>
      <c r="C732" s="134"/>
      <c r="D732" s="141"/>
      <c r="E732" s="144"/>
      <c r="F732" s="21"/>
      <c r="G732" s="1"/>
      <c r="H732" s="43"/>
      <c r="I732" s="27" t="str">
        <f t="shared" ref="I732:I739" si="14">IF(C732&gt;0,C732,"")</f>
        <v/>
      </c>
      <c r="J732" s="31" t="str">
        <f>IFERROR(IF(C732&gt;0,IF(ISBLANK(E732),"Insert data",IF(E713="No",0,IF(D732="kg",E732*INDEX(Chemical_Emission_Factors,MATCH(C732,Chemicals,0))/(D716*1000),IF(D732="tonnes",E732*INDEX(Chemical_Emission_Factors,MATCH(C732,Chemicals,0))*1000/(D716*1000),IF(D732="kg/tonne(output)",E732*INDEX(Chemical_Emission_Factors,MATCH(C732,Chemicals,0))/1000,IF(D732="tonnes/tonne(output)",E732*INDEX(Chemical_Emission_Factors,MATCH(C732,Chemicals,0))*1000/1000,"Insert unit")))))),""),"Insert data")</f>
        <v/>
      </c>
      <c r="K732" s="44"/>
      <c r="L732" s="54"/>
    </row>
    <row r="733" spans="1:12" s="4" customFormat="1" outlineLevel="1" x14ac:dyDescent="0.4">
      <c r="A733" s="765"/>
      <c r="B733" s="51"/>
      <c r="C733" s="134"/>
      <c r="D733" s="141"/>
      <c r="E733" s="144"/>
      <c r="F733" s="21"/>
      <c r="G733" s="1"/>
      <c r="H733" s="43"/>
      <c r="I733" s="27" t="str">
        <f t="shared" si="14"/>
        <v/>
      </c>
      <c r="J733" s="31" t="str">
        <f>IFERROR(IF(C733&gt;0,IF(ISBLANK(E733),"Insert data",IF(E713="No",0,IF(D733="kg",E733*INDEX(Chemical_Emission_Factors,MATCH(C733,Chemicals,0))/(D716*1000),IF(D733="tonnes",E733*INDEX(Chemical_Emission_Factors,MATCH(C733,Chemicals,0))*1000/(D716*1000),IF(D733="kg/tonne(output)",E733*INDEX(Chemical_Emission_Factors,MATCH(C733,Chemicals,0))/1000,IF(D733="tonnes/tonne(output)",E733*INDEX(Chemical_Emission_Factors,MATCH(C733,Chemicals,0))*1000/1000,"Insert unit")))))),""),"Insert data")</f>
        <v/>
      </c>
      <c r="K733" s="44"/>
      <c r="L733" s="54"/>
    </row>
    <row r="734" spans="1:12" s="4" customFormat="1" outlineLevel="1" x14ac:dyDescent="0.4">
      <c r="A734" s="765"/>
      <c r="B734" s="51"/>
      <c r="C734" s="134"/>
      <c r="D734" s="141"/>
      <c r="E734" s="144"/>
      <c r="F734" s="21"/>
      <c r="G734" s="1"/>
      <c r="H734" s="43"/>
      <c r="I734" s="27" t="str">
        <f t="shared" si="14"/>
        <v/>
      </c>
      <c r="J734" s="31" t="str">
        <f>IFERROR(IF(C734&gt;0,IF(ISBLANK(E734),"Insert data",IF(E713="No",0,IF(D734="kg",E734*INDEX(Chemical_Emission_Factors,MATCH(C734,Chemicals,0))/(D716*1000),IF(D734="tonnes",E734*INDEX(Chemical_Emission_Factors,MATCH(C734,Chemicals,0))*1000/(D716*1000),IF(D734="kg/tonne(output)",E734*INDEX(Chemical_Emission_Factors,MATCH(C734,Chemicals,0))/1000,IF(D734="tonnes/tonne(output)",E734*INDEX(Chemical_Emission_Factors,MATCH(C734,Chemicals,0))*1000/1000,"Insert unit")))))),""),"Insert data")</f>
        <v/>
      </c>
      <c r="K734" s="44"/>
      <c r="L734" s="54"/>
    </row>
    <row r="735" spans="1:12" s="4" customFormat="1" outlineLevel="1" x14ac:dyDescent="0.4">
      <c r="A735" s="765"/>
      <c r="B735" s="51"/>
      <c r="C735" s="134"/>
      <c r="D735" s="141"/>
      <c r="E735" s="144"/>
      <c r="F735" s="21"/>
      <c r="G735" s="1"/>
      <c r="H735" s="43"/>
      <c r="I735" s="27" t="str">
        <f t="shared" si="14"/>
        <v/>
      </c>
      <c r="J735" s="31" t="str">
        <f>IFERROR(IF(C735&gt;0,IF(ISBLANK(E735),"Insert data",IF(E713="No",0,IF(D735="kg",E735*INDEX(Chemical_Emission_Factors,MATCH(C735,Chemicals,0))/(D716*1000),IF(D735="tonnes",E735*INDEX(Chemical_Emission_Factors,MATCH(C735,Chemicals,0))*1000/(D716*1000),IF(D735="kg/tonne(output)",E735*INDEX(Chemical_Emission_Factors,MATCH(C735,Chemicals,0))/1000,IF(D735="tonnes/tonne(output)",E735*INDEX(Chemical_Emission_Factors,MATCH(C735,Chemicals,0))*1000/1000,"Insert unit")))))),""),"Insert data")</f>
        <v/>
      </c>
      <c r="K735" s="44"/>
      <c r="L735" s="54"/>
    </row>
    <row r="736" spans="1:12" s="4" customFormat="1" outlineLevel="1" x14ac:dyDescent="0.4">
      <c r="A736" s="765"/>
      <c r="B736" s="51"/>
      <c r="C736" s="134"/>
      <c r="D736" s="141"/>
      <c r="E736" s="144"/>
      <c r="F736" s="21"/>
      <c r="G736" s="1"/>
      <c r="H736" s="43"/>
      <c r="I736" s="27" t="str">
        <f t="shared" si="14"/>
        <v/>
      </c>
      <c r="J736" s="31" t="str">
        <f>IFERROR(IF(C736&gt;0,IF(ISBLANK(E736),"Insert data",IF(E713="No",0,IF(D736="kg",E736*INDEX(Chemical_Emission_Factors,MATCH(C736,Chemicals,0))/(D716*1000),IF(D736="tonnes",E736*INDEX(Chemical_Emission_Factors,MATCH(C736,Chemicals,0))*1000/(D716*1000),IF(D736="kg/tonne(output)",E736*INDEX(Chemical_Emission_Factors,MATCH(C736,Chemicals,0))/1000,IF(D736="tonnes/tonne(output)",E736*INDEX(Chemical_Emission_Factors,MATCH(C736,Chemicals,0))*1000/1000,"Insert unit")))))),""),"Insert data")</f>
        <v/>
      </c>
      <c r="K736" s="44"/>
      <c r="L736" s="54"/>
    </row>
    <row r="737" spans="1:12" s="4" customFormat="1" outlineLevel="1" x14ac:dyDescent="0.4">
      <c r="A737" s="765"/>
      <c r="B737" s="51"/>
      <c r="C737" s="134"/>
      <c r="D737" s="141"/>
      <c r="E737" s="144"/>
      <c r="F737" s="21"/>
      <c r="G737" s="1"/>
      <c r="H737" s="43"/>
      <c r="I737" s="27" t="str">
        <f t="shared" si="14"/>
        <v/>
      </c>
      <c r="J737" s="31" t="str">
        <f>IFERROR(IF(C737&gt;0,IF(ISBLANK(E737),"Insert data",IF(E713="No",0,IF(D737="kg",E737*INDEX(Chemical_Emission_Factors,MATCH(C737,Chemicals,0))/(D716*1000),IF(D737="tonnes",E737*INDEX(Chemical_Emission_Factors,MATCH(C737,Chemicals,0))*1000/(D716*1000),IF(D737="kg/tonne(output)",E737*INDEX(Chemical_Emission_Factors,MATCH(C737,Chemicals,0))/1000,IF(D737="tonnes/tonne(output)",E737*INDEX(Chemical_Emission_Factors,MATCH(C737,Chemicals,0))*1000/1000,"Insert unit")))))),""),"Insert data")</f>
        <v/>
      </c>
      <c r="K737" s="44"/>
      <c r="L737" s="54"/>
    </row>
    <row r="738" spans="1:12" s="4" customFormat="1" outlineLevel="1" x14ac:dyDescent="0.4">
      <c r="A738" s="765"/>
      <c r="B738" s="51"/>
      <c r="C738" s="134"/>
      <c r="D738" s="141"/>
      <c r="E738" s="144"/>
      <c r="F738" s="21"/>
      <c r="G738" s="1"/>
      <c r="H738" s="43"/>
      <c r="I738" s="27" t="str">
        <f t="shared" si="14"/>
        <v/>
      </c>
      <c r="J738" s="31" t="str">
        <f>IFERROR(IF(C738&gt;0,IF(ISBLANK(E738),"Insert data",IF(E713="No",0,IF(D738="kg",E738*INDEX(Chemical_Emission_Factors,MATCH(C738,Chemicals,0))/(D716*1000),IF(D738="tonnes",E738*INDEX(Chemical_Emission_Factors,MATCH(C738,Chemicals,0))*1000/(D716*1000),IF(D738="kg/tonne(output)",E738*INDEX(Chemical_Emission_Factors,MATCH(C738,Chemicals,0))/1000,IF(D738="tonnes/tonne(output)",E738*INDEX(Chemical_Emission_Factors,MATCH(C738,Chemicals,0))*1000/1000,"Insert unit")))))),""),"Insert data")</f>
        <v/>
      </c>
      <c r="K738" s="44"/>
      <c r="L738" s="54"/>
    </row>
    <row r="739" spans="1:12" s="4" customFormat="1" outlineLevel="1" x14ac:dyDescent="0.4">
      <c r="A739" s="765"/>
      <c r="B739" s="51"/>
      <c r="C739" s="134"/>
      <c r="D739" s="141"/>
      <c r="E739" s="144"/>
      <c r="F739" s="21"/>
      <c r="G739" s="1"/>
      <c r="H739" s="43"/>
      <c r="I739" s="27" t="str">
        <f t="shared" si="14"/>
        <v/>
      </c>
      <c r="J739" s="31" t="str">
        <f>IFERROR(IF(C739&gt;0,IF(ISBLANK(E739),"Insert data",IF(E713="No",0,IF(D739="kg",E739*INDEX(Chemical_Emission_Factors,MATCH(C739,Chemicals,0))/(D716*1000),IF(D739="tonnes",E739*INDEX(Chemical_Emission_Factors,MATCH(C739,Chemicals,0))*1000/(D716*1000),IF(D739="kg/tonne(output)",E739*INDEX(Chemical_Emission_Factors,MATCH(C739,Chemicals,0))/1000,IF(D739="tonnes/tonne(output)",E739*INDEX(Chemical_Emission_Factors,MATCH(C739,Chemicals,0))*1000/1000,"Insert unit")))))),""),"Insert data")</f>
        <v/>
      </c>
      <c r="K739" s="44"/>
      <c r="L739" s="54"/>
    </row>
    <row r="740" spans="1:12" s="4" customFormat="1" ht="12.75" customHeight="1" outlineLevel="1" x14ac:dyDescent="0.4">
      <c r="B740" s="20"/>
      <c r="C740" s="21"/>
      <c r="D740" s="21"/>
      <c r="E740" s="21"/>
      <c r="F740" s="21"/>
      <c r="G740" s="21"/>
      <c r="H740" s="46"/>
      <c r="I740" s="58"/>
      <c r="J740" s="58"/>
      <c r="K740" s="59"/>
      <c r="L740" s="35"/>
    </row>
    <row r="741" spans="1:12" s="4" customFormat="1" outlineLevel="1" x14ac:dyDescent="0.4">
      <c r="B741" s="20"/>
      <c r="C741" s="243" t="s">
        <v>193</v>
      </c>
      <c r="D741" s="21"/>
      <c r="E741" s="21"/>
      <c r="F741" s="21"/>
      <c r="G741" s="21"/>
      <c r="H741" s="21"/>
      <c r="I741" s="21"/>
      <c r="J741" s="21"/>
      <c r="K741" s="21"/>
      <c r="L741" s="35"/>
    </row>
    <row r="742" spans="1:12" s="4" customFormat="1" outlineLevel="1" x14ac:dyDescent="0.4">
      <c r="B742" s="20"/>
      <c r="C742" s="766" t="s">
        <v>194</v>
      </c>
      <c r="D742" s="767"/>
      <c r="E742" s="299" t="s">
        <v>178</v>
      </c>
      <c r="F742" s="21"/>
      <c r="G742" s="21"/>
      <c r="H742" s="302"/>
      <c r="I742" s="47"/>
      <c r="J742" s="47"/>
      <c r="K742" s="45"/>
      <c r="L742" s="35"/>
    </row>
    <row r="743" spans="1:12" s="4" customFormat="1" ht="6.75" customHeight="1" outlineLevel="1" x14ac:dyDescent="0.4">
      <c r="B743" s="20"/>
      <c r="C743" s="21"/>
      <c r="D743" s="21"/>
      <c r="E743" s="21"/>
      <c r="F743" s="21"/>
      <c r="G743" s="21"/>
      <c r="H743" s="41"/>
      <c r="I743" s="36"/>
      <c r="J743" s="301"/>
      <c r="K743" s="37"/>
      <c r="L743" s="35"/>
    </row>
    <row r="744" spans="1:12" s="4" customFormat="1" outlineLevel="1" x14ac:dyDescent="0.4">
      <c r="B744" s="20"/>
      <c r="C744" s="21"/>
      <c r="D744" s="164" t="s">
        <v>151</v>
      </c>
      <c r="E744" s="164" t="s">
        <v>140</v>
      </c>
      <c r="F744" s="21"/>
      <c r="G744" s="21"/>
      <c r="H744" s="41"/>
      <c r="I744" s="36"/>
      <c r="J744" s="164" t="s">
        <v>195</v>
      </c>
      <c r="K744" s="37"/>
      <c r="L744" s="35"/>
    </row>
    <row r="745" spans="1:12" s="4" customFormat="1" outlineLevel="1" x14ac:dyDescent="0.4">
      <c r="B745" s="20"/>
      <c r="C745" s="164" t="s">
        <v>196</v>
      </c>
      <c r="D745" s="297" t="s">
        <v>197</v>
      </c>
      <c r="E745" s="299"/>
      <c r="F745" s="21"/>
      <c r="G745" s="21"/>
      <c r="H745" s="41"/>
      <c r="I745" s="164" t="s">
        <v>198</v>
      </c>
      <c r="J745" s="309" t="s">
        <v>205</v>
      </c>
      <c r="K745" s="37"/>
      <c r="L745" s="35"/>
    </row>
    <row r="746" spans="1:12" s="4" customFormat="1" outlineLevel="1" x14ac:dyDescent="0.4">
      <c r="B746" s="20"/>
      <c r="C746" s="164" t="s">
        <v>199</v>
      </c>
      <c r="D746" s="296" t="s">
        <v>200</v>
      </c>
      <c r="E746" s="299"/>
      <c r="F746" s="21"/>
      <c r="G746" s="21"/>
      <c r="H746" s="41"/>
      <c r="I746" s="164" t="s">
        <v>201</v>
      </c>
      <c r="J746" s="309" t="s">
        <v>205</v>
      </c>
      <c r="K746" s="37"/>
      <c r="L746" s="35"/>
    </row>
    <row r="747" spans="1:12" s="4" customFormat="1" outlineLevel="1" x14ac:dyDescent="0.4">
      <c r="B747" s="20"/>
      <c r="C747" s="164" t="s">
        <v>202</v>
      </c>
      <c r="D747" s="296" t="s">
        <v>200</v>
      </c>
      <c r="E747" s="299"/>
      <c r="F747" s="21"/>
      <c r="G747" s="21"/>
      <c r="H747" s="46"/>
      <c r="I747" s="58"/>
      <c r="J747" s="58"/>
      <c r="K747" s="59"/>
      <c r="L747" s="35"/>
    </row>
    <row r="748" spans="1:12" s="4" customFormat="1" ht="6.75" customHeight="1" outlineLevel="1" x14ac:dyDescent="0.4">
      <c r="B748" s="20"/>
      <c r="C748" s="21"/>
      <c r="D748" s="21"/>
      <c r="E748" s="21"/>
      <c r="F748" s="21"/>
      <c r="G748" s="21"/>
      <c r="H748" s="21"/>
      <c r="I748" s="21"/>
      <c r="J748" s="21"/>
      <c r="K748" s="21"/>
      <c r="L748" s="35"/>
    </row>
    <row r="749" spans="1:12" s="4" customFormat="1" ht="12.75" customHeight="1" outlineLevel="1" x14ac:dyDescent="0.4">
      <c r="B749" s="20"/>
      <c r="C749" s="300" t="s">
        <v>203</v>
      </c>
      <c r="D749" s="21"/>
      <c r="E749" s="21"/>
      <c r="F749" s="21"/>
      <c r="G749" s="21"/>
      <c r="H749" s="21"/>
      <c r="I749" s="21"/>
      <c r="J749" s="21"/>
      <c r="K749" s="21"/>
      <c r="L749" s="35"/>
    </row>
    <row r="750" spans="1:12" s="4" customFormat="1" ht="12.75" customHeight="1" outlineLevel="1" x14ac:dyDescent="0.4">
      <c r="B750" s="20"/>
      <c r="C750" s="300" t="s">
        <v>204</v>
      </c>
      <c r="D750" s="21"/>
      <c r="E750" s="21"/>
      <c r="F750" s="21"/>
      <c r="G750" s="21"/>
      <c r="H750" s="21"/>
      <c r="I750" s="21"/>
      <c r="J750" s="21"/>
      <c r="K750" s="21"/>
      <c r="L750" s="35"/>
    </row>
    <row r="751" spans="1:12" s="4" customFormat="1" ht="6.6" customHeight="1" outlineLevel="1" x14ac:dyDescent="0.4">
      <c r="B751" s="28"/>
      <c r="C751" s="298"/>
      <c r="D751" s="29"/>
      <c r="E751" s="29"/>
      <c r="F751" s="29"/>
      <c r="G751" s="29"/>
      <c r="H751" s="29"/>
      <c r="I751" s="29"/>
      <c r="J751" s="29"/>
      <c r="K751" s="29"/>
      <c r="L751" s="60"/>
    </row>
    <row r="752" spans="1:12" s="4" customFormat="1" x14ac:dyDescent="0.4"/>
    <row r="753" spans="1:12" s="4" customFormat="1" hidden="1" x14ac:dyDescent="0.4"/>
    <row r="754" spans="1:12" s="4" customFormat="1" hidden="1" x14ac:dyDescent="0.4"/>
    <row r="755" spans="1:12" s="4" customFormat="1" hidden="1" x14ac:dyDescent="0.4"/>
    <row r="756" spans="1:12" s="4" customFormat="1" hidden="1" x14ac:dyDescent="0.4"/>
    <row r="757" spans="1:12" s="4" customFormat="1" hidden="1" x14ac:dyDescent="0.4"/>
    <row r="758" spans="1:12" s="4" customFormat="1" ht="19.2" x14ac:dyDescent="0.45">
      <c r="B758" s="754" t="str">
        <f>"Feedstock Conversion"&amp;" - "&amp;Feedstocks!C29</f>
        <v xml:space="preserve">Feedstock Conversion - </v>
      </c>
      <c r="C758" s="755"/>
      <c r="D758" s="755"/>
      <c r="E758" s="755"/>
      <c r="F758" s="755"/>
      <c r="G758" s="755"/>
      <c r="H758" s="755"/>
      <c r="I758" s="755"/>
      <c r="J758" s="755"/>
      <c r="K758" s="755"/>
      <c r="L758" s="756"/>
    </row>
    <row r="759" spans="1:12" s="4" customFormat="1" outlineLevel="1" x14ac:dyDescent="0.4">
      <c r="B759" s="17"/>
      <c r="C759" s="1"/>
      <c r="D759" s="19"/>
      <c r="E759" s="19"/>
      <c r="F759" s="1"/>
      <c r="G759" s="19"/>
      <c r="H759" s="19"/>
      <c r="I759" s="19"/>
      <c r="J759" s="19"/>
      <c r="K759" s="19"/>
      <c r="L759" s="50"/>
    </row>
    <row r="760" spans="1:12" s="4" customFormat="1" outlineLevel="1" x14ac:dyDescent="0.4">
      <c r="B760" s="20"/>
      <c r="C760" s="1"/>
      <c r="D760" s="1"/>
      <c r="E760" s="1"/>
      <c r="F760" s="1"/>
      <c r="G760" s="1"/>
      <c r="H760" s="69" t="s">
        <v>122</v>
      </c>
      <c r="I760" s="47"/>
      <c r="J760" s="47"/>
      <c r="K760" s="45"/>
      <c r="L760" s="35"/>
    </row>
    <row r="761" spans="1:12" s="4" customFormat="1" outlineLevel="1" x14ac:dyDescent="0.4">
      <c r="B761" s="20"/>
      <c r="C761" s="1"/>
      <c r="D761" s="1"/>
      <c r="E761" s="1"/>
      <c r="F761" s="1"/>
      <c r="G761" s="76"/>
      <c r="H761" s="41"/>
      <c r="I761" s="36"/>
      <c r="J761" s="164" t="s">
        <v>124</v>
      </c>
      <c r="K761" s="37"/>
      <c r="L761" s="35"/>
    </row>
    <row r="762" spans="1:12" s="4" customFormat="1" outlineLevel="1" x14ac:dyDescent="0.4">
      <c r="B762" s="20"/>
      <c r="C762" s="21"/>
      <c r="D762" s="1"/>
      <c r="E762" s="1"/>
      <c r="F762" s="1"/>
      <c r="G762" s="21"/>
      <c r="H762" s="41"/>
      <c r="I762" s="164" t="s">
        <v>125</v>
      </c>
      <c r="J762" s="52" t="str">
        <f>IFERROR((J766/('Transport 2'!F769*('Digestion &amp; outputs'!$G$32/1000)))*'Digestion &amp; outputs'!$K$23,"")</f>
        <v/>
      </c>
      <c r="K762" s="37"/>
      <c r="L762" s="35"/>
    </row>
    <row r="763" spans="1:12" s="4" customFormat="1" ht="16.5" customHeight="1" outlineLevel="1" x14ac:dyDescent="0.4">
      <c r="B763" s="20"/>
      <c r="C763" s="759" t="s">
        <v>183</v>
      </c>
      <c r="D763" s="759"/>
      <c r="E763" s="134" t="s">
        <v>178</v>
      </c>
      <c r="F763" s="1"/>
      <c r="G763" s="21"/>
      <c r="H763" s="41"/>
      <c r="I763" s="36"/>
      <c r="J763" s="36"/>
      <c r="K763" s="37"/>
      <c r="L763" s="35"/>
    </row>
    <row r="764" spans="1:12" s="4" customFormat="1" outlineLevel="1" x14ac:dyDescent="0.4">
      <c r="B764" s="20"/>
      <c r="C764" s="763" t="s">
        <v>184</v>
      </c>
      <c r="D764" s="764"/>
      <c r="E764" s="134" t="s">
        <v>96</v>
      </c>
      <c r="F764" s="1"/>
      <c r="G764" s="21"/>
      <c r="H764" s="41"/>
      <c r="I764" s="36"/>
      <c r="J764" s="36"/>
      <c r="K764" s="37"/>
      <c r="L764" s="35"/>
    </row>
    <row r="765" spans="1:12" s="4" customFormat="1" outlineLevel="1" x14ac:dyDescent="0.4">
      <c r="B765" s="20"/>
      <c r="C765" s="21"/>
      <c r="D765" s="21"/>
      <c r="E765" s="21"/>
      <c r="F765" s="1"/>
      <c r="G765" s="21"/>
      <c r="H765" s="43"/>
      <c r="I765" s="34"/>
      <c r="J765" s="164" t="s">
        <v>141</v>
      </c>
      <c r="K765" s="44"/>
      <c r="L765" s="35"/>
    </row>
    <row r="766" spans="1:12" s="4" customFormat="1" outlineLevel="1" x14ac:dyDescent="0.4">
      <c r="A766" s="765"/>
      <c r="B766" s="51"/>
      <c r="C766" s="164" t="s">
        <v>185</v>
      </c>
      <c r="D766" s="70">
        <f>IFERROR(Feedstocks!D29/'Transport 2'!F769,"Insert data")</f>
        <v>0</v>
      </c>
      <c r="E766" s="21"/>
      <c r="F766" s="1"/>
      <c r="G766" s="21"/>
      <c r="H766" s="43"/>
      <c r="I766" s="164" t="s">
        <v>167</v>
      </c>
      <c r="J766" s="52">
        <f>IFERROR(IF(AND(E763="YES",ISBLANK(F767)),"Insert yield",SUM(J782:J789,J775:J778,J771)*IF(E792="Yes",J795,1)),"Insert data")</f>
        <v>0</v>
      </c>
      <c r="K766" s="44"/>
      <c r="L766" s="35"/>
    </row>
    <row r="767" spans="1:12" s="4" customFormat="1" outlineLevel="1" x14ac:dyDescent="0.4">
      <c r="A767" s="765"/>
      <c r="B767" s="51"/>
      <c r="C767" s="164" t="s">
        <v>186</v>
      </c>
      <c r="D767" s="680">
        <v>0.9</v>
      </c>
      <c r="E767" s="134"/>
      <c r="F767" s="623">
        <f>IF(E763="No", 1, IF(E764="Default",D767, IF(E764="Actual", IF(E767&gt;0, E767, "insert data"), "error")))</f>
        <v>1</v>
      </c>
      <c r="G767" s="21"/>
      <c r="H767" s="49"/>
      <c r="I767" s="65"/>
      <c r="J767" s="65"/>
      <c r="K767" s="66"/>
      <c r="L767" s="35"/>
    </row>
    <row r="768" spans="1:12" s="4" customFormat="1" outlineLevel="1" x14ac:dyDescent="0.4">
      <c r="A768" s="765"/>
      <c r="B768" s="51"/>
      <c r="C768" s="21"/>
      <c r="D768" s="21"/>
      <c r="E768" s="21"/>
      <c r="F768" s="1"/>
      <c r="G768" s="21"/>
      <c r="H768" s="29"/>
      <c r="I768" s="29"/>
      <c r="J768" s="29"/>
      <c r="K768" s="29"/>
      <c r="L768" s="35"/>
    </row>
    <row r="769" spans="1:14" s="4" customFormat="1" outlineLevel="1" x14ac:dyDescent="0.4">
      <c r="A769" s="765"/>
      <c r="B769" s="51"/>
      <c r="C769" s="25" t="s">
        <v>187</v>
      </c>
      <c r="D769" s="1"/>
      <c r="E769" s="1"/>
      <c r="F769" s="1"/>
      <c r="G769" s="1"/>
      <c r="H769" s="69" t="s">
        <v>136</v>
      </c>
      <c r="I769" s="79"/>
      <c r="J769" s="79"/>
      <c r="K769" s="61"/>
      <c r="L769" s="54"/>
      <c r="M769" s="12"/>
      <c r="N769" s="12"/>
    </row>
    <row r="770" spans="1:14" s="4" customFormat="1" outlineLevel="1" x14ac:dyDescent="0.4">
      <c r="A770" s="765"/>
      <c r="B770" s="51"/>
      <c r="C770" s="166" t="s">
        <v>188</v>
      </c>
      <c r="D770" s="164" t="s">
        <v>151</v>
      </c>
      <c r="E770" s="164" t="s">
        <v>140</v>
      </c>
      <c r="F770" s="1"/>
      <c r="G770" s="1"/>
      <c r="H770" s="43"/>
      <c r="I770" s="34"/>
      <c r="J770" s="164" t="s">
        <v>141</v>
      </c>
      <c r="K770" s="44"/>
      <c r="L770" s="54"/>
    </row>
    <row r="771" spans="1:14" s="4" customFormat="1" outlineLevel="1" x14ac:dyDescent="0.4">
      <c r="A771" s="765"/>
      <c r="B771" s="51"/>
      <c r="C771" s="145"/>
      <c r="D771" s="141"/>
      <c r="E771" s="144"/>
      <c r="F771" s="1"/>
      <c r="G771" s="1"/>
      <c r="H771" s="43"/>
      <c r="I771" s="164" t="s">
        <v>189</v>
      </c>
      <c r="J771" s="31">
        <f>IFERROR(IF(E763="No",0,IF(D771="MWh",(E771*'Reference values'!$D$47*INDEX(Electricity_Emission_Factors,MATCH(C771,Electricity_Source,0)))/(D766*1000),IF(D771="kWh",(E771*'Reference values'!$D$47*INDEX(Electricity_Emission_Factors,MATCH(C771,Electricity_Source,0))/1000)/(D766*1000),IF(D771="MWh/tonne(output)",(E771*'Reference values'!$D$47*INDEX(Electricity_Emission_Factors,MATCH(C771,Electricity_Source,0)))/1000,IF(D771="kWh/tonne(output)",(E771*'Reference values'!$D$47*INDEX(Electricity_Emission_Factors,MATCH(C771,Electricity_Source,0))/1000)/1000,""))))),"")</f>
        <v>0</v>
      </c>
      <c r="K771" s="44"/>
      <c r="L771" s="54"/>
    </row>
    <row r="772" spans="1:14" s="4" customFormat="1" outlineLevel="1" x14ac:dyDescent="0.4">
      <c r="A772" s="765"/>
      <c r="B772" s="51"/>
      <c r="C772" s="1"/>
      <c r="D772" s="1"/>
      <c r="E772" s="1"/>
      <c r="F772" s="1"/>
      <c r="G772" s="1"/>
      <c r="H772" s="43"/>
      <c r="I772" s="34"/>
      <c r="J772" s="34"/>
      <c r="K772" s="44"/>
      <c r="L772" s="54"/>
    </row>
    <row r="773" spans="1:14" s="4" customFormat="1" outlineLevel="1" x14ac:dyDescent="0.4">
      <c r="A773" s="765"/>
      <c r="B773" s="51"/>
      <c r="C773" s="25" t="s">
        <v>190</v>
      </c>
      <c r="D773" s="1"/>
      <c r="E773" s="1"/>
      <c r="F773" s="1"/>
      <c r="G773" s="1"/>
      <c r="H773" s="43"/>
      <c r="I773" s="34"/>
      <c r="J773" s="34"/>
      <c r="K773" s="44"/>
      <c r="L773" s="54"/>
    </row>
    <row r="774" spans="1:14" s="4" customFormat="1" outlineLevel="1" x14ac:dyDescent="0.4">
      <c r="A774" s="765"/>
      <c r="B774" s="51"/>
      <c r="C774" s="164" t="s">
        <v>160</v>
      </c>
      <c r="D774" s="164" t="s">
        <v>151</v>
      </c>
      <c r="E774" s="164" t="s">
        <v>140</v>
      </c>
      <c r="F774" s="1"/>
      <c r="G774" s="1"/>
      <c r="H774" s="43"/>
      <c r="I774" s="164" t="s">
        <v>160</v>
      </c>
      <c r="J774" s="182" t="s">
        <v>141</v>
      </c>
      <c r="K774" s="44"/>
      <c r="L774" s="54"/>
    </row>
    <row r="775" spans="1:14" s="4" customFormat="1" outlineLevel="1" x14ac:dyDescent="0.4">
      <c r="A775" s="765"/>
      <c r="B775" s="51"/>
      <c r="C775" s="27" t="str">
        <f>IF(E764="Default", "Diesel", "")</f>
        <v>Diesel</v>
      </c>
      <c r="D775" s="74" t="str">
        <f>IF(E764="Default", "kWh/tonne(output)", "")</f>
        <v>kWh/tonne(output)</v>
      </c>
      <c r="E775" s="74">
        <f>IF(E764="Default", 3.881, "")</f>
        <v>3.8809999999999998</v>
      </c>
      <c r="F775" s="1"/>
      <c r="G775" s="1"/>
      <c r="H775" s="43"/>
      <c r="I775" s="27" t="str">
        <f>IF(C775&gt;0,C775,"")</f>
        <v>Diesel</v>
      </c>
      <c r="J775" s="31">
        <f>IF(E764="Actual","",IFERROR(IF(C775&gt;0,IF(ISBLANK(E775),"Insert data",IF(E763="No",0,(IF(D775="litres",(E775*(INDEX(Fuel_Densities,MATCH(C775,Fuels_for_Densities,0))/1000)*INDEX(Fuel_LHV,MATCH(C775,Fuels_for_LHV,0))*INDEX(Fuel_EFs,MATCH(C775,Fuels_for_EF,0)))/(D766*1000),(IF(D775="m3",(E775*(INDEX(Fuel_Densities,MATCH(C775,Fuels_for_Densities,0)))*INDEX(Fuel_LHV,MATCH(C775,Fuels_for_LHV,0))*INDEX(Fuel_EFs,MATCH(C775,Fuels_for_EF,0)))/(D766*1000),IF(D775="kg",(E775*INDEX(Fuel_LHV,MATCH(C775,Fuels_for_LHV,0))*INDEX(Fuel_EFs,MATCH(C775,Fuels_for_EF,0)))/(D766*1000),IF(D775="tonnes",(E775*INDEX(Fuel_LHV,MATCH(C775,Fuels_for_LHV,0))*1000*INDEX(Fuel_EFs,MATCH(C775,Fuels_for_EF,0)))/(D766*1000),IF(D775="MWh",(E775*'Reference values'!$D$47*INDEX(Fuel_EFs,MATCH(C775,Fuels_for_EF,0)))/(D766*1000),IF(D775="kWh",(E775*'Reference values'!$D$47*INDEX(Fuel_EFs,MATCH(C775,Fuels_for_EF,0))/1000)/(D766*1000),(IF(D775="litres/tonne(output)",(E775*(INDEX(Fuel_Densities,MATCH(C775,Fuels_for_Densities,0))/1000)*INDEX(Fuel_LHV,MATCH(C775,Fuels_for_LHV,0))*INDEX(Fuel_EFs,MATCH(C775,Fuels_for_EF,0)))/1000,(IF(D775="m3/tonne(output)",(E775*(INDEX(Fuel_Densities,MATCH(C775,Fuels_for_Densities,0)))*INDEX(Fuel_LHV,MATCH(C775,Fuels_for_LHV,0))*INDEX(Fuel_EFs,MATCH(C775,Fuels_for_EF,0)))/1000,IF(D775="kg/tonne(output)",(E775*INDEX(Fuel_LHV,MATCH(C775,Fuels_for_LHV,0))*INDEX(Fuel_EFs,MATCH(C775,Fuels_for_EF,0)))/1000,IF(D775="tonnes/tonne(output)",(E775*INDEX(Fuel_LHV,MATCH(C775,Fuels_for_LHV,0))*1000*INDEX(Fuel_EFs,MATCH(C775,Fuels_for_EF,0)))/1000,IF(D775="MWh/tonne(output)",(E775*'Reference values'!$D$47*INDEX(Fuel_EFs,MATCH(C775,Fuels_for_EF,0)))/1000,IF(D775="kWh/tonne(output)",(E775*'Reference values'!$D$47*INDEX(Fuel_EFs,MATCH(C775,Fuels_for_EF,0))/1000)/1000,"Insert unit")))))))))))))))))),""),"Insert data"))</f>
        <v>0</v>
      </c>
      <c r="K775" s="44"/>
      <c r="L775" s="54"/>
    </row>
    <row r="776" spans="1:14" s="4" customFormat="1" outlineLevel="1" x14ac:dyDescent="0.4">
      <c r="A776" s="765"/>
      <c r="B776" s="51"/>
      <c r="C776" s="134"/>
      <c r="D776" s="141"/>
      <c r="E776" s="144"/>
      <c r="F776" s="1"/>
      <c r="G776" s="1"/>
      <c r="H776" s="43"/>
      <c r="I776" s="27" t="str">
        <f>IF(C776&gt;0,C776,"")</f>
        <v/>
      </c>
      <c r="J776" s="31" t="str">
        <f>IFERROR(IF(C776&gt;0,IF(ISBLANK(E776),"Insert data",IF(E763="No",0,(IF(D776="litres",(E776*(INDEX(Fuel_Densities,MATCH(C776,Fuels_for_Densities,0))/1000)*INDEX(Fuel_LHV,MATCH(C776,Fuels_for_LHV,0))*INDEX(Fuel_EFs,MATCH(C776,Fuels_for_EF,0)))/(D766*1000),(IF(D776="m3",(E776*(INDEX(Fuel_Densities,MATCH(C776,Fuels_for_Densities,0)))*INDEX(Fuel_LHV,MATCH(C776,Fuels_for_LHV,0))*INDEX(Fuel_EFs,MATCH(C776,Fuels_for_EF,0)))/(D766*1000),IF(D776="kg",(E776*INDEX(Fuel_LHV,MATCH(C776,Fuels_for_LHV,0))*INDEX(Fuel_EFs,MATCH(C776,Fuels_for_EF,0)))/(D766*1000),IF(D776="tonnes",(E776*INDEX(Fuel_LHV,MATCH(C776,Fuels_for_LHV,0))*1000*INDEX(Fuel_EFs,MATCH(C776,Fuels_for_EF,0)))/(D766*1000),IF(D776="MWh",(E776*'Reference values'!$D$47*INDEX(Fuel_EFs,MATCH(C776,Fuels_for_EF,0)))/(D766*1000),IF(D776="kWh",(E776*'Reference values'!$D$47*INDEX(Fuel_EFs,MATCH(C776,Fuels_for_EF,0))/1000)/(D766*1000),(IF(D776="litres/tonne(output)",(E776*(INDEX(Fuel_Densities,MATCH(C776,Fuels_for_Densities,0))/1000)*INDEX(Fuel_LHV,MATCH(C776,Fuels_for_LHV,0))*INDEX(Fuel_EFs,MATCH(C776,Fuels_for_EF,0)))/1000,(IF(D776="m3/tonne(output)",(E776*(INDEX(Fuel_Densities,MATCH(C776,Fuels_for_Densities,0)))*INDEX(Fuel_LHV,MATCH(C776,Fuels_for_LHV,0))*INDEX(Fuel_EFs,MATCH(C776,Fuels_for_EF,0)))/1000,IF(D776="kg/tonne(output)",(E776*INDEX(Fuel_LHV,MATCH(C776,Fuels_for_LHV,0))*INDEX(Fuel_EFs,MATCH(C776,Fuels_for_EF,0)))/1000,IF(D776="tonnes/tonne(output)",(E776*INDEX(Fuel_LHV,MATCH(C776,Fuels_for_LHV,0))*1000*INDEX(Fuel_EFs,MATCH(C776,Fuels_for_EF,0)))/1000,IF(D776="MWh/tonne(output)",(E776*'Reference values'!$D$47*INDEX(Fuel_EFs,MATCH(C776,Fuels_for_EF,0)))/1000,IF(D776="kWh/tonne(output)",(E776*'Reference values'!$D$47*INDEX(Fuel_EFs,MATCH(C776,Fuels_for_EF,0))/1000)/1000,"Insert unit")))))))))))))))))),""),"Insert data")</f>
        <v/>
      </c>
      <c r="K776" s="44"/>
      <c r="L776" s="54"/>
    </row>
    <row r="777" spans="1:14" s="4" customFormat="1" outlineLevel="1" x14ac:dyDescent="0.4">
      <c r="A777" s="765"/>
      <c r="B777" s="51"/>
      <c r="C777" s="134"/>
      <c r="D777" s="141"/>
      <c r="E777" s="144"/>
      <c r="F777" s="1"/>
      <c r="G777" s="1"/>
      <c r="H777" s="43"/>
      <c r="I777" s="27" t="str">
        <f>IF(C777&gt;0,C777,"")</f>
        <v/>
      </c>
      <c r="J777" s="31" t="str">
        <f>IFERROR(IF(C777&gt;0,IF(ISBLANK(E777),"Insert data",IF(E763="No",0,(IF(D777="litres",(E777*(INDEX(Fuel_Densities,MATCH(C777,Fuels_for_Densities,0))/1000)*INDEX(Fuel_LHV,MATCH(C777,Fuels_for_LHV,0))*INDEX(Fuel_EFs,MATCH(C777,Fuels_for_EF,0)))/(D766*1000),(IF(D777="m3",(E777*(INDEX(Fuel_Densities,MATCH(C777,Fuels_for_Densities,0)))*INDEX(Fuel_LHV,MATCH(C777,Fuels_for_LHV,0))*INDEX(Fuel_EFs,MATCH(C777,Fuels_for_EF,0)))/(D766*1000),IF(D777="kg",(E777*INDEX(Fuel_LHV,MATCH(C777,Fuels_for_LHV,0))*INDEX(Fuel_EFs,MATCH(C777,Fuels_for_EF,0)))/(D766*1000),IF(D777="tonnes",(E777*INDEX(Fuel_LHV,MATCH(C777,Fuels_for_LHV,0))*1000*INDEX(Fuel_EFs,MATCH(C777,Fuels_for_EF,0)))/(D766*1000),IF(D777="MWh",(E777*'Reference values'!$D$47*INDEX(Fuel_EFs,MATCH(C777,Fuels_for_EF,0)))/(D766*1000),IF(D777="kWh",(E777*'Reference values'!$D$47*INDEX(Fuel_EFs,MATCH(C777,Fuels_for_EF,0))/1000)/(D766*1000),(IF(D777="litres/tonne(output)",(E777*(INDEX(Fuel_Densities,MATCH(C777,Fuels_for_Densities,0))/1000)*INDEX(Fuel_LHV,MATCH(C777,Fuels_for_LHV,0))*INDEX(Fuel_EFs,MATCH(C777,Fuels_for_EF,0)))/1000,(IF(D777="m3/tonne(output)",(E777*(INDEX(Fuel_Densities,MATCH(C777,Fuels_for_Densities,0)))*INDEX(Fuel_LHV,MATCH(C777,Fuels_for_LHV,0))*INDEX(Fuel_EFs,MATCH(C777,Fuels_for_EF,0)))/1000,IF(D777="kg/tonne(output)",(E777*INDEX(Fuel_LHV,MATCH(C777,Fuels_for_LHV,0))*INDEX(Fuel_EFs,MATCH(C777,Fuels_for_EF,0)))/1000,IF(D777="tonnes/tonne(output)",(E777*INDEX(Fuel_LHV,MATCH(C777,Fuels_for_LHV,0))*1000*INDEX(Fuel_EFs,MATCH(C777,Fuels_for_EF,0)))/1000,IF(D777="MWh/tonne(output)",(E777*'Reference values'!$D$47*INDEX(Fuel_EFs,MATCH(C777,Fuels_for_EF,0)))/1000,IF(D777="kWh/tonne(output)",(E777*'Reference values'!$D$47*INDEX(Fuel_EFs,MATCH(C777,Fuels_for_EF,0))/1000)/1000,"Insert unit")))))))))))))))))),""),"Insert data")</f>
        <v/>
      </c>
      <c r="K777" s="44"/>
      <c r="L777" s="54"/>
    </row>
    <row r="778" spans="1:14" s="4" customFormat="1" outlineLevel="1" x14ac:dyDescent="0.4">
      <c r="A778" s="765"/>
      <c r="B778" s="51"/>
      <c r="C778" s="134"/>
      <c r="D778" s="141"/>
      <c r="E778" s="144"/>
      <c r="F778" s="1"/>
      <c r="G778" s="1"/>
      <c r="H778" s="43"/>
      <c r="I778" s="27" t="str">
        <f>IF(C778&gt;0,C778,"")</f>
        <v/>
      </c>
      <c r="J778" s="31" t="str">
        <f>IFERROR(IF(C778&gt;0,IF(ISBLANK(E778),"Insert data",IF(E763="No",0,(IF(D778="litres",(E778*(INDEX(Fuel_Densities,MATCH(C778,Fuels_for_Densities,0))/1000)*INDEX(Fuel_LHV,MATCH(C778,Fuels_for_LHV,0))*INDEX(Fuel_EFs,MATCH(C778,Fuels_for_EF,0)))/(D766*1000),(IF(D778="m3",(E778*(INDEX(Fuel_Densities,MATCH(C778,Fuels_for_Densities,0)))*INDEX(Fuel_LHV,MATCH(C778,Fuels_for_LHV,0))*INDEX(Fuel_EFs,MATCH(C778,Fuels_for_EF,0)))/(D766*1000),IF(D778="kg",(E778*INDEX(Fuel_LHV,MATCH(C778,Fuels_for_LHV,0))*INDEX(Fuel_EFs,MATCH(C778,Fuels_for_EF,0)))/(D766*1000),IF(D778="tonnes",(E778*INDEX(Fuel_LHV,MATCH(C778,Fuels_for_LHV,0))*1000*INDEX(Fuel_EFs,MATCH(C778,Fuels_for_EF,0)))/(D766*1000),IF(D778="MWh",(E778*'Reference values'!$D$47*INDEX(Fuel_EFs,MATCH(C778,Fuels_for_EF,0)))/(D766*1000),IF(D778="kWh",(E778*'Reference values'!$D$47*INDEX(Fuel_EFs,MATCH(C778,Fuels_for_EF,0))/1000)/(D766*1000),(IF(D778="litres/tonne(output)",(E778*(INDEX(Fuel_Densities,MATCH(C778,Fuels_for_Densities,0))/1000)*INDEX(Fuel_LHV,MATCH(C778,Fuels_for_LHV,0))*INDEX(Fuel_EFs,MATCH(C778,Fuels_for_EF,0)))/1000,(IF(D778="m3/tonne(output)",(E778*(INDEX(Fuel_Densities,MATCH(C778,Fuels_for_Densities,0)))*INDEX(Fuel_LHV,MATCH(C778,Fuels_for_LHV,0))*INDEX(Fuel_EFs,MATCH(C778,Fuels_for_EF,0)))/1000,IF(D778="kg/tonne(output)",(E778*INDEX(Fuel_LHV,MATCH(C778,Fuels_for_LHV,0))*INDEX(Fuel_EFs,MATCH(C778,Fuels_for_EF,0)))/1000,IF(D778="tonnes/tonne(output)",(E778*INDEX(Fuel_LHV,MATCH(C778,Fuels_for_LHV,0))*1000*INDEX(Fuel_EFs,MATCH(C778,Fuels_for_EF,0)))/1000,IF(D778="MWh/tonne(output)",(E778*'Reference values'!$D$47*INDEX(Fuel_EFs,MATCH(C778,Fuels_for_EF,0)))/1000,IF(D778="kWh/tonne(output)",(E778*'Reference values'!$D$47*INDEX(Fuel_EFs,MATCH(C778,Fuels_for_EF,0))/1000)/1000,"Insert unit")))))))))))))))))),""),"Insert data")</f>
        <v/>
      </c>
      <c r="K778" s="44"/>
      <c r="L778" s="54"/>
    </row>
    <row r="779" spans="1:14" s="4" customFormat="1" outlineLevel="1" x14ac:dyDescent="0.4">
      <c r="A779" s="765"/>
      <c r="B779" s="51"/>
      <c r="C779" s="1"/>
      <c r="D779" s="1"/>
      <c r="E779" s="1"/>
      <c r="F779" s="1"/>
      <c r="G779" s="53"/>
      <c r="H779" s="56"/>
      <c r="I779" s="57"/>
      <c r="J779" s="34"/>
      <c r="K779" s="44"/>
      <c r="L779" s="54"/>
    </row>
    <row r="780" spans="1:14" s="4" customFormat="1" outlineLevel="1" x14ac:dyDescent="0.4">
      <c r="A780" s="765"/>
      <c r="B780" s="51"/>
      <c r="C780" s="25" t="s">
        <v>191</v>
      </c>
      <c r="D780" s="1"/>
      <c r="E780" s="1"/>
      <c r="F780" s="1"/>
      <c r="G780" s="53"/>
      <c r="H780" s="56"/>
      <c r="I780" s="34"/>
      <c r="J780" s="34"/>
      <c r="K780" s="44"/>
      <c r="L780" s="54"/>
    </row>
    <row r="781" spans="1:14" s="4" customFormat="1" outlineLevel="1" x14ac:dyDescent="0.4">
      <c r="A781" s="765"/>
      <c r="B781" s="51"/>
      <c r="C781" s="164" t="s">
        <v>192</v>
      </c>
      <c r="D781" s="164" t="s">
        <v>151</v>
      </c>
      <c r="E781" s="164" t="s">
        <v>140</v>
      </c>
      <c r="F781" s="1"/>
      <c r="G781" s="1"/>
      <c r="H781" s="43"/>
      <c r="I781" s="164" t="s">
        <v>192</v>
      </c>
      <c r="J781" s="182" t="s">
        <v>141</v>
      </c>
      <c r="K781" s="44"/>
      <c r="L781" s="54"/>
    </row>
    <row r="782" spans="1:14" s="4" customFormat="1" outlineLevel="1" x14ac:dyDescent="0.4">
      <c r="A782" s="765"/>
      <c r="B782" s="51"/>
      <c r="C782" s="134"/>
      <c r="D782" s="141"/>
      <c r="E782" s="144"/>
      <c r="F782" s="1"/>
      <c r="G782" s="1"/>
      <c r="H782" s="43"/>
      <c r="I782" s="27" t="str">
        <f t="shared" ref="I782:I789" si="15">IF(C782&gt;0,C782,"")</f>
        <v/>
      </c>
      <c r="J782" s="31" t="str">
        <f>IFERROR(IF(C782&gt;0,IF(ISBLANK(E782),"Insert data",IF(E763="No",0,IF(D782="kg",E782*INDEX(Chemical_Emission_Factors,MATCH(C782,Chemicals,0))/(D766*1000),IF(D782="tonnes",E782*INDEX(Chemical_Emission_Factors,MATCH(C782,Chemicals,0))*1000/(D766*1000),IF(D782="kg/tonne(output)",E782*INDEX(Chemical_Emission_Factors,MATCH(C782,Chemicals,0))/1000,IF(D782="tonnes/tonne(output)",E782*INDEX(Chemical_Emission_Factors,MATCH(C782,Chemicals,0))*1000/1000,"Insert unit")))))),""),"Insert data")</f>
        <v/>
      </c>
      <c r="K782" s="44"/>
      <c r="L782" s="54"/>
    </row>
    <row r="783" spans="1:14" s="4" customFormat="1" outlineLevel="1" x14ac:dyDescent="0.4">
      <c r="A783" s="765"/>
      <c r="B783" s="51"/>
      <c r="C783" s="134"/>
      <c r="D783" s="141"/>
      <c r="E783" s="144"/>
      <c r="F783" s="1"/>
      <c r="G783" s="1"/>
      <c r="H783" s="43"/>
      <c r="I783" s="27" t="str">
        <f t="shared" si="15"/>
        <v/>
      </c>
      <c r="J783" s="31" t="str">
        <f>IFERROR(IF(C783&gt;0,IF(ISBLANK(E783),"Insert data",IF(E763="No",0,IF(D783="kg",E783*INDEX(Chemical_Emission_Factors,MATCH(C783,Chemicals,0))/(D766*1000),IF(D783="tonnes",E783*INDEX(Chemical_Emission_Factors,MATCH(C783,Chemicals,0))*1000/(D766*1000),IF(D783="kg/tonne(output)",E783*INDEX(Chemical_Emission_Factors,MATCH(C783,Chemicals,0))/1000,IF(D783="tonnes/tonne(output)",E783*INDEX(Chemical_Emission_Factors,MATCH(C783,Chemicals,0))*1000/1000,"Insert unit")))))),""),"Insert data")</f>
        <v/>
      </c>
      <c r="K783" s="44"/>
      <c r="L783" s="54"/>
    </row>
    <row r="784" spans="1:14" s="4" customFormat="1" outlineLevel="1" x14ac:dyDescent="0.4">
      <c r="A784" s="765"/>
      <c r="B784" s="51"/>
      <c r="C784" s="134"/>
      <c r="D784" s="141"/>
      <c r="E784" s="144"/>
      <c r="F784" s="1"/>
      <c r="G784" s="1"/>
      <c r="H784" s="43"/>
      <c r="I784" s="27" t="str">
        <f t="shared" si="15"/>
        <v/>
      </c>
      <c r="J784" s="31" t="str">
        <f>IFERROR(IF(C784&gt;0,IF(ISBLANK(E784),"Insert data",IF(E763="No",0,IF(D784="kg",E784*INDEX(Chemical_Emission_Factors,MATCH(C784,Chemicals,0))/(D766*1000),IF(D784="tonnes",E784*INDEX(Chemical_Emission_Factors,MATCH(C784,Chemicals,0))*1000/(D766*1000),IF(D784="kg/tonne(output)",E784*INDEX(Chemical_Emission_Factors,MATCH(C784,Chemicals,0))/1000,IF(D784="tonnes/tonne(output)",E784*INDEX(Chemical_Emission_Factors,MATCH(C784,Chemicals,0))*1000/1000,"Insert unit")))))),""),"Insert data")</f>
        <v/>
      </c>
      <c r="K784" s="44"/>
      <c r="L784" s="54"/>
    </row>
    <row r="785" spans="1:12" s="4" customFormat="1" outlineLevel="1" x14ac:dyDescent="0.4">
      <c r="A785" s="765"/>
      <c r="B785" s="51"/>
      <c r="C785" s="134"/>
      <c r="D785" s="141"/>
      <c r="E785" s="144"/>
      <c r="F785" s="1"/>
      <c r="G785" s="1"/>
      <c r="H785" s="43"/>
      <c r="I785" s="27" t="str">
        <f t="shared" si="15"/>
        <v/>
      </c>
      <c r="J785" s="31" t="str">
        <f>IFERROR(IF(C785&gt;0,IF(ISBLANK(E785),"Insert data",IF(E763="No",0,IF(D785="kg",E785*INDEX(Chemical_Emission_Factors,MATCH(C785,Chemicals,0))/(D766*1000),IF(D785="tonnes",E785*INDEX(Chemical_Emission_Factors,MATCH(C785,Chemicals,0))*1000/(D766*1000),IF(D785="kg/tonne(output)",E785*INDEX(Chemical_Emission_Factors,MATCH(C785,Chemicals,0))/1000,IF(D785="tonnes/tonne(output)",E785*INDEX(Chemical_Emission_Factors,MATCH(C785,Chemicals,0))*1000/1000,"Insert unit")))))),""),"Insert data")</f>
        <v/>
      </c>
      <c r="K785" s="44"/>
      <c r="L785" s="54"/>
    </row>
    <row r="786" spans="1:12" s="4" customFormat="1" outlineLevel="1" x14ac:dyDescent="0.4">
      <c r="A786" s="765"/>
      <c r="B786" s="51"/>
      <c r="C786" s="134"/>
      <c r="D786" s="141"/>
      <c r="E786" s="144"/>
      <c r="F786" s="1"/>
      <c r="G786" s="1"/>
      <c r="H786" s="43"/>
      <c r="I786" s="27" t="str">
        <f t="shared" si="15"/>
        <v/>
      </c>
      <c r="J786" s="31" t="str">
        <f>IFERROR(IF(C786&gt;0,IF(ISBLANK(E786),"Insert data",IF(E763="No",0,IF(D786="kg",E786*INDEX(Chemical_Emission_Factors,MATCH(C786,Chemicals,0))/(D766*1000),IF(D786="tonnes",E786*INDEX(Chemical_Emission_Factors,MATCH(C786,Chemicals,0))*1000/(D766*1000),IF(D786="kg/tonne(output)",E786*INDEX(Chemical_Emission_Factors,MATCH(C786,Chemicals,0))/1000,IF(D786="tonnes/tonne(output)",E786*INDEX(Chemical_Emission_Factors,MATCH(C786,Chemicals,0))*1000/1000,"Insert unit")))))),""),"Insert data")</f>
        <v/>
      </c>
      <c r="K786" s="44"/>
      <c r="L786" s="54"/>
    </row>
    <row r="787" spans="1:12" s="4" customFormat="1" outlineLevel="1" x14ac:dyDescent="0.4">
      <c r="A787" s="765"/>
      <c r="B787" s="51"/>
      <c r="C787" s="134"/>
      <c r="D787" s="141"/>
      <c r="E787" s="144"/>
      <c r="F787" s="1"/>
      <c r="G787" s="1"/>
      <c r="H787" s="43"/>
      <c r="I787" s="27" t="str">
        <f t="shared" si="15"/>
        <v/>
      </c>
      <c r="J787" s="31" t="str">
        <f>IFERROR(IF(C787&gt;0,IF(ISBLANK(E787),"Insert data",IF(E763="No",0,IF(D787="kg",E787*INDEX(Chemical_Emission_Factors,MATCH(C787,Chemicals,0))/(D766*1000),IF(D787="tonnes",E787*INDEX(Chemical_Emission_Factors,MATCH(C787,Chemicals,0))*1000/(D766*1000),IF(D787="kg/tonne(output)",E787*INDEX(Chemical_Emission_Factors,MATCH(C787,Chemicals,0))/1000,IF(D787="tonnes/tonne(output)",E787*INDEX(Chemical_Emission_Factors,MATCH(C787,Chemicals,0))*1000/1000,"Insert unit")))))),""),"Insert data")</f>
        <v/>
      </c>
      <c r="K787" s="44"/>
      <c r="L787" s="54"/>
    </row>
    <row r="788" spans="1:12" s="4" customFormat="1" outlineLevel="1" x14ac:dyDescent="0.4">
      <c r="A788" s="765"/>
      <c r="B788" s="51"/>
      <c r="C788" s="134"/>
      <c r="D788" s="141"/>
      <c r="E788" s="144"/>
      <c r="F788" s="1"/>
      <c r="G788" s="1"/>
      <c r="H788" s="43"/>
      <c r="I788" s="27" t="str">
        <f t="shared" si="15"/>
        <v/>
      </c>
      <c r="J788" s="31" t="str">
        <f>IFERROR(IF(C788&gt;0,IF(ISBLANK(E788),"Insert data",IF(E763="No",0,IF(D788="kg",E788*INDEX(Chemical_Emission_Factors,MATCH(C788,Chemicals,0))/(D766*1000),IF(D788="tonnes",E788*INDEX(Chemical_Emission_Factors,MATCH(C788,Chemicals,0))*1000/(D766*1000),IF(D788="kg/tonne(output)",E788*INDEX(Chemical_Emission_Factors,MATCH(C788,Chemicals,0))/1000,IF(D788="tonnes/tonne(output)",E788*INDEX(Chemical_Emission_Factors,MATCH(C788,Chemicals,0))*1000/1000,"Insert unit")))))),""),"Insert data")</f>
        <v/>
      </c>
      <c r="K788" s="44"/>
      <c r="L788" s="54"/>
    </row>
    <row r="789" spans="1:12" s="4" customFormat="1" outlineLevel="1" x14ac:dyDescent="0.4">
      <c r="A789" s="765"/>
      <c r="B789" s="51"/>
      <c r="C789" s="134"/>
      <c r="D789" s="141"/>
      <c r="E789" s="144"/>
      <c r="F789" s="1"/>
      <c r="G789" s="1"/>
      <c r="H789" s="43"/>
      <c r="I789" s="27" t="str">
        <f t="shared" si="15"/>
        <v/>
      </c>
      <c r="J789" s="31" t="str">
        <f>IFERROR(IF(C789&gt;0,IF(ISBLANK(E789),"Insert data",IF(E763="No",0,IF(D789="kg",E789*INDEX(Chemical_Emission_Factors,MATCH(C789,Chemicals,0))/(D766*1000),IF(D789="tonnes",E789*INDEX(Chemical_Emission_Factors,MATCH(C789,Chemicals,0))*1000/(D766*1000),IF(D789="kg/tonne(output)",E789*INDEX(Chemical_Emission_Factors,MATCH(C789,Chemicals,0))/1000,IF(D789="tonnes/tonne(output)",E789*INDEX(Chemical_Emission_Factors,MATCH(C789,Chemicals,0))*1000/1000,"Insert unit")))))),""),"Insert data")</f>
        <v/>
      </c>
      <c r="K789" s="44"/>
      <c r="L789" s="54"/>
    </row>
    <row r="790" spans="1:12" s="4" customFormat="1" ht="12.75" customHeight="1" outlineLevel="1" x14ac:dyDescent="0.4">
      <c r="B790" s="20"/>
      <c r="C790" s="21"/>
      <c r="D790" s="21"/>
      <c r="E790" s="21"/>
      <c r="F790" s="1"/>
      <c r="G790" s="21"/>
      <c r="H790" s="46"/>
      <c r="I790" s="58"/>
      <c r="J790" s="58"/>
      <c r="K790" s="59"/>
      <c r="L790" s="35"/>
    </row>
    <row r="791" spans="1:12" s="4" customFormat="1" outlineLevel="1" x14ac:dyDescent="0.4">
      <c r="B791" s="20"/>
      <c r="C791" s="243" t="s">
        <v>193</v>
      </c>
      <c r="D791" s="21"/>
      <c r="E791" s="21"/>
      <c r="F791" s="1"/>
      <c r="G791" s="21"/>
      <c r="H791" s="21"/>
      <c r="I791" s="21"/>
      <c r="J791" s="21"/>
      <c r="K791" s="21"/>
      <c r="L791" s="35"/>
    </row>
    <row r="792" spans="1:12" s="4" customFormat="1" outlineLevel="1" x14ac:dyDescent="0.4">
      <c r="B792" s="20"/>
      <c r="C792" s="766" t="s">
        <v>194</v>
      </c>
      <c r="D792" s="767"/>
      <c r="E792" s="299" t="s">
        <v>178</v>
      </c>
      <c r="F792" s="1"/>
      <c r="G792" s="21"/>
      <c r="H792" s="302"/>
      <c r="I792" s="47"/>
      <c r="J792" s="47"/>
      <c r="K792" s="45"/>
      <c r="L792" s="35"/>
    </row>
    <row r="793" spans="1:12" s="4" customFormat="1" ht="6.75" customHeight="1" outlineLevel="1" x14ac:dyDescent="0.4">
      <c r="B793" s="20"/>
      <c r="C793" s="21"/>
      <c r="D793" s="21"/>
      <c r="E793" s="21"/>
      <c r="F793" s="1"/>
      <c r="G793" s="21"/>
      <c r="H793" s="41"/>
      <c r="I793" s="36"/>
      <c r="J793" s="301"/>
      <c r="K793" s="37"/>
      <c r="L793" s="35"/>
    </row>
    <row r="794" spans="1:12" s="4" customFormat="1" outlineLevel="1" x14ac:dyDescent="0.4">
      <c r="B794" s="20"/>
      <c r="C794" s="21"/>
      <c r="D794" s="164" t="s">
        <v>151</v>
      </c>
      <c r="E794" s="164" t="s">
        <v>140</v>
      </c>
      <c r="F794" s="1"/>
      <c r="G794" s="21"/>
      <c r="H794" s="41"/>
      <c r="I794" s="36"/>
      <c r="J794" s="164" t="s">
        <v>195</v>
      </c>
      <c r="K794" s="37"/>
      <c r="L794" s="35"/>
    </row>
    <row r="795" spans="1:12" s="4" customFormat="1" outlineLevel="1" x14ac:dyDescent="0.4">
      <c r="B795" s="20"/>
      <c r="C795" s="164" t="s">
        <v>196</v>
      </c>
      <c r="D795" s="297" t="s">
        <v>197</v>
      </c>
      <c r="E795" s="299"/>
      <c r="F795" s="1"/>
      <c r="G795" s="21"/>
      <c r="H795" s="41"/>
      <c r="I795" s="164" t="s">
        <v>198</v>
      </c>
      <c r="J795" s="309" t="str">
        <f>IFERROR(IF(E792="No", "", IF(AND(E792="yes",OR(ISBLANK(E795),ISBLANK(E796),ISBLANK(E797))),"Insert data",E796/(E796+E797*E795))), "")</f>
        <v/>
      </c>
      <c r="K795" s="37"/>
      <c r="L795" s="35"/>
    </row>
    <row r="796" spans="1:12" s="4" customFormat="1" outlineLevel="1" x14ac:dyDescent="0.4">
      <c r="B796" s="20"/>
      <c r="C796" s="164" t="s">
        <v>199</v>
      </c>
      <c r="D796" s="296" t="s">
        <v>200</v>
      </c>
      <c r="E796" s="299"/>
      <c r="F796" s="1"/>
      <c r="G796" s="21"/>
      <c r="H796" s="41"/>
      <c r="I796" s="164" t="s">
        <v>201</v>
      </c>
      <c r="J796" s="309" t="str">
        <f>IFERROR(IF(E792="No", "", IF(AND(E792="yes",OR(ISBLANK(E795),ISBLANK(E796),ISBLANK(E797))),"Insert data",(E797*E795)/(E797*E795+E796))),"")</f>
        <v/>
      </c>
      <c r="K796" s="37"/>
      <c r="L796" s="35"/>
    </row>
    <row r="797" spans="1:12" s="4" customFormat="1" outlineLevel="1" x14ac:dyDescent="0.4">
      <c r="B797" s="20"/>
      <c r="C797" s="164" t="s">
        <v>202</v>
      </c>
      <c r="D797" s="296" t="s">
        <v>200</v>
      </c>
      <c r="E797" s="299"/>
      <c r="F797" s="1"/>
      <c r="G797" s="21"/>
      <c r="H797" s="46"/>
      <c r="I797" s="58"/>
      <c r="J797" s="58"/>
      <c r="K797" s="59"/>
      <c r="L797" s="35"/>
    </row>
    <row r="798" spans="1:12" s="4" customFormat="1" ht="6.75" customHeight="1" outlineLevel="1" x14ac:dyDescent="0.4">
      <c r="B798" s="20"/>
      <c r="C798" s="21"/>
      <c r="D798" s="21"/>
      <c r="E798" s="21"/>
      <c r="F798" s="21"/>
      <c r="G798" s="21"/>
      <c r="H798" s="21"/>
      <c r="I798" s="21"/>
      <c r="J798" s="21"/>
      <c r="K798" s="21"/>
      <c r="L798" s="35"/>
    </row>
    <row r="799" spans="1:12" s="4" customFormat="1" ht="12.75" customHeight="1" outlineLevel="1" x14ac:dyDescent="0.4">
      <c r="B799" s="20"/>
      <c r="C799" s="300" t="s">
        <v>203</v>
      </c>
      <c r="D799" s="21"/>
      <c r="E799" s="21"/>
      <c r="F799" s="21"/>
      <c r="G799" s="21"/>
      <c r="H799" s="21"/>
      <c r="I799" s="21"/>
      <c r="J799" s="21"/>
      <c r="K799" s="21"/>
      <c r="L799" s="35"/>
    </row>
    <row r="800" spans="1:12" s="4" customFormat="1" ht="12.75" customHeight="1" outlineLevel="1" x14ac:dyDescent="0.4">
      <c r="B800" s="20"/>
      <c r="C800" s="300" t="s">
        <v>204</v>
      </c>
      <c r="D800" s="21"/>
      <c r="E800" s="21"/>
      <c r="F800" s="21"/>
      <c r="G800" s="21"/>
      <c r="H800" s="21"/>
      <c r="I800" s="21"/>
      <c r="J800" s="21"/>
      <c r="K800" s="21"/>
      <c r="L800" s="35"/>
    </row>
    <row r="801" spans="1:12" s="4" customFormat="1" ht="6.75" customHeight="1" outlineLevel="1" x14ac:dyDescent="0.4">
      <c r="B801" s="28"/>
      <c r="C801" s="298"/>
      <c r="D801" s="29"/>
      <c r="E801" s="29"/>
      <c r="F801" s="29"/>
      <c r="G801" s="29"/>
      <c r="H801" s="29"/>
      <c r="I801" s="29"/>
      <c r="J801" s="29"/>
      <c r="K801" s="29"/>
      <c r="L801" s="60"/>
    </row>
    <row r="802" spans="1:12" s="4" customFormat="1" x14ac:dyDescent="0.4"/>
    <row r="803" spans="1:12" s="4" customFormat="1" hidden="1" x14ac:dyDescent="0.4"/>
    <row r="804" spans="1:12" s="4" customFormat="1" hidden="1" x14ac:dyDescent="0.4"/>
    <row r="805" spans="1:12" s="4" customFormat="1" hidden="1" x14ac:dyDescent="0.4"/>
    <row r="806" spans="1:12" s="4" customFormat="1" hidden="1" x14ac:dyDescent="0.4"/>
    <row r="807" spans="1:12" s="4" customFormat="1" hidden="1" x14ac:dyDescent="0.4"/>
    <row r="808" spans="1:12" s="4" customFormat="1" ht="19.2" x14ac:dyDescent="0.45">
      <c r="B808" s="754" t="str">
        <f>"Feedstock Conversion"&amp;" - "&amp;Feedstocks!C30</f>
        <v xml:space="preserve">Feedstock Conversion - </v>
      </c>
      <c r="C808" s="755"/>
      <c r="D808" s="755"/>
      <c r="E808" s="755"/>
      <c r="F808" s="755"/>
      <c r="G808" s="755"/>
      <c r="H808" s="755"/>
      <c r="I808" s="755"/>
      <c r="J808" s="755"/>
      <c r="K808" s="755"/>
      <c r="L808" s="756"/>
    </row>
    <row r="809" spans="1:12" s="4" customFormat="1" outlineLevel="1" x14ac:dyDescent="0.4">
      <c r="B809" s="17"/>
      <c r="C809" s="19"/>
      <c r="D809" s="19"/>
      <c r="E809" s="19"/>
      <c r="F809" s="19"/>
      <c r="G809" s="19"/>
      <c r="H809" s="19"/>
      <c r="I809" s="19"/>
      <c r="J809" s="19"/>
      <c r="K809" s="19"/>
      <c r="L809" s="50"/>
    </row>
    <row r="810" spans="1:12" s="4" customFormat="1" outlineLevel="1" x14ac:dyDescent="0.4">
      <c r="B810" s="20"/>
      <c r="C810" s="1"/>
      <c r="D810" s="1"/>
      <c r="E810" s="1"/>
      <c r="F810" s="1"/>
      <c r="G810" s="1"/>
      <c r="H810" s="69" t="s">
        <v>122</v>
      </c>
      <c r="I810" s="47"/>
      <c r="J810" s="47"/>
      <c r="K810" s="45"/>
      <c r="L810" s="35"/>
    </row>
    <row r="811" spans="1:12" s="4" customFormat="1" outlineLevel="1" x14ac:dyDescent="0.4">
      <c r="B811" s="20"/>
      <c r="C811" s="1"/>
      <c r="D811" s="1"/>
      <c r="E811" s="1"/>
      <c r="F811" s="1"/>
      <c r="G811" s="76"/>
      <c r="H811" s="41"/>
      <c r="I811" s="36"/>
      <c r="J811" s="164" t="s">
        <v>124</v>
      </c>
      <c r="K811" s="37"/>
      <c r="L811" s="35"/>
    </row>
    <row r="812" spans="1:12" s="4" customFormat="1" outlineLevel="1" x14ac:dyDescent="0.4">
      <c r="B812" s="20"/>
      <c r="C812" s="21"/>
      <c r="D812" s="1"/>
      <c r="E812" s="1"/>
      <c r="F812" s="1"/>
      <c r="G812" s="21"/>
      <c r="H812" s="41"/>
      <c r="I812" s="164" t="s">
        <v>125</v>
      </c>
      <c r="J812" s="52" t="str">
        <f>IFERROR((J816/('Transport 2'!F819*('Digestion &amp; outputs'!$G$33/1000)))*'Digestion &amp; outputs'!$K$23,"")</f>
        <v/>
      </c>
      <c r="K812" s="37"/>
      <c r="L812" s="35"/>
    </row>
    <row r="813" spans="1:12" s="4" customFormat="1" ht="16.5" customHeight="1" outlineLevel="1" x14ac:dyDescent="0.4">
      <c r="B813" s="20"/>
      <c r="C813" s="759" t="s">
        <v>183</v>
      </c>
      <c r="D813" s="759"/>
      <c r="E813" s="134" t="s">
        <v>178</v>
      </c>
      <c r="F813" s="1"/>
      <c r="G813" s="21"/>
      <c r="H813" s="41"/>
      <c r="I813" s="36"/>
      <c r="J813" s="36"/>
      <c r="K813" s="37"/>
      <c r="L813" s="35"/>
    </row>
    <row r="814" spans="1:12" s="4" customFormat="1" outlineLevel="1" x14ac:dyDescent="0.4">
      <c r="B814" s="20"/>
      <c r="C814" s="763" t="s">
        <v>184</v>
      </c>
      <c r="D814" s="764"/>
      <c r="E814" s="134" t="s">
        <v>96</v>
      </c>
      <c r="F814" s="1"/>
      <c r="G814" s="21"/>
      <c r="H814" s="41"/>
      <c r="I814" s="36"/>
      <c r="J814" s="36"/>
      <c r="K814" s="37"/>
      <c r="L814" s="35"/>
    </row>
    <row r="815" spans="1:12" s="4" customFormat="1" outlineLevel="1" x14ac:dyDescent="0.4">
      <c r="B815" s="20"/>
      <c r="C815" s="21"/>
      <c r="D815" s="21"/>
      <c r="E815" s="21"/>
      <c r="F815" s="1"/>
      <c r="G815" s="21"/>
      <c r="H815" s="43"/>
      <c r="I815" s="34"/>
      <c r="J815" s="164" t="s">
        <v>141</v>
      </c>
      <c r="K815" s="44"/>
      <c r="L815" s="35"/>
    </row>
    <row r="816" spans="1:12" s="4" customFormat="1" outlineLevel="1" x14ac:dyDescent="0.4">
      <c r="A816" s="765"/>
      <c r="B816" s="51"/>
      <c r="C816" s="164" t="s">
        <v>185</v>
      </c>
      <c r="D816" s="70">
        <f>IFERROR(Feedstocks!D30/'Transport 2'!F819,"Insert data")</f>
        <v>0</v>
      </c>
      <c r="E816" s="21"/>
      <c r="F816" s="1"/>
      <c r="G816" s="21"/>
      <c r="H816" s="43"/>
      <c r="I816" s="164" t="s">
        <v>167</v>
      </c>
      <c r="J816" s="52">
        <f>IFERROR(IF(AND(E813="YES",ISBLANK(F817)),"Insert yield",SUM(J832:J839,J825:J828,J821)*IF(E842="Yes",J845,1)),"Insert data")</f>
        <v>0</v>
      </c>
      <c r="K816" s="44"/>
      <c r="L816" s="35"/>
    </row>
    <row r="817" spans="1:14" s="4" customFormat="1" outlineLevel="1" x14ac:dyDescent="0.4">
      <c r="A817" s="765"/>
      <c r="B817" s="51"/>
      <c r="C817" s="164" t="s">
        <v>186</v>
      </c>
      <c r="D817" s="680">
        <v>0.9</v>
      </c>
      <c r="E817" s="134"/>
      <c r="F817" s="623">
        <f>IF(E813="No", 1, IF(E814="Default",D817, IF(E814="Actual", IF(E817&gt;0, E817, "insert data"), "error")))</f>
        <v>1</v>
      </c>
      <c r="G817" s="21"/>
      <c r="H817" s="49"/>
      <c r="I817" s="65"/>
      <c r="J817" s="65"/>
      <c r="K817" s="66"/>
      <c r="L817" s="35"/>
    </row>
    <row r="818" spans="1:14" s="4" customFormat="1" outlineLevel="1" x14ac:dyDescent="0.4">
      <c r="A818" s="765"/>
      <c r="B818" s="51"/>
      <c r="C818" s="21"/>
      <c r="D818" s="21"/>
      <c r="E818" s="21"/>
      <c r="F818" s="1"/>
      <c r="G818" s="21"/>
      <c r="H818" s="29"/>
      <c r="I818" s="29"/>
      <c r="J818" s="29"/>
      <c r="K818" s="29"/>
      <c r="L818" s="35"/>
    </row>
    <row r="819" spans="1:14" s="4" customFormat="1" outlineLevel="1" x14ac:dyDescent="0.4">
      <c r="A819" s="765"/>
      <c r="B819" s="51"/>
      <c r="C819" s="25" t="s">
        <v>187</v>
      </c>
      <c r="D819" s="1"/>
      <c r="E819" s="1"/>
      <c r="F819" s="1"/>
      <c r="G819" s="1"/>
      <c r="H819" s="69" t="s">
        <v>136</v>
      </c>
      <c r="I819" s="79"/>
      <c r="J819" s="79"/>
      <c r="K819" s="61"/>
      <c r="L819" s="54"/>
      <c r="M819" s="12"/>
      <c r="N819" s="12"/>
    </row>
    <row r="820" spans="1:14" s="4" customFormat="1" outlineLevel="1" x14ac:dyDescent="0.4">
      <c r="A820" s="765"/>
      <c r="B820" s="51"/>
      <c r="C820" s="166" t="s">
        <v>188</v>
      </c>
      <c r="D820" s="164" t="s">
        <v>151</v>
      </c>
      <c r="E820" s="164" t="s">
        <v>140</v>
      </c>
      <c r="F820" s="1"/>
      <c r="G820" s="1"/>
      <c r="H820" s="43"/>
      <c r="I820" s="34"/>
      <c r="J820" s="164" t="s">
        <v>141</v>
      </c>
      <c r="K820" s="44"/>
      <c r="L820" s="54"/>
    </row>
    <row r="821" spans="1:14" s="4" customFormat="1" outlineLevel="1" x14ac:dyDescent="0.4">
      <c r="A821" s="765"/>
      <c r="B821" s="51"/>
      <c r="C821" s="145"/>
      <c r="D821" s="141"/>
      <c r="E821" s="144"/>
      <c r="F821" s="1"/>
      <c r="G821" s="1"/>
      <c r="H821" s="43"/>
      <c r="I821" s="164" t="s">
        <v>189</v>
      </c>
      <c r="J821" s="31">
        <f>IFERROR(IF(E813="No",0,IF(D821="MWh",(E821*'Reference values'!$D$47*INDEX(Electricity_Emission_Factors,MATCH(C821,Electricity_Source,0)))/(D816*1000),IF(D821="kWh",(E821*'Reference values'!$D$47*INDEX(Electricity_Emission_Factors,MATCH(C821,Electricity_Source,0))/1000)/(D816*1000),IF(D821="MWh/tonne(output)",(E821*'Reference values'!$D$47*INDEX(Electricity_Emission_Factors,MATCH(C821,Electricity_Source,0)))/1000,IF(D821="kWh/tonne(output)",(E821*'Reference values'!$D$47*INDEX(Electricity_Emission_Factors,MATCH(C821,Electricity_Source,0))/1000)/1000,""))))),"")</f>
        <v>0</v>
      </c>
      <c r="K821" s="44"/>
      <c r="L821" s="54"/>
    </row>
    <row r="822" spans="1:14" s="4" customFormat="1" outlineLevel="1" x14ac:dyDescent="0.4">
      <c r="A822" s="765"/>
      <c r="B822" s="51"/>
      <c r="C822" s="1"/>
      <c r="D822" s="1"/>
      <c r="E822" s="1"/>
      <c r="F822" s="1"/>
      <c r="G822" s="1"/>
      <c r="H822" s="43"/>
      <c r="I822" s="34"/>
      <c r="J822" s="34"/>
      <c r="K822" s="44"/>
      <c r="L822" s="54"/>
    </row>
    <row r="823" spans="1:14" s="4" customFormat="1" outlineLevel="1" x14ac:dyDescent="0.4">
      <c r="A823" s="765"/>
      <c r="B823" s="51"/>
      <c r="C823" s="25" t="s">
        <v>190</v>
      </c>
      <c r="D823" s="1"/>
      <c r="E823" s="1"/>
      <c r="F823" s="1"/>
      <c r="G823" s="1"/>
      <c r="H823" s="43"/>
      <c r="I823" s="34"/>
      <c r="J823" s="34"/>
      <c r="K823" s="44"/>
      <c r="L823" s="54"/>
    </row>
    <row r="824" spans="1:14" s="4" customFormat="1" outlineLevel="1" x14ac:dyDescent="0.4">
      <c r="A824" s="765"/>
      <c r="B824" s="51"/>
      <c r="C824" s="164" t="s">
        <v>160</v>
      </c>
      <c r="D824" s="164" t="s">
        <v>151</v>
      </c>
      <c r="E824" s="164" t="s">
        <v>140</v>
      </c>
      <c r="F824" s="1"/>
      <c r="G824" s="1"/>
      <c r="H824" s="43"/>
      <c r="I824" s="164" t="s">
        <v>160</v>
      </c>
      <c r="J824" s="182" t="s">
        <v>141</v>
      </c>
      <c r="K824" s="44"/>
      <c r="L824" s="54"/>
    </row>
    <row r="825" spans="1:14" s="4" customFormat="1" outlineLevel="1" x14ac:dyDescent="0.4">
      <c r="A825" s="765"/>
      <c r="B825" s="51"/>
      <c r="C825" s="27" t="str">
        <f>IF(E814="Default", "Diesel", "")</f>
        <v>Diesel</v>
      </c>
      <c r="D825" s="74" t="str">
        <f>IF(E814="Default", "kWh/tonne(output)", "")</f>
        <v>kWh/tonne(output)</v>
      </c>
      <c r="E825" s="74">
        <f>IF(E814="Default", 3.881, "")</f>
        <v>3.8809999999999998</v>
      </c>
      <c r="F825" s="1"/>
      <c r="G825" s="1"/>
      <c r="H825" s="43"/>
      <c r="I825" s="27" t="str">
        <f>IF(C825&gt;0,C825,"")</f>
        <v>Diesel</v>
      </c>
      <c r="J825" s="31">
        <f>IF(E814="Actual","",IFERROR(IF(C825&gt;0,IF(ISBLANK(E825),"Insert data",IF(E813="No",0,(IF(D825="litres",(E825*(INDEX(Fuel_Densities,MATCH(C825,Fuels_for_Densities,0))/1000)*INDEX(Fuel_LHV,MATCH(C825,Fuels_for_LHV,0))*INDEX(Fuel_EFs,MATCH(C825,Fuels_for_EF,0)))/(D816*1000),(IF(D825="m3",(E825*(INDEX(Fuel_Densities,MATCH(C825,Fuels_for_Densities,0)))*INDEX(Fuel_LHV,MATCH(C825,Fuels_for_LHV,0))*INDEX(Fuel_EFs,MATCH(C825,Fuels_for_EF,0)))/(D816*1000),IF(D825="kg",(E825*INDEX(Fuel_LHV,MATCH(C825,Fuels_for_LHV,0))*INDEX(Fuel_EFs,MATCH(C825,Fuels_for_EF,0)))/(D816*1000),IF(D825="tonnes",(E825*INDEX(Fuel_LHV,MATCH(C825,Fuels_for_LHV,0))*1000*INDEX(Fuel_EFs,MATCH(C825,Fuels_for_EF,0)))/(D816*1000),IF(D825="MWh",(E825*'Reference values'!$D$47*INDEX(Fuel_EFs,MATCH(C825,Fuels_for_EF,0)))/(D816*1000),IF(D825="kWh",(E825*'Reference values'!$D$47*INDEX(Fuel_EFs,MATCH(C825,Fuels_for_EF,0))/1000)/(D816*1000),(IF(D825="litres/tonne(output)",(E825*(INDEX(Fuel_Densities,MATCH(C825,Fuels_for_Densities,0))/1000)*INDEX(Fuel_LHV,MATCH(C825,Fuels_for_LHV,0))*INDEX(Fuel_EFs,MATCH(C825,Fuels_for_EF,0)))/1000,(IF(D825="m3/tonne(output)",(E825*(INDEX(Fuel_Densities,MATCH(C825,Fuels_for_Densities,0)))*INDEX(Fuel_LHV,MATCH(C825,Fuels_for_LHV,0))*INDEX(Fuel_EFs,MATCH(C825,Fuels_for_EF,0)))/1000,IF(D825="kg/tonne(output)",(E825*INDEX(Fuel_LHV,MATCH(C825,Fuels_for_LHV,0))*INDEX(Fuel_EFs,MATCH(C825,Fuels_for_EF,0)))/1000,IF(D825="tonnes/tonne(output)",(E825*INDEX(Fuel_LHV,MATCH(C825,Fuels_for_LHV,0))*1000*INDEX(Fuel_EFs,MATCH(C825,Fuels_for_EF,0)))/1000,IF(D825="MWh/tonne(output)",(E825*'Reference values'!$D$47*INDEX(Fuel_EFs,MATCH(C825,Fuels_for_EF,0)))/1000,IF(D825="kWh/tonne(output)",(E825*'Reference values'!$D$47*INDEX(Fuel_EFs,MATCH(C825,Fuels_for_EF,0))/1000)/1000,"Insert unit")))))))))))))))))),""),"Insert data"))</f>
        <v>0</v>
      </c>
      <c r="K825" s="44"/>
      <c r="L825" s="54"/>
    </row>
    <row r="826" spans="1:14" s="4" customFormat="1" outlineLevel="1" x14ac:dyDescent="0.4">
      <c r="A826" s="765"/>
      <c r="B826" s="51"/>
      <c r="C826" s="134"/>
      <c r="D826" s="141"/>
      <c r="E826" s="144"/>
      <c r="F826" s="1"/>
      <c r="G826" s="1"/>
      <c r="H826" s="43"/>
      <c r="I826" s="27" t="str">
        <f>IF(C826&gt;0,C826,"")</f>
        <v/>
      </c>
      <c r="J826" s="31" t="str">
        <f>IFERROR(IF(C826&gt;0,IF(ISBLANK(E826),"Insert data",IF(E813="No",0,(IF(D826="litres",(E826*(INDEX(Fuel_Densities,MATCH(C826,Fuels_for_Densities,0))/1000)*INDEX(Fuel_LHV,MATCH(C826,Fuels_for_LHV,0))*INDEX(Fuel_EFs,MATCH(C826,Fuels_for_EF,0)))/(D816*1000),(IF(D826="m3",(E826*(INDEX(Fuel_Densities,MATCH(C826,Fuels_for_Densities,0)))*INDEX(Fuel_LHV,MATCH(C826,Fuels_for_LHV,0))*INDEX(Fuel_EFs,MATCH(C826,Fuels_for_EF,0)))/(D816*1000),IF(D826="kg",(E826*INDEX(Fuel_LHV,MATCH(C826,Fuels_for_LHV,0))*INDEX(Fuel_EFs,MATCH(C826,Fuels_for_EF,0)))/(D816*1000),IF(D826="tonnes",(E826*INDEX(Fuel_LHV,MATCH(C826,Fuels_for_LHV,0))*1000*INDEX(Fuel_EFs,MATCH(C826,Fuels_for_EF,0)))/(D816*1000),IF(D826="MWh",(E826*'Reference values'!$D$47*INDEX(Fuel_EFs,MATCH(C826,Fuels_for_EF,0)))/(D816*1000),IF(D826="kWh",(E826*'Reference values'!$D$47*INDEX(Fuel_EFs,MATCH(C826,Fuels_for_EF,0))/1000)/(D816*1000),(IF(D826="litres/tonne(output)",(E826*(INDEX(Fuel_Densities,MATCH(C826,Fuels_for_Densities,0))/1000)*INDEX(Fuel_LHV,MATCH(C826,Fuels_for_LHV,0))*INDEX(Fuel_EFs,MATCH(C826,Fuels_for_EF,0)))/1000,(IF(D826="m3/tonne(output)",(E826*(INDEX(Fuel_Densities,MATCH(C826,Fuels_for_Densities,0)))*INDEX(Fuel_LHV,MATCH(C826,Fuels_for_LHV,0))*INDEX(Fuel_EFs,MATCH(C826,Fuels_for_EF,0)))/1000,IF(D826="kg/tonne(output)",(E826*INDEX(Fuel_LHV,MATCH(C826,Fuels_for_LHV,0))*INDEX(Fuel_EFs,MATCH(C826,Fuels_for_EF,0)))/1000,IF(D826="tonnes/tonne(output)",(E826*INDEX(Fuel_LHV,MATCH(C826,Fuels_for_LHV,0))*1000*INDEX(Fuel_EFs,MATCH(C826,Fuels_for_EF,0)))/1000,IF(D826="MWh/tonne(output)",(E826*'Reference values'!$D$47*INDEX(Fuel_EFs,MATCH(C826,Fuels_for_EF,0)))/1000,IF(D826="kWh/tonne(output)",(E826*'Reference values'!$D$47*INDEX(Fuel_EFs,MATCH(C826,Fuels_for_EF,0))/1000)/1000,"Insert unit")))))))))))))))))),""),"Insert data")</f>
        <v/>
      </c>
      <c r="K826" s="44"/>
      <c r="L826" s="54"/>
    </row>
    <row r="827" spans="1:14" s="4" customFormat="1" outlineLevel="1" x14ac:dyDescent="0.4">
      <c r="A827" s="765"/>
      <c r="B827" s="51"/>
      <c r="C827" s="134"/>
      <c r="D827" s="141"/>
      <c r="E827" s="144"/>
      <c r="F827" s="1"/>
      <c r="G827" s="1"/>
      <c r="H827" s="43"/>
      <c r="I827" s="27" t="str">
        <f>IF(C827&gt;0,C827,"")</f>
        <v/>
      </c>
      <c r="J827" s="31" t="str">
        <f>IFERROR(IF(C827&gt;0,IF(ISBLANK(E827),"Insert data",IF(E813="No",0,(IF(D827="litres",(E827*(INDEX(Fuel_Densities,MATCH(C827,Fuels_for_Densities,0))/1000)*INDEX(Fuel_LHV,MATCH(C827,Fuels_for_LHV,0))*INDEX(Fuel_EFs,MATCH(C827,Fuels_for_EF,0)))/(D816*1000),(IF(D827="m3",(E827*(INDEX(Fuel_Densities,MATCH(C827,Fuels_for_Densities,0)))*INDEX(Fuel_LHV,MATCH(C827,Fuels_for_LHV,0))*INDEX(Fuel_EFs,MATCH(C827,Fuels_for_EF,0)))/(D816*1000),IF(D827="kg",(E827*INDEX(Fuel_LHV,MATCH(C827,Fuels_for_LHV,0))*INDEX(Fuel_EFs,MATCH(C827,Fuels_for_EF,0)))/(D816*1000),IF(D827="tonnes",(E827*INDEX(Fuel_LHV,MATCH(C827,Fuels_for_LHV,0))*1000*INDEX(Fuel_EFs,MATCH(C827,Fuels_for_EF,0)))/(D816*1000),IF(D827="MWh",(E827*'Reference values'!$D$47*INDEX(Fuel_EFs,MATCH(C827,Fuels_for_EF,0)))/(D816*1000),IF(D827="kWh",(E827*'Reference values'!$D$47*INDEX(Fuel_EFs,MATCH(C827,Fuels_for_EF,0))/1000)/(D816*1000),(IF(D827="litres/tonne(output)",(E827*(INDEX(Fuel_Densities,MATCH(C827,Fuels_for_Densities,0))/1000)*INDEX(Fuel_LHV,MATCH(C827,Fuels_for_LHV,0))*INDEX(Fuel_EFs,MATCH(C827,Fuels_for_EF,0)))/1000,(IF(D827="m3/tonne(output)",(E827*(INDEX(Fuel_Densities,MATCH(C827,Fuels_for_Densities,0)))*INDEX(Fuel_LHV,MATCH(C827,Fuels_for_LHV,0))*INDEX(Fuel_EFs,MATCH(C827,Fuels_for_EF,0)))/1000,IF(D827="kg/tonne(output)",(E827*INDEX(Fuel_LHV,MATCH(C827,Fuels_for_LHV,0))*INDEX(Fuel_EFs,MATCH(C827,Fuels_for_EF,0)))/1000,IF(D827="tonnes/tonne(output)",(E827*INDEX(Fuel_LHV,MATCH(C827,Fuels_for_LHV,0))*1000*INDEX(Fuel_EFs,MATCH(C827,Fuels_for_EF,0)))/1000,IF(D827="MWh/tonne(output)",(E827*'Reference values'!$D$47*INDEX(Fuel_EFs,MATCH(C827,Fuels_for_EF,0)))/1000,IF(D827="kWh/tonne(output)",(E827*'Reference values'!$D$47*INDEX(Fuel_EFs,MATCH(C827,Fuels_for_EF,0))/1000)/1000,"Insert unit")))))))))))))))))),""),"Insert data")</f>
        <v/>
      </c>
      <c r="K827" s="44"/>
      <c r="L827" s="54"/>
    </row>
    <row r="828" spans="1:14" s="4" customFormat="1" outlineLevel="1" x14ac:dyDescent="0.4">
      <c r="A828" s="765"/>
      <c r="B828" s="51"/>
      <c r="C828" s="134"/>
      <c r="D828" s="141"/>
      <c r="E828" s="144"/>
      <c r="F828" s="1"/>
      <c r="G828" s="1"/>
      <c r="H828" s="43"/>
      <c r="I828" s="27" t="str">
        <f>IF(C828&gt;0,C828,"")</f>
        <v/>
      </c>
      <c r="J828" s="31" t="str">
        <f>IFERROR(IF(C828&gt;0,IF(ISBLANK(E828),"Insert data",IF(E813="No",0,(IF(D828="litres",(E828*(INDEX(Fuel_Densities,MATCH(C828,Fuels_for_Densities,0))/1000)*INDEX(Fuel_LHV,MATCH(C828,Fuels_for_LHV,0))*INDEX(Fuel_EFs,MATCH(C828,Fuels_for_EF,0)))/(D816*1000),(IF(D828="m3",(E828*(INDEX(Fuel_Densities,MATCH(C828,Fuels_for_Densities,0)))*INDEX(Fuel_LHV,MATCH(C828,Fuels_for_LHV,0))*INDEX(Fuel_EFs,MATCH(C828,Fuels_for_EF,0)))/(D816*1000),IF(D828="kg",(E828*INDEX(Fuel_LHV,MATCH(C828,Fuels_for_LHV,0))*INDEX(Fuel_EFs,MATCH(C828,Fuels_for_EF,0)))/(D816*1000),IF(D828="tonnes",(E828*INDEX(Fuel_LHV,MATCH(C828,Fuels_for_LHV,0))*1000*INDEX(Fuel_EFs,MATCH(C828,Fuels_for_EF,0)))/(D816*1000),IF(D828="MWh",(E828*'Reference values'!$D$47*INDEX(Fuel_EFs,MATCH(C828,Fuels_for_EF,0)))/(D816*1000),IF(D828="kWh",(E828*'Reference values'!$D$47*INDEX(Fuel_EFs,MATCH(C828,Fuels_for_EF,0))/1000)/(D816*1000),(IF(D828="litres/tonne(output)",(E828*(INDEX(Fuel_Densities,MATCH(C828,Fuels_for_Densities,0))/1000)*INDEX(Fuel_LHV,MATCH(C828,Fuels_for_LHV,0))*INDEX(Fuel_EFs,MATCH(C828,Fuels_for_EF,0)))/1000,(IF(D828="m3/tonne(output)",(E828*(INDEX(Fuel_Densities,MATCH(C828,Fuels_for_Densities,0)))*INDEX(Fuel_LHV,MATCH(C828,Fuels_for_LHV,0))*INDEX(Fuel_EFs,MATCH(C828,Fuels_for_EF,0)))/1000,IF(D828="kg/tonne(output)",(E828*INDEX(Fuel_LHV,MATCH(C828,Fuels_for_LHV,0))*INDEX(Fuel_EFs,MATCH(C828,Fuels_for_EF,0)))/1000,IF(D828="tonnes/tonne(output)",(E828*INDEX(Fuel_LHV,MATCH(C828,Fuels_for_LHV,0))*1000*INDEX(Fuel_EFs,MATCH(C828,Fuels_for_EF,0)))/1000,IF(D828="MWh/tonne(output)",(E828*'Reference values'!$D$47*INDEX(Fuel_EFs,MATCH(C828,Fuels_for_EF,0)))/1000,IF(D828="kWh/tonne(output)",(E828*'Reference values'!$D$47*INDEX(Fuel_EFs,MATCH(C828,Fuels_for_EF,0))/1000)/1000,"Insert unit")))))))))))))))))),""),"Insert data")</f>
        <v/>
      </c>
      <c r="K828" s="44"/>
      <c r="L828" s="54"/>
    </row>
    <row r="829" spans="1:14" s="4" customFormat="1" outlineLevel="1" x14ac:dyDescent="0.4">
      <c r="A829" s="765"/>
      <c r="B829" s="51"/>
      <c r="C829" s="1"/>
      <c r="D829" s="1"/>
      <c r="E829" s="1"/>
      <c r="F829" s="1"/>
      <c r="G829" s="53"/>
      <c r="H829" s="56"/>
      <c r="I829" s="57"/>
      <c r="J829" s="34"/>
      <c r="K829" s="44"/>
      <c r="L829" s="54"/>
    </row>
    <row r="830" spans="1:14" s="4" customFormat="1" outlineLevel="1" x14ac:dyDescent="0.4">
      <c r="A830" s="765"/>
      <c r="B830" s="51"/>
      <c r="C830" s="25" t="s">
        <v>191</v>
      </c>
      <c r="D830" s="1"/>
      <c r="E830" s="1"/>
      <c r="F830" s="1"/>
      <c r="G830" s="53"/>
      <c r="H830" s="56"/>
      <c r="I830" s="34"/>
      <c r="J830" s="34"/>
      <c r="K830" s="44"/>
      <c r="L830" s="54"/>
    </row>
    <row r="831" spans="1:14" s="4" customFormat="1" outlineLevel="1" x14ac:dyDescent="0.4">
      <c r="A831" s="765"/>
      <c r="B831" s="51"/>
      <c r="C831" s="164" t="s">
        <v>192</v>
      </c>
      <c r="D831" s="164" t="s">
        <v>151</v>
      </c>
      <c r="E831" s="164" t="s">
        <v>140</v>
      </c>
      <c r="F831" s="1"/>
      <c r="G831" s="1"/>
      <c r="H831" s="43"/>
      <c r="I831" s="164" t="s">
        <v>192</v>
      </c>
      <c r="J831" s="182" t="s">
        <v>141</v>
      </c>
      <c r="K831" s="44"/>
      <c r="L831" s="54"/>
    </row>
    <row r="832" spans="1:14" s="4" customFormat="1" outlineLevel="1" x14ac:dyDescent="0.4">
      <c r="A832" s="765"/>
      <c r="B832" s="51"/>
      <c r="C832" s="134"/>
      <c r="D832" s="141"/>
      <c r="E832" s="144"/>
      <c r="F832" s="1"/>
      <c r="G832" s="1"/>
      <c r="H832" s="43"/>
      <c r="I832" s="27" t="str">
        <f t="shared" ref="I832:I839" si="16">IF(C832&gt;0,C832,"")</f>
        <v/>
      </c>
      <c r="J832" s="31" t="str">
        <f>IFERROR(IF(C832&gt;0,IF(ISBLANK(E832),"Insert data",IF(E813="No",0,IF(D832="kg",E832*INDEX(Chemical_Emission_Factors,MATCH(C832,Chemicals,0))/(D816*1000),IF(D832="tonnes",E832*INDEX(Chemical_Emission_Factors,MATCH(C832,Chemicals,0))*1000/(D816*1000),IF(D832="kg/tonne(output)",E832*INDEX(Chemical_Emission_Factors,MATCH(C832,Chemicals,0))/1000,IF(D832="tonnes/tonne(output)",E832*INDEX(Chemical_Emission_Factors,MATCH(C832,Chemicals,0))*1000/1000,"Insert unit")))))),""),"Insert data")</f>
        <v/>
      </c>
      <c r="K832" s="44"/>
      <c r="L832" s="54"/>
    </row>
    <row r="833" spans="1:12" s="4" customFormat="1" outlineLevel="1" x14ac:dyDescent="0.4">
      <c r="A833" s="765"/>
      <c r="B833" s="51"/>
      <c r="C833" s="134"/>
      <c r="D833" s="141"/>
      <c r="E833" s="144"/>
      <c r="F833" s="1"/>
      <c r="G833" s="1"/>
      <c r="H833" s="43"/>
      <c r="I833" s="27" t="str">
        <f t="shared" si="16"/>
        <v/>
      </c>
      <c r="J833" s="31" t="str">
        <f>IFERROR(IF(C833&gt;0,IF(ISBLANK(E833),"Insert data",IF(E813="No",0,IF(D833="kg",E833*INDEX(Chemical_Emission_Factors,MATCH(C833,Chemicals,0))/(D816*1000),IF(D833="tonnes",E833*INDEX(Chemical_Emission_Factors,MATCH(C833,Chemicals,0))*1000/(D816*1000),IF(D833="kg/tonne(output)",E833*INDEX(Chemical_Emission_Factors,MATCH(C833,Chemicals,0))/1000,IF(D833="tonnes/tonne(output)",E833*INDEX(Chemical_Emission_Factors,MATCH(C833,Chemicals,0))*1000/1000,"Insert unit")))))),""),"Insert data")</f>
        <v/>
      </c>
      <c r="K833" s="44"/>
      <c r="L833" s="54"/>
    </row>
    <row r="834" spans="1:12" s="4" customFormat="1" outlineLevel="1" x14ac:dyDescent="0.4">
      <c r="A834" s="765"/>
      <c r="B834" s="51"/>
      <c r="C834" s="134"/>
      <c r="D834" s="141"/>
      <c r="E834" s="144"/>
      <c r="F834" s="1"/>
      <c r="G834" s="1"/>
      <c r="H834" s="43"/>
      <c r="I834" s="27" t="str">
        <f t="shared" si="16"/>
        <v/>
      </c>
      <c r="J834" s="31" t="str">
        <f>IFERROR(IF(C834&gt;0,IF(ISBLANK(E834),"Insert data",IF(E813="No",0,IF(D834="kg",E834*INDEX(Chemical_Emission_Factors,MATCH(C834,Chemicals,0))/(D816*1000),IF(D834="tonnes",E834*INDEX(Chemical_Emission_Factors,MATCH(C834,Chemicals,0))*1000/(D816*1000),IF(D834="kg/tonne(output)",E834*INDEX(Chemical_Emission_Factors,MATCH(C834,Chemicals,0))/1000,IF(D834="tonnes/tonne(output)",E834*INDEX(Chemical_Emission_Factors,MATCH(C834,Chemicals,0))*1000/1000,"Insert unit")))))),""),"Insert data")</f>
        <v/>
      </c>
      <c r="K834" s="44"/>
      <c r="L834" s="54"/>
    </row>
    <row r="835" spans="1:12" s="4" customFormat="1" outlineLevel="1" x14ac:dyDescent="0.4">
      <c r="A835" s="765"/>
      <c r="B835" s="51"/>
      <c r="C835" s="134"/>
      <c r="D835" s="141"/>
      <c r="E835" s="144"/>
      <c r="F835" s="1"/>
      <c r="G835" s="1"/>
      <c r="H835" s="43"/>
      <c r="I835" s="27" t="str">
        <f t="shared" si="16"/>
        <v/>
      </c>
      <c r="J835" s="31" t="str">
        <f>IFERROR(IF(C835&gt;0,IF(ISBLANK(E835),"Insert data",IF(E813="No",0,IF(D835="kg",E835*INDEX(Chemical_Emission_Factors,MATCH(C835,Chemicals,0))/(D816*1000),IF(D835="tonnes",E835*INDEX(Chemical_Emission_Factors,MATCH(C835,Chemicals,0))*1000/(D816*1000),IF(D835="kg/tonne(output)",E835*INDEX(Chemical_Emission_Factors,MATCH(C835,Chemicals,0))/1000,IF(D835="tonnes/tonne(output)",E835*INDEX(Chemical_Emission_Factors,MATCH(C835,Chemicals,0))*1000/1000,"Insert unit")))))),""),"Insert data")</f>
        <v/>
      </c>
      <c r="K835" s="44"/>
      <c r="L835" s="54"/>
    </row>
    <row r="836" spans="1:12" s="4" customFormat="1" outlineLevel="1" x14ac:dyDescent="0.4">
      <c r="A836" s="765"/>
      <c r="B836" s="51"/>
      <c r="C836" s="134"/>
      <c r="D836" s="141"/>
      <c r="E836" s="144"/>
      <c r="F836" s="1"/>
      <c r="G836" s="1"/>
      <c r="H836" s="43"/>
      <c r="I836" s="27" t="str">
        <f t="shared" si="16"/>
        <v/>
      </c>
      <c r="J836" s="31" t="str">
        <f>IFERROR(IF(C836&gt;0,IF(ISBLANK(E836),"Insert data",IF(E813="No",0,IF(D836="kg",E836*INDEX(Chemical_Emission_Factors,MATCH(C836,Chemicals,0))/(D816*1000),IF(D836="tonnes",E836*INDEX(Chemical_Emission_Factors,MATCH(C836,Chemicals,0))*1000/(D816*1000),IF(D836="kg/tonne(output)",E836*INDEX(Chemical_Emission_Factors,MATCH(C836,Chemicals,0))/1000,IF(D836="tonnes/tonne(output)",E836*INDEX(Chemical_Emission_Factors,MATCH(C836,Chemicals,0))*1000/1000,"Insert unit")))))),""),"Insert data")</f>
        <v/>
      </c>
      <c r="K836" s="44"/>
      <c r="L836" s="54"/>
    </row>
    <row r="837" spans="1:12" s="4" customFormat="1" outlineLevel="1" x14ac:dyDescent="0.4">
      <c r="A837" s="765"/>
      <c r="B837" s="51"/>
      <c r="C837" s="134"/>
      <c r="D837" s="141"/>
      <c r="E837" s="144"/>
      <c r="F837" s="1"/>
      <c r="G837" s="1"/>
      <c r="H837" s="43"/>
      <c r="I837" s="27" t="str">
        <f t="shared" si="16"/>
        <v/>
      </c>
      <c r="J837" s="31" t="str">
        <f>IFERROR(IF(C837&gt;0,IF(ISBLANK(E837),"Insert data",IF(E813="No",0,IF(D837="kg",E837*INDEX(Chemical_Emission_Factors,MATCH(C837,Chemicals,0))/(D816*1000),IF(D837="tonnes",E837*INDEX(Chemical_Emission_Factors,MATCH(C837,Chemicals,0))*1000/(D816*1000),IF(D837="kg/tonne(output)",E837*INDEX(Chemical_Emission_Factors,MATCH(C837,Chemicals,0))/1000,IF(D837="tonnes/tonne(output)",E837*INDEX(Chemical_Emission_Factors,MATCH(C837,Chemicals,0))*1000/1000,"Insert unit")))))),""),"Insert data")</f>
        <v/>
      </c>
      <c r="K837" s="44"/>
      <c r="L837" s="54"/>
    </row>
    <row r="838" spans="1:12" s="4" customFormat="1" outlineLevel="1" x14ac:dyDescent="0.4">
      <c r="A838" s="765"/>
      <c r="B838" s="51"/>
      <c r="C838" s="134"/>
      <c r="D838" s="141"/>
      <c r="E838" s="144"/>
      <c r="F838" s="1"/>
      <c r="G838" s="1"/>
      <c r="H838" s="43"/>
      <c r="I838" s="27" t="str">
        <f t="shared" si="16"/>
        <v/>
      </c>
      <c r="J838" s="31" t="str">
        <f>IFERROR(IF(C838&gt;0,IF(ISBLANK(E838),"Insert data",IF(E813="No",0,IF(D838="kg",E838*INDEX(Chemical_Emission_Factors,MATCH(C838,Chemicals,0))/(D816*1000),IF(D838="tonnes",E838*INDEX(Chemical_Emission_Factors,MATCH(C838,Chemicals,0))*1000/(D816*1000),IF(D838="kg/tonne(output)",E838*INDEX(Chemical_Emission_Factors,MATCH(C838,Chemicals,0))/1000,IF(D838="tonnes/tonne(output)",E838*INDEX(Chemical_Emission_Factors,MATCH(C838,Chemicals,0))*1000/1000,"Insert unit")))))),""),"Insert data")</f>
        <v/>
      </c>
      <c r="K838" s="44"/>
      <c r="L838" s="54"/>
    </row>
    <row r="839" spans="1:12" s="4" customFormat="1" outlineLevel="1" x14ac:dyDescent="0.4">
      <c r="A839" s="765"/>
      <c r="B839" s="51"/>
      <c r="C839" s="134"/>
      <c r="D839" s="141"/>
      <c r="E839" s="144"/>
      <c r="F839" s="1"/>
      <c r="G839" s="1"/>
      <c r="H839" s="43"/>
      <c r="I839" s="27" t="str">
        <f t="shared" si="16"/>
        <v/>
      </c>
      <c r="J839" s="31" t="str">
        <f>IFERROR(IF(C839&gt;0,IF(ISBLANK(E839),"Insert data",IF(E813="No",0,IF(D839="kg",E839*INDEX(Chemical_Emission_Factors,MATCH(C839,Chemicals,0))/(D816*1000),IF(D839="tonnes",E839*INDEX(Chemical_Emission_Factors,MATCH(C839,Chemicals,0))*1000/(D816*1000),IF(D839="kg/tonne(output)",E839*INDEX(Chemical_Emission_Factors,MATCH(C839,Chemicals,0))/1000,IF(D839="tonnes/tonne(output)",E839*INDEX(Chemical_Emission_Factors,MATCH(C839,Chemicals,0))*1000/1000,"Insert unit")))))),""),"Insert data")</f>
        <v/>
      </c>
      <c r="K839" s="44"/>
      <c r="L839" s="54"/>
    </row>
    <row r="840" spans="1:12" s="4" customFormat="1" ht="12.75" customHeight="1" outlineLevel="1" x14ac:dyDescent="0.4">
      <c r="B840" s="20"/>
      <c r="C840" s="21"/>
      <c r="D840" s="21"/>
      <c r="E840" s="21"/>
      <c r="F840" s="1"/>
      <c r="G840" s="21"/>
      <c r="H840" s="46"/>
      <c r="I840" s="58"/>
      <c r="J840" s="58"/>
      <c r="K840" s="59"/>
      <c r="L840" s="35"/>
    </row>
    <row r="841" spans="1:12" s="4" customFormat="1" outlineLevel="1" x14ac:dyDescent="0.4">
      <c r="B841" s="20"/>
      <c r="C841" s="243" t="s">
        <v>193</v>
      </c>
      <c r="D841" s="21"/>
      <c r="E841" s="21"/>
      <c r="F841" s="1"/>
      <c r="G841" s="21"/>
      <c r="H841" s="21"/>
      <c r="I841" s="21"/>
      <c r="J841" s="21"/>
      <c r="K841" s="21"/>
      <c r="L841" s="35"/>
    </row>
    <row r="842" spans="1:12" s="4" customFormat="1" outlineLevel="1" x14ac:dyDescent="0.4">
      <c r="B842" s="20"/>
      <c r="C842" s="766" t="s">
        <v>194</v>
      </c>
      <c r="D842" s="767"/>
      <c r="E842" s="299" t="s">
        <v>178</v>
      </c>
      <c r="F842" s="1"/>
      <c r="G842" s="21"/>
      <c r="H842" s="302"/>
      <c r="I842" s="47"/>
      <c r="J842" s="47"/>
      <c r="K842" s="45"/>
      <c r="L842" s="35"/>
    </row>
    <row r="843" spans="1:12" s="4" customFormat="1" ht="6.75" customHeight="1" outlineLevel="1" x14ac:dyDescent="0.4">
      <c r="B843" s="20"/>
      <c r="C843" s="21"/>
      <c r="D843" s="21"/>
      <c r="E843" s="21"/>
      <c r="F843" s="1"/>
      <c r="G843" s="21"/>
      <c r="H843" s="41"/>
      <c r="I843" s="36"/>
      <c r="J843" s="301"/>
      <c r="K843" s="37"/>
      <c r="L843" s="35"/>
    </row>
    <row r="844" spans="1:12" s="4" customFormat="1" outlineLevel="1" x14ac:dyDescent="0.4">
      <c r="B844" s="20"/>
      <c r="C844" s="21"/>
      <c r="D844" s="164" t="s">
        <v>151</v>
      </c>
      <c r="E844" s="164" t="s">
        <v>140</v>
      </c>
      <c r="F844" s="1"/>
      <c r="G844" s="21"/>
      <c r="H844" s="41"/>
      <c r="I844" s="36"/>
      <c r="J844" s="164" t="s">
        <v>195</v>
      </c>
      <c r="K844" s="37"/>
      <c r="L844" s="35"/>
    </row>
    <row r="845" spans="1:12" s="4" customFormat="1" outlineLevel="1" x14ac:dyDescent="0.4">
      <c r="B845" s="20"/>
      <c r="C845" s="164" t="s">
        <v>196</v>
      </c>
      <c r="D845" s="297" t="s">
        <v>197</v>
      </c>
      <c r="E845" s="299"/>
      <c r="F845" s="1"/>
      <c r="G845" s="21"/>
      <c r="H845" s="41"/>
      <c r="I845" s="164" t="s">
        <v>198</v>
      </c>
      <c r="J845" s="309" t="str">
        <f>IFERROR(IF(E842="No", "", IF(AND(E842="yes",OR(ISBLANK(E845),ISBLANK(E846),ISBLANK(E847))),"Insert data",E846/(E846+E847*E845))), "")</f>
        <v/>
      </c>
      <c r="K845" s="37"/>
      <c r="L845" s="35"/>
    </row>
    <row r="846" spans="1:12" s="4" customFormat="1" outlineLevel="1" x14ac:dyDescent="0.4">
      <c r="B846" s="20"/>
      <c r="C846" s="164" t="s">
        <v>199</v>
      </c>
      <c r="D846" s="296" t="s">
        <v>200</v>
      </c>
      <c r="E846" s="299"/>
      <c r="F846" s="1"/>
      <c r="G846" s="21"/>
      <c r="H846" s="41"/>
      <c r="I846" s="164" t="s">
        <v>201</v>
      </c>
      <c r="J846" s="309" t="str">
        <f>IFERROR(IF(E842="No", "", IF(AND(E842="yes",OR(ISBLANK(E845),ISBLANK(E846),ISBLANK(E847))),"Insert data",(E847*E845)/(E847*E845+E846))),"")</f>
        <v/>
      </c>
      <c r="K846" s="37"/>
      <c r="L846" s="35"/>
    </row>
    <row r="847" spans="1:12" s="4" customFormat="1" outlineLevel="1" x14ac:dyDescent="0.4">
      <c r="B847" s="20"/>
      <c r="C847" s="164" t="s">
        <v>202</v>
      </c>
      <c r="D847" s="296" t="s">
        <v>200</v>
      </c>
      <c r="E847" s="299"/>
      <c r="F847" s="1"/>
      <c r="G847" s="21"/>
      <c r="H847" s="46"/>
      <c r="I847" s="58"/>
      <c r="J847" s="58"/>
      <c r="K847" s="59"/>
      <c r="L847" s="35"/>
    </row>
    <row r="848" spans="1:12" s="4" customFormat="1" ht="6.75" customHeight="1" outlineLevel="1" x14ac:dyDescent="0.4">
      <c r="B848" s="20"/>
      <c r="C848" s="21"/>
      <c r="D848" s="21"/>
      <c r="E848" s="21"/>
      <c r="F848" s="21"/>
      <c r="G848" s="21"/>
      <c r="H848" s="21"/>
      <c r="I848" s="21"/>
      <c r="J848" s="21"/>
      <c r="K848" s="21"/>
      <c r="L848" s="35"/>
    </row>
    <row r="849" spans="2:12" s="4" customFormat="1" ht="12.75" customHeight="1" outlineLevel="1" x14ac:dyDescent="0.4">
      <c r="B849" s="20"/>
      <c r="C849" s="300" t="s">
        <v>203</v>
      </c>
      <c r="D849" s="21"/>
      <c r="E849" s="21"/>
      <c r="F849" s="21"/>
      <c r="G849" s="21"/>
      <c r="H849" s="21"/>
      <c r="I849" s="21"/>
      <c r="J849" s="21"/>
      <c r="K849" s="21"/>
      <c r="L849" s="35"/>
    </row>
    <row r="850" spans="2:12" s="4" customFormat="1" ht="12.75" customHeight="1" outlineLevel="1" x14ac:dyDescent="0.4">
      <c r="B850" s="20"/>
      <c r="C850" s="300" t="s">
        <v>204</v>
      </c>
      <c r="D850" s="21"/>
      <c r="E850" s="21"/>
      <c r="F850" s="21"/>
      <c r="G850" s="21"/>
      <c r="H850" s="21"/>
      <c r="I850" s="21"/>
      <c r="J850" s="21"/>
      <c r="K850" s="21"/>
      <c r="L850" s="35"/>
    </row>
    <row r="851" spans="2:12" s="4" customFormat="1" ht="6.75" customHeight="1" outlineLevel="1" x14ac:dyDescent="0.4">
      <c r="B851" s="28"/>
      <c r="C851" s="298"/>
      <c r="D851" s="29"/>
      <c r="E851" s="29"/>
      <c r="F851" s="29"/>
      <c r="G851" s="29"/>
      <c r="H851" s="29"/>
      <c r="I851" s="29"/>
      <c r="J851" s="29"/>
      <c r="K851" s="29"/>
      <c r="L851" s="60"/>
    </row>
    <row r="852" spans="2:12" s="4" customFormat="1" x14ac:dyDescent="0.4"/>
    <row r="853" spans="2:12" s="4" customFormat="1" hidden="1" x14ac:dyDescent="0.4"/>
    <row r="854" spans="2:12" s="4" customFormat="1" hidden="1" x14ac:dyDescent="0.4"/>
    <row r="855" spans="2:12" s="4" customFormat="1" hidden="1" x14ac:dyDescent="0.4"/>
    <row r="856" spans="2:12" s="4" customFormat="1" hidden="1" x14ac:dyDescent="0.4"/>
    <row r="857" spans="2:12" s="4" customFormat="1" hidden="1" x14ac:dyDescent="0.4"/>
    <row r="858" spans="2:12" s="4" customFormat="1" ht="19.2" x14ac:dyDescent="0.45">
      <c r="B858" s="754" t="str">
        <f>"Feedstock Conversion"&amp;" - "&amp;Feedstocks!C31</f>
        <v xml:space="preserve">Feedstock Conversion - </v>
      </c>
      <c r="C858" s="755"/>
      <c r="D858" s="755"/>
      <c r="E858" s="755"/>
      <c r="F858" s="755"/>
      <c r="G858" s="755"/>
      <c r="H858" s="755"/>
      <c r="I858" s="755"/>
      <c r="J858" s="755"/>
      <c r="K858" s="755"/>
      <c r="L858" s="756"/>
    </row>
    <row r="859" spans="2:12" s="4" customFormat="1" outlineLevel="1" x14ac:dyDescent="0.4">
      <c r="B859" s="17"/>
      <c r="C859" s="19"/>
      <c r="D859" s="19"/>
      <c r="E859" s="19"/>
      <c r="F859" s="19"/>
      <c r="G859" s="19"/>
      <c r="H859" s="19"/>
      <c r="I859" s="19"/>
      <c r="J859" s="19"/>
      <c r="K859" s="19"/>
      <c r="L859" s="50"/>
    </row>
    <row r="860" spans="2:12" s="4" customFormat="1" outlineLevel="1" x14ac:dyDescent="0.4">
      <c r="B860" s="20"/>
      <c r="C860" s="1"/>
      <c r="D860" s="1"/>
      <c r="E860" s="1"/>
      <c r="F860" s="1"/>
      <c r="G860" s="1"/>
      <c r="H860" s="69" t="s">
        <v>122</v>
      </c>
      <c r="I860" s="47"/>
      <c r="J860" s="47"/>
      <c r="K860" s="45"/>
      <c r="L860" s="35"/>
    </row>
    <row r="861" spans="2:12" s="4" customFormat="1" outlineLevel="1" x14ac:dyDescent="0.4">
      <c r="B861" s="20"/>
      <c r="C861" s="1"/>
      <c r="D861" s="1"/>
      <c r="E861" s="1"/>
      <c r="F861" s="1"/>
      <c r="G861" s="76"/>
      <c r="H861" s="41"/>
      <c r="I861" s="36"/>
      <c r="J861" s="164" t="s">
        <v>124</v>
      </c>
      <c r="K861" s="37"/>
      <c r="L861" s="35"/>
    </row>
    <row r="862" spans="2:12" s="4" customFormat="1" outlineLevel="1" x14ac:dyDescent="0.4">
      <c r="B862" s="20"/>
      <c r="C862" s="21"/>
      <c r="D862" s="1"/>
      <c r="E862" s="1"/>
      <c r="F862" s="1"/>
      <c r="G862" s="21"/>
      <c r="H862" s="41"/>
      <c r="I862" s="164" t="s">
        <v>125</v>
      </c>
      <c r="J862" s="52" t="str">
        <f>IFERROR((J866/('Transport 2'!F869*('Digestion &amp; outputs'!$G$34/1000)))*'Digestion &amp; outputs'!$K$23,"")</f>
        <v/>
      </c>
      <c r="K862" s="37"/>
      <c r="L862" s="35"/>
    </row>
    <row r="863" spans="2:12" s="4" customFormat="1" ht="16.5" customHeight="1" outlineLevel="1" x14ac:dyDescent="0.4">
      <c r="B863" s="20"/>
      <c r="C863" s="759" t="s">
        <v>183</v>
      </c>
      <c r="D863" s="759"/>
      <c r="E863" s="134" t="s">
        <v>178</v>
      </c>
      <c r="F863" s="1"/>
      <c r="G863" s="21"/>
      <c r="H863" s="41"/>
      <c r="I863" s="36"/>
      <c r="J863" s="36"/>
      <c r="K863" s="37"/>
      <c r="L863" s="35"/>
    </row>
    <row r="864" spans="2:12" s="4" customFormat="1" outlineLevel="1" x14ac:dyDescent="0.4">
      <c r="B864" s="20"/>
      <c r="C864" s="763" t="s">
        <v>184</v>
      </c>
      <c r="D864" s="764"/>
      <c r="E864" s="134" t="s">
        <v>96</v>
      </c>
      <c r="F864" s="1"/>
      <c r="G864" s="21"/>
      <c r="H864" s="41"/>
      <c r="I864" s="36"/>
      <c r="J864" s="36"/>
      <c r="K864" s="37"/>
      <c r="L864" s="35"/>
    </row>
    <row r="865" spans="1:14" s="4" customFormat="1" outlineLevel="1" x14ac:dyDescent="0.4">
      <c r="B865" s="20"/>
      <c r="C865" s="21"/>
      <c r="D865" s="21"/>
      <c r="E865" s="21"/>
      <c r="F865" s="1"/>
      <c r="G865" s="21"/>
      <c r="H865" s="43"/>
      <c r="I865" s="34"/>
      <c r="J865" s="164" t="s">
        <v>141</v>
      </c>
      <c r="K865" s="44"/>
      <c r="L865" s="35"/>
    </row>
    <row r="866" spans="1:14" s="4" customFormat="1" outlineLevel="1" x14ac:dyDescent="0.4">
      <c r="A866" s="765"/>
      <c r="B866" s="51"/>
      <c r="C866" s="164" t="s">
        <v>185</v>
      </c>
      <c r="D866" s="70">
        <f>IFERROR(Feedstocks!D31/'Transport 2'!F869,"Insert data")</f>
        <v>0</v>
      </c>
      <c r="E866" s="21"/>
      <c r="F866" s="1"/>
      <c r="G866" s="21"/>
      <c r="H866" s="43"/>
      <c r="I866" s="164" t="s">
        <v>167</v>
      </c>
      <c r="J866" s="52">
        <f>IFERROR(IF(AND(E863="YES",ISBLANK(F867)),"Insert yield",SUM(J882:J889,J875:J878,J871)*IF(E892="Yes",J895,1)),"Insert data")</f>
        <v>0</v>
      </c>
      <c r="K866" s="44"/>
      <c r="L866" s="35"/>
    </row>
    <row r="867" spans="1:14" s="4" customFormat="1" outlineLevel="1" x14ac:dyDescent="0.4">
      <c r="A867" s="765"/>
      <c r="B867" s="51"/>
      <c r="C867" s="164" t="s">
        <v>186</v>
      </c>
      <c r="D867" s="680">
        <v>0.9</v>
      </c>
      <c r="E867" s="134"/>
      <c r="F867" s="623">
        <f>IF(E863="No", 1, IF(E864="Default",D867, IF(E864="Actual", IF(E867&gt;0, E867, "insert data"), "error")))</f>
        <v>1</v>
      </c>
      <c r="G867" s="21"/>
      <c r="H867" s="49"/>
      <c r="I867" s="65"/>
      <c r="J867" s="65"/>
      <c r="K867" s="66"/>
      <c r="L867" s="35"/>
    </row>
    <row r="868" spans="1:14" s="4" customFormat="1" outlineLevel="1" x14ac:dyDescent="0.4">
      <c r="A868" s="765"/>
      <c r="B868" s="51"/>
      <c r="C868" s="21"/>
      <c r="D868" s="21"/>
      <c r="E868" s="21"/>
      <c r="F868" s="1"/>
      <c r="G868" s="21"/>
      <c r="H868" s="29"/>
      <c r="I868" s="29"/>
      <c r="J868" s="29"/>
      <c r="K868" s="29"/>
      <c r="L868" s="35"/>
    </row>
    <row r="869" spans="1:14" s="4" customFormat="1" outlineLevel="1" x14ac:dyDescent="0.4">
      <c r="A869" s="765"/>
      <c r="B869" s="51"/>
      <c r="C869" s="25" t="s">
        <v>187</v>
      </c>
      <c r="D869" s="1"/>
      <c r="E869" s="1"/>
      <c r="F869" s="1"/>
      <c r="G869" s="1"/>
      <c r="H869" s="69" t="s">
        <v>136</v>
      </c>
      <c r="I869" s="79"/>
      <c r="J869" s="79"/>
      <c r="K869" s="61"/>
      <c r="L869" s="54"/>
      <c r="M869" s="12"/>
      <c r="N869" s="12"/>
    </row>
    <row r="870" spans="1:14" s="4" customFormat="1" outlineLevel="1" x14ac:dyDescent="0.4">
      <c r="A870" s="765"/>
      <c r="B870" s="51"/>
      <c r="C870" s="166" t="s">
        <v>188</v>
      </c>
      <c r="D870" s="164" t="s">
        <v>151</v>
      </c>
      <c r="E870" s="164" t="s">
        <v>140</v>
      </c>
      <c r="F870" s="1"/>
      <c r="G870" s="1"/>
      <c r="H870" s="43"/>
      <c r="I870" s="34"/>
      <c r="J870" s="164" t="s">
        <v>141</v>
      </c>
      <c r="K870" s="44"/>
      <c r="L870" s="54"/>
    </row>
    <row r="871" spans="1:14" s="4" customFormat="1" outlineLevel="1" x14ac:dyDescent="0.4">
      <c r="A871" s="765"/>
      <c r="B871" s="51"/>
      <c r="C871" s="145"/>
      <c r="D871" s="141"/>
      <c r="E871" s="144"/>
      <c r="F871" s="1"/>
      <c r="G871" s="1"/>
      <c r="H871" s="43"/>
      <c r="I871" s="164" t="s">
        <v>189</v>
      </c>
      <c r="J871" s="31">
        <f>IFERROR(IF(E863="No",0,IF(D871="MWh",(E871*'Reference values'!$D$47*INDEX(Electricity_Emission_Factors,MATCH(C871,Electricity_Source,0)))/(D866*1000),IF(D871="kWh",(E871*'Reference values'!$D$47*INDEX(Electricity_Emission_Factors,MATCH(C871,Electricity_Source,0))/1000)/(D866*1000),IF(D871="MWh/tonne(output)",(E871*'Reference values'!$D$47*INDEX(Electricity_Emission_Factors,MATCH(C871,Electricity_Source,0)))/1000,IF(D871="kWh/tonne(output)",(E871*'Reference values'!$D$47*INDEX(Electricity_Emission_Factors,MATCH(C871,Electricity_Source,0))/1000)/1000,""))))),"")</f>
        <v>0</v>
      </c>
      <c r="K871" s="44"/>
      <c r="L871" s="54"/>
    </row>
    <row r="872" spans="1:14" s="4" customFormat="1" outlineLevel="1" x14ac:dyDescent="0.4">
      <c r="A872" s="765"/>
      <c r="B872" s="51"/>
      <c r="C872" s="1"/>
      <c r="D872" s="1"/>
      <c r="E872" s="1"/>
      <c r="F872" s="1"/>
      <c r="G872" s="1"/>
      <c r="H872" s="43"/>
      <c r="I872" s="34"/>
      <c r="J872" s="34"/>
      <c r="K872" s="44"/>
      <c r="L872" s="54"/>
    </row>
    <row r="873" spans="1:14" s="4" customFormat="1" outlineLevel="1" x14ac:dyDescent="0.4">
      <c r="A873" s="765"/>
      <c r="B873" s="51"/>
      <c r="C873" s="25" t="s">
        <v>190</v>
      </c>
      <c r="D873" s="1"/>
      <c r="E873" s="1"/>
      <c r="F873" s="1"/>
      <c r="G873" s="1"/>
      <c r="H873" s="43"/>
      <c r="I873" s="34"/>
      <c r="J873" s="34"/>
      <c r="K873" s="44"/>
      <c r="L873" s="54"/>
    </row>
    <row r="874" spans="1:14" s="4" customFormat="1" outlineLevel="1" x14ac:dyDescent="0.4">
      <c r="A874" s="765"/>
      <c r="B874" s="51"/>
      <c r="C874" s="164" t="s">
        <v>160</v>
      </c>
      <c r="D874" s="164" t="s">
        <v>151</v>
      </c>
      <c r="E874" s="164" t="s">
        <v>140</v>
      </c>
      <c r="F874" s="1"/>
      <c r="G874" s="1"/>
      <c r="H874" s="43"/>
      <c r="I874" s="164" t="s">
        <v>160</v>
      </c>
      <c r="J874" s="182" t="s">
        <v>141</v>
      </c>
      <c r="K874" s="44"/>
      <c r="L874" s="54"/>
    </row>
    <row r="875" spans="1:14" s="4" customFormat="1" outlineLevel="1" x14ac:dyDescent="0.4">
      <c r="A875" s="765"/>
      <c r="B875" s="51"/>
      <c r="C875" s="27" t="str">
        <f>IF(E864="Default", "Diesel", "")</f>
        <v>Diesel</v>
      </c>
      <c r="D875" s="74" t="str">
        <f>IF(E864="Default", "kWh/tonne(output)", "")</f>
        <v>kWh/tonne(output)</v>
      </c>
      <c r="E875" s="74">
        <f>IF(E864="Default", 3.881, "")</f>
        <v>3.8809999999999998</v>
      </c>
      <c r="F875" s="1"/>
      <c r="G875" s="1"/>
      <c r="H875" s="43"/>
      <c r="I875" s="27" t="str">
        <f>IF(C875&gt;0,C875,"")</f>
        <v>Diesel</v>
      </c>
      <c r="J875" s="31">
        <f>IF(E864="Actual","",IFERROR(IF(C875&gt;0,IF(ISBLANK(E875),"Insert data",IF(E863="No",0,(IF(D875="litres",(E875*(INDEX(Fuel_Densities,MATCH(C875,Fuels_for_Densities,0))/1000)*INDEX(Fuel_LHV,MATCH(C875,Fuels_for_LHV,0))*INDEX(Fuel_EFs,MATCH(C875,Fuels_for_EF,0)))/(D866*1000),(IF(D875="m3",(E875*(INDEX(Fuel_Densities,MATCH(C875,Fuels_for_Densities,0)))*INDEX(Fuel_LHV,MATCH(C875,Fuels_for_LHV,0))*INDEX(Fuel_EFs,MATCH(C875,Fuels_for_EF,0)))/(D866*1000),IF(D875="kg",(E875*INDEX(Fuel_LHV,MATCH(C875,Fuels_for_LHV,0))*INDEX(Fuel_EFs,MATCH(C875,Fuels_for_EF,0)))/(D866*1000),IF(D875="tonnes",(E875*INDEX(Fuel_LHV,MATCH(C875,Fuels_for_LHV,0))*1000*INDEX(Fuel_EFs,MATCH(C875,Fuels_for_EF,0)))/(D866*1000),IF(D875="MWh",(E875*'Reference values'!$D$47*INDEX(Fuel_EFs,MATCH(C875,Fuels_for_EF,0)))/(D866*1000),IF(D875="kWh",(E875*'Reference values'!$D$47*INDEX(Fuel_EFs,MATCH(C875,Fuels_for_EF,0))/1000)/(D866*1000),(IF(D875="litres/tonne(output)",(E875*(INDEX(Fuel_Densities,MATCH(C875,Fuels_for_Densities,0))/1000)*INDEX(Fuel_LHV,MATCH(C875,Fuels_for_LHV,0))*INDEX(Fuel_EFs,MATCH(C875,Fuels_for_EF,0)))/1000,(IF(D875="m3/tonne(output)",(E875*(INDEX(Fuel_Densities,MATCH(C875,Fuels_for_Densities,0)))*INDEX(Fuel_LHV,MATCH(C875,Fuels_for_LHV,0))*INDEX(Fuel_EFs,MATCH(C875,Fuels_for_EF,0)))/1000,IF(D875="kg/tonne(output)",(E875*INDEX(Fuel_LHV,MATCH(C875,Fuels_for_LHV,0))*INDEX(Fuel_EFs,MATCH(C875,Fuels_for_EF,0)))/1000,IF(D875="tonnes/tonne(output)",(E875*INDEX(Fuel_LHV,MATCH(C875,Fuels_for_LHV,0))*1000*INDEX(Fuel_EFs,MATCH(C875,Fuels_for_EF,0)))/1000,IF(D875="MWh/tonne(output)",(E875*'Reference values'!$D$47*INDEX(Fuel_EFs,MATCH(C875,Fuels_for_EF,0)))/1000,IF(D875="kWh/tonne(output)",(E875*'Reference values'!$D$47*INDEX(Fuel_EFs,MATCH(C875,Fuels_for_EF,0))/1000)/1000,"Insert unit")))))))))))))))))),""),"Insert data"))</f>
        <v>0</v>
      </c>
      <c r="K875" s="44"/>
      <c r="L875" s="54"/>
    </row>
    <row r="876" spans="1:14" s="4" customFormat="1" outlineLevel="1" x14ac:dyDescent="0.4">
      <c r="A876" s="765"/>
      <c r="B876" s="51"/>
      <c r="C876" s="134"/>
      <c r="D876" s="141"/>
      <c r="E876" s="144"/>
      <c r="F876" s="1"/>
      <c r="G876" s="1"/>
      <c r="H876" s="43"/>
      <c r="I876" s="27" t="str">
        <f>IF(C876&gt;0,C876,"")</f>
        <v/>
      </c>
      <c r="J876" s="31" t="str">
        <f>IFERROR(IF(C876&gt;0,IF(ISBLANK(E876),"Insert data",IF(E863="No",0,(IF(D876="litres",(E876*(INDEX(Fuel_Densities,MATCH(C876,Fuels_for_Densities,0))/1000)*INDEX(Fuel_LHV,MATCH(C876,Fuels_for_LHV,0))*INDEX(Fuel_EFs,MATCH(C876,Fuels_for_EF,0)))/(D866*1000),(IF(D876="m3",(E876*(INDEX(Fuel_Densities,MATCH(C876,Fuels_for_Densities,0)))*INDEX(Fuel_LHV,MATCH(C876,Fuels_for_LHV,0))*INDEX(Fuel_EFs,MATCH(C876,Fuels_for_EF,0)))/(D866*1000),IF(D876="kg",(E876*INDEX(Fuel_LHV,MATCH(C876,Fuels_for_LHV,0))*INDEX(Fuel_EFs,MATCH(C876,Fuels_for_EF,0)))/(D866*1000),IF(D876="tonnes",(E876*INDEX(Fuel_LHV,MATCH(C876,Fuels_for_LHV,0))*1000*INDEX(Fuel_EFs,MATCH(C876,Fuels_for_EF,0)))/(D866*1000),IF(D876="MWh",(E876*'Reference values'!$D$47*INDEX(Fuel_EFs,MATCH(C876,Fuels_for_EF,0)))/(D866*1000),IF(D876="kWh",(E876*'Reference values'!$D$47*INDEX(Fuel_EFs,MATCH(C876,Fuels_for_EF,0))/1000)/(D866*1000),(IF(D876="litres/tonne(output)",(E876*(INDEX(Fuel_Densities,MATCH(C876,Fuels_for_Densities,0))/1000)*INDEX(Fuel_LHV,MATCH(C876,Fuels_for_LHV,0))*INDEX(Fuel_EFs,MATCH(C876,Fuels_for_EF,0)))/1000,(IF(D876="m3/tonne(output)",(E876*(INDEX(Fuel_Densities,MATCH(C876,Fuels_for_Densities,0)))*INDEX(Fuel_LHV,MATCH(C876,Fuels_for_LHV,0))*INDEX(Fuel_EFs,MATCH(C876,Fuels_for_EF,0)))/1000,IF(D876="kg/tonne(output)",(E876*INDEX(Fuel_LHV,MATCH(C876,Fuels_for_LHV,0))*INDEX(Fuel_EFs,MATCH(C876,Fuels_for_EF,0)))/1000,IF(D876="tonnes/tonne(output)",(E876*INDEX(Fuel_LHV,MATCH(C876,Fuels_for_LHV,0))*1000*INDEX(Fuel_EFs,MATCH(C876,Fuels_for_EF,0)))/1000,IF(D876="MWh/tonne(output)",(E876*'Reference values'!$D$47*INDEX(Fuel_EFs,MATCH(C876,Fuels_for_EF,0)))/1000,IF(D876="kWh/tonne(output)",(E876*'Reference values'!$D$47*INDEX(Fuel_EFs,MATCH(C876,Fuels_for_EF,0))/1000)/1000,"Insert unit")))))))))))))))))),""),"Insert data")</f>
        <v/>
      </c>
      <c r="K876" s="44"/>
      <c r="L876" s="54"/>
    </row>
    <row r="877" spans="1:14" s="4" customFormat="1" outlineLevel="1" x14ac:dyDescent="0.4">
      <c r="A877" s="765"/>
      <c r="B877" s="51"/>
      <c r="C877" s="134"/>
      <c r="D877" s="141"/>
      <c r="E877" s="144"/>
      <c r="F877" s="1"/>
      <c r="G877" s="1"/>
      <c r="H877" s="43"/>
      <c r="I877" s="27" t="str">
        <f>IF(C877&gt;0,C877,"")</f>
        <v/>
      </c>
      <c r="J877" s="31" t="str">
        <f>IFERROR(IF(C877&gt;0,IF(ISBLANK(E877),"Insert data",IF(E863="No",0,(IF(D877="litres",(E877*(INDEX(Fuel_Densities,MATCH(C877,Fuels_for_Densities,0))/1000)*INDEX(Fuel_LHV,MATCH(C877,Fuels_for_LHV,0))*INDEX(Fuel_EFs,MATCH(C877,Fuels_for_EF,0)))/(D866*1000),(IF(D877="m3",(E877*(INDEX(Fuel_Densities,MATCH(C877,Fuels_for_Densities,0)))*INDEX(Fuel_LHV,MATCH(C877,Fuels_for_LHV,0))*INDEX(Fuel_EFs,MATCH(C877,Fuels_for_EF,0)))/(D866*1000),IF(D877="kg",(E877*INDEX(Fuel_LHV,MATCH(C877,Fuels_for_LHV,0))*INDEX(Fuel_EFs,MATCH(C877,Fuels_for_EF,0)))/(D866*1000),IF(D877="tonnes",(E877*INDEX(Fuel_LHV,MATCH(C877,Fuels_for_LHV,0))*1000*INDEX(Fuel_EFs,MATCH(C877,Fuels_for_EF,0)))/(D866*1000),IF(D877="MWh",(E877*'Reference values'!$D$47*INDEX(Fuel_EFs,MATCH(C877,Fuels_for_EF,0)))/(D866*1000),IF(D877="kWh",(E877*'Reference values'!$D$47*INDEX(Fuel_EFs,MATCH(C877,Fuels_for_EF,0))/1000)/(D866*1000),(IF(D877="litres/tonne(output)",(E877*(INDEX(Fuel_Densities,MATCH(C877,Fuels_for_Densities,0))/1000)*INDEX(Fuel_LHV,MATCH(C877,Fuels_for_LHV,0))*INDEX(Fuel_EFs,MATCH(C877,Fuels_for_EF,0)))/1000,(IF(D877="m3/tonne(output)",(E877*(INDEX(Fuel_Densities,MATCH(C877,Fuels_for_Densities,0)))*INDEX(Fuel_LHV,MATCH(C877,Fuels_for_LHV,0))*INDEX(Fuel_EFs,MATCH(C877,Fuels_for_EF,0)))/1000,IF(D877="kg/tonne(output)",(E877*INDEX(Fuel_LHV,MATCH(C877,Fuels_for_LHV,0))*INDEX(Fuel_EFs,MATCH(C877,Fuels_for_EF,0)))/1000,IF(D877="tonnes/tonne(output)",(E877*INDEX(Fuel_LHV,MATCH(C877,Fuels_for_LHV,0))*1000*INDEX(Fuel_EFs,MATCH(C877,Fuels_for_EF,0)))/1000,IF(D877="MWh/tonne(output)",(E877*'Reference values'!$D$47*INDEX(Fuel_EFs,MATCH(C877,Fuels_for_EF,0)))/1000,IF(D877="kWh/tonne(output)",(E877*'Reference values'!$D$47*INDEX(Fuel_EFs,MATCH(C877,Fuels_for_EF,0))/1000)/1000,"Insert unit")))))))))))))))))),""),"Insert data")</f>
        <v/>
      </c>
      <c r="K877" s="44"/>
      <c r="L877" s="54"/>
    </row>
    <row r="878" spans="1:14" s="4" customFormat="1" outlineLevel="1" x14ac:dyDescent="0.4">
      <c r="A878" s="765"/>
      <c r="B878" s="51"/>
      <c r="C878" s="134"/>
      <c r="D878" s="141"/>
      <c r="E878" s="144"/>
      <c r="F878" s="1"/>
      <c r="G878" s="1"/>
      <c r="H878" s="43"/>
      <c r="I878" s="27" t="str">
        <f>IF(C878&gt;0,C878,"")</f>
        <v/>
      </c>
      <c r="J878" s="31" t="str">
        <f>IFERROR(IF(C878&gt;0,IF(ISBLANK(E878),"Insert data",IF(E863="No",0,(IF(D878="litres",(E878*(INDEX(Fuel_Densities,MATCH(C878,Fuels_for_Densities,0))/1000)*INDEX(Fuel_LHV,MATCH(C878,Fuels_for_LHV,0))*INDEX(Fuel_EFs,MATCH(C878,Fuels_for_EF,0)))/(D866*1000),(IF(D878="m3",(E878*(INDEX(Fuel_Densities,MATCH(C878,Fuels_for_Densities,0)))*INDEX(Fuel_LHV,MATCH(C878,Fuels_for_LHV,0))*INDEX(Fuel_EFs,MATCH(C878,Fuels_for_EF,0)))/(D866*1000),IF(D878="kg",(E878*INDEX(Fuel_LHV,MATCH(C878,Fuels_for_LHV,0))*INDEX(Fuel_EFs,MATCH(C878,Fuels_for_EF,0)))/(D866*1000),IF(D878="tonnes",(E878*INDEX(Fuel_LHV,MATCH(C878,Fuels_for_LHV,0))*1000*INDEX(Fuel_EFs,MATCH(C878,Fuels_for_EF,0)))/(D866*1000),IF(D878="MWh",(E878*'Reference values'!$D$47*INDEX(Fuel_EFs,MATCH(C878,Fuels_for_EF,0)))/(D866*1000),IF(D878="kWh",(E878*'Reference values'!$D$47*INDEX(Fuel_EFs,MATCH(C878,Fuels_for_EF,0))/1000)/(D866*1000),(IF(D878="litres/tonne(output)",(E878*(INDEX(Fuel_Densities,MATCH(C878,Fuels_for_Densities,0))/1000)*INDEX(Fuel_LHV,MATCH(C878,Fuels_for_LHV,0))*INDEX(Fuel_EFs,MATCH(C878,Fuels_for_EF,0)))/1000,(IF(D878="m3/tonne(output)",(E878*(INDEX(Fuel_Densities,MATCH(C878,Fuels_for_Densities,0)))*INDEX(Fuel_LHV,MATCH(C878,Fuels_for_LHV,0))*INDEX(Fuel_EFs,MATCH(C878,Fuels_for_EF,0)))/1000,IF(D878="kg/tonne(output)",(E878*INDEX(Fuel_LHV,MATCH(C878,Fuels_for_LHV,0))*INDEX(Fuel_EFs,MATCH(C878,Fuels_for_EF,0)))/1000,IF(D878="tonnes/tonne(output)",(E878*INDEX(Fuel_LHV,MATCH(C878,Fuels_for_LHV,0))*1000*INDEX(Fuel_EFs,MATCH(C878,Fuels_for_EF,0)))/1000,IF(D878="MWh/tonne(output)",(E878*'Reference values'!$D$47*INDEX(Fuel_EFs,MATCH(C878,Fuels_for_EF,0)))/1000,IF(D878="kWh/tonne(output)",(E878*'Reference values'!$D$47*INDEX(Fuel_EFs,MATCH(C878,Fuels_for_EF,0))/1000)/1000,"Insert unit")))))))))))))))))),""),"Insert data")</f>
        <v/>
      </c>
      <c r="K878" s="44"/>
      <c r="L878" s="54"/>
    </row>
    <row r="879" spans="1:14" s="4" customFormat="1" outlineLevel="1" x14ac:dyDescent="0.4">
      <c r="A879" s="765"/>
      <c r="B879" s="51"/>
      <c r="C879" s="1"/>
      <c r="D879" s="1"/>
      <c r="E879" s="1"/>
      <c r="F879" s="1"/>
      <c r="G879" s="53"/>
      <c r="H879" s="56"/>
      <c r="I879" s="57"/>
      <c r="J879" s="34"/>
      <c r="K879" s="44"/>
      <c r="L879" s="54"/>
    </row>
    <row r="880" spans="1:14" s="4" customFormat="1" outlineLevel="1" x14ac:dyDescent="0.4">
      <c r="A880" s="765"/>
      <c r="B880" s="51"/>
      <c r="C880" s="25" t="s">
        <v>191</v>
      </c>
      <c r="D880" s="1"/>
      <c r="E880" s="1"/>
      <c r="F880" s="1"/>
      <c r="G880" s="53"/>
      <c r="H880" s="56"/>
      <c r="I880" s="34"/>
      <c r="J880" s="34"/>
      <c r="K880" s="44"/>
      <c r="L880" s="54"/>
    </row>
    <row r="881" spans="1:12" s="4" customFormat="1" outlineLevel="1" x14ac:dyDescent="0.4">
      <c r="A881" s="765"/>
      <c r="B881" s="51"/>
      <c r="C881" s="164" t="s">
        <v>192</v>
      </c>
      <c r="D881" s="164" t="s">
        <v>151</v>
      </c>
      <c r="E881" s="164" t="s">
        <v>140</v>
      </c>
      <c r="F881" s="1"/>
      <c r="G881" s="1"/>
      <c r="H881" s="43"/>
      <c r="I881" s="164" t="s">
        <v>192</v>
      </c>
      <c r="J881" s="182" t="s">
        <v>141</v>
      </c>
      <c r="K881" s="44"/>
      <c r="L881" s="54"/>
    </row>
    <row r="882" spans="1:12" s="4" customFormat="1" outlineLevel="1" x14ac:dyDescent="0.4">
      <c r="A882" s="765"/>
      <c r="B882" s="51"/>
      <c r="C882" s="134"/>
      <c r="D882" s="141"/>
      <c r="E882" s="144"/>
      <c r="F882" s="1"/>
      <c r="G882" s="1"/>
      <c r="H882" s="43"/>
      <c r="I882" s="27" t="str">
        <f t="shared" ref="I882:I889" si="17">IF(C882&gt;0,C882,"")</f>
        <v/>
      </c>
      <c r="J882" s="31" t="str">
        <f>IFERROR(IF(C882&gt;0,IF(ISBLANK(E882),"Insert data",IF(E863="No",0,IF(D882="kg",E882*INDEX(Chemical_Emission_Factors,MATCH(C882,Chemicals,0))/(D866*1000),IF(D882="tonnes",E882*INDEX(Chemical_Emission_Factors,MATCH(C882,Chemicals,0))*1000/(D866*1000),IF(D882="kg/tonne(output)",E882*INDEX(Chemical_Emission_Factors,MATCH(C882,Chemicals,0))/1000,IF(D882="tonnes/tonne(output)",E882*INDEX(Chemical_Emission_Factors,MATCH(C882,Chemicals,0))*1000/1000,"Insert unit")))))),""),"Insert data")</f>
        <v/>
      </c>
      <c r="K882" s="44"/>
      <c r="L882" s="54"/>
    </row>
    <row r="883" spans="1:12" s="4" customFormat="1" outlineLevel="1" x14ac:dyDescent="0.4">
      <c r="A883" s="765"/>
      <c r="B883" s="51"/>
      <c r="C883" s="134"/>
      <c r="D883" s="141"/>
      <c r="E883" s="144"/>
      <c r="F883" s="1"/>
      <c r="G883" s="1"/>
      <c r="H883" s="43"/>
      <c r="I883" s="27" t="str">
        <f t="shared" si="17"/>
        <v/>
      </c>
      <c r="J883" s="31" t="str">
        <f>IFERROR(IF(C883&gt;0,IF(ISBLANK(E883),"Insert data",IF(E863="No",0,IF(D883="kg",E883*INDEX(Chemical_Emission_Factors,MATCH(C883,Chemicals,0))/(D866*1000),IF(D883="tonnes",E883*INDEX(Chemical_Emission_Factors,MATCH(C883,Chemicals,0))*1000/(D866*1000),IF(D883="kg/tonne(output)",E883*INDEX(Chemical_Emission_Factors,MATCH(C883,Chemicals,0))/1000,IF(D883="tonnes/tonne(output)",E883*INDEX(Chemical_Emission_Factors,MATCH(C883,Chemicals,0))*1000/1000,"Insert unit")))))),""),"Insert data")</f>
        <v/>
      </c>
      <c r="K883" s="44"/>
      <c r="L883" s="54"/>
    </row>
    <row r="884" spans="1:12" s="4" customFormat="1" outlineLevel="1" x14ac:dyDescent="0.4">
      <c r="A884" s="765"/>
      <c r="B884" s="51"/>
      <c r="C884" s="134"/>
      <c r="D884" s="141"/>
      <c r="E884" s="144"/>
      <c r="F884" s="1"/>
      <c r="G884" s="1"/>
      <c r="H884" s="43"/>
      <c r="I884" s="27" t="str">
        <f t="shared" si="17"/>
        <v/>
      </c>
      <c r="J884" s="31" t="str">
        <f>IFERROR(IF(C884&gt;0,IF(ISBLANK(E884),"Insert data",IF(E863="No",0,IF(D884="kg",E884*INDEX(Chemical_Emission_Factors,MATCH(C884,Chemicals,0))/(D866*1000),IF(D884="tonnes",E884*INDEX(Chemical_Emission_Factors,MATCH(C884,Chemicals,0))*1000/(D866*1000),IF(D884="kg/tonne(output)",E884*INDEX(Chemical_Emission_Factors,MATCH(C884,Chemicals,0))/1000,IF(D884="tonnes/tonne(output)",E884*INDEX(Chemical_Emission_Factors,MATCH(C884,Chemicals,0))*1000/1000,"Insert unit")))))),""),"Insert data")</f>
        <v/>
      </c>
      <c r="K884" s="44"/>
      <c r="L884" s="54"/>
    </row>
    <row r="885" spans="1:12" s="4" customFormat="1" outlineLevel="1" x14ac:dyDescent="0.4">
      <c r="A885" s="765"/>
      <c r="B885" s="51"/>
      <c r="C885" s="134"/>
      <c r="D885" s="141"/>
      <c r="E885" s="144"/>
      <c r="F885" s="1"/>
      <c r="G885" s="1"/>
      <c r="H885" s="43"/>
      <c r="I885" s="27" t="str">
        <f t="shared" si="17"/>
        <v/>
      </c>
      <c r="J885" s="31" t="str">
        <f>IFERROR(IF(C885&gt;0,IF(ISBLANK(E885),"Insert data",IF(E863="No",0,IF(D885="kg",E885*INDEX(Chemical_Emission_Factors,MATCH(C885,Chemicals,0))/(D866*1000),IF(D885="tonnes",E885*INDEX(Chemical_Emission_Factors,MATCH(C885,Chemicals,0))*1000/(D866*1000),IF(D885="kg/tonne(output)",E885*INDEX(Chemical_Emission_Factors,MATCH(C885,Chemicals,0))/1000,IF(D885="tonnes/tonne(output)",E885*INDEX(Chemical_Emission_Factors,MATCH(C885,Chemicals,0))*1000/1000,"Insert unit")))))),""),"Insert data")</f>
        <v/>
      </c>
      <c r="K885" s="44"/>
      <c r="L885" s="54"/>
    </row>
    <row r="886" spans="1:12" s="4" customFormat="1" outlineLevel="1" x14ac:dyDescent="0.4">
      <c r="A886" s="765"/>
      <c r="B886" s="51"/>
      <c r="C886" s="134"/>
      <c r="D886" s="141"/>
      <c r="E886" s="144"/>
      <c r="F886" s="1"/>
      <c r="G886" s="1"/>
      <c r="H886" s="43"/>
      <c r="I886" s="27" t="str">
        <f t="shared" si="17"/>
        <v/>
      </c>
      <c r="J886" s="31" t="str">
        <f>IFERROR(IF(C886&gt;0,IF(ISBLANK(E886),"Insert data",IF(E863="No",0,IF(D886="kg",E886*INDEX(Chemical_Emission_Factors,MATCH(C886,Chemicals,0))/(D866*1000),IF(D886="tonnes",E886*INDEX(Chemical_Emission_Factors,MATCH(C886,Chemicals,0))*1000/(D866*1000),IF(D886="kg/tonne(output)",E886*INDEX(Chemical_Emission_Factors,MATCH(C886,Chemicals,0))/1000,IF(D886="tonnes/tonne(output)",E886*INDEX(Chemical_Emission_Factors,MATCH(C886,Chemicals,0))*1000/1000,"Insert unit")))))),""),"Insert data")</f>
        <v/>
      </c>
      <c r="K886" s="44"/>
      <c r="L886" s="54"/>
    </row>
    <row r="887" spans="1:12" s="4" customFormat="1" outlineLevel="1" x14ac:dyDescent="0.4">
      <c r="A887" s="765"/>
      <c r="B887" s="51"/>
      <c r="C887" s="134"/>
      <c r="D887" s="141"/>
      <c r="E887" s="144"/>
      <c r="F887" s="1"/>
      <c r="G887" s="1"/>
      <c r="H887" s="43"/>
      <c r="I887" s="27" t="str">
        <f t="shared" si="17"/>
        <v/>
      </c>
      <c r="J887" s="31" t="str">
        <f>IFERROR(IF(C887&gt;0,IF(ISBLANK(E887),"Insert data",IF(E863="No",0,IF(D887="kg",E887*INDEX(Chemical_Emission_Factors,MATCH(C887,Chemicals,0))/(D866*1000),IF(D887="tonnes",E887*INDEX(Chemical_Emission_Factors,MATCH(C887,Chemicals,0))*1000/(D866*1000),IF(D887="kg/tonne(output)",E887*INDEX(Chemical_Emission_Factors,MATCH(C887,Chemicals,0))/1000,IF(D887="tonnes/tonne(output)",E887*INDEX(Chemical_Emission_Factors,MATCH(C887,Chemicals,0))*1000/1000,"Insert unit")))))),""),"Insert data")</f>
        <v/>
      </c>
      <c r="K887" s="44"/>
      <c r="L887" s="54"/>
    </row>
    <row r="888" spans="1:12" s="4" customFormat="1" outlineLevel="1" x14ac:dyDescent="0.4">
      <c r="A888" s="765"/>
      <c r="B888" s="51"/>
      <c r="C888" s="134"/>
      <c r="D888" s="141"/>
      <c r="E888" s="144"/>
      <c r="F888" s="1"/>
      <c r="G888" s="1"/>
      <c r="H888" s="43"/>
      <c r="I888" s="27" t="str">
        <f t="shared" si="17"/>
        <v/>
      </c>
      <c r="J888" s="31" t="str">
        <f>IFERROR(IF(C888&gt;0,IF(ISBLANK(E888),"Insert data",IF(E863="No",0,IF(D888="kg",E888*INDEX(Chemical_Emission_Factors,MATCH(C888,Chemicals,0))/(D866*1000),IF(D888="tonnes",E888*INDEX(Chemical_Emission_Factors,MATCH(C888,Chemicals,0))*1000/(D866*1000),IF(D888="kg/tonne(output)",E888*INDEX(Chemical_Emission_Factors,MATCH(C888,Chemicals,0))/1000,IF(D888="tonnes/tonne(output)",E888*INDEX(Chemical_Emission_Factors,MATCH(C888,Chemicals,0))*1000/1000,"Insert unit")))))),""),"Insert data")</f>
        <v/>
      </c>
      <c r="K888" s="44"/>
      <c r="L888" s="54"/>
    </row>
    <row r="889" spans="1:12" s="4" customFormat="1" outlineLevel="1" x14ac:dyDescent="0.4">
      <c r="A889" s="765"/>
      <c r="B889" s="51"/>
      <c r="C889" s="134"/>
      <c r="D889" s="141"/>
      <c r="E889" s="144"/>
      <c r="F889" s="1"/>
      <c r="G889" s="1"/>
      <c r="H889" s="43"/>
      <c r="I889" s="27" t="str">
        <f t="shared" si="17"/>
        <v/>
      </c>
      <c r="J889" s="31" t="str">
        <f>IFERROR(IF(C889&gt;0,IF(ISBLANK(E889),"Insert data",IF(E863="No",0,IF(D889="kg",E889*INDEX(Chemical_Emission_Factors,MATCH(C889,Chemicals,0))/(D866*1000),IF(D889="tonnes",E889*INDEX(Chemical_Emission_Factors,MATCH(C889,Chemicals,0))*1000/(D866*1000),IF(D889="kg/tonne(output)",E889*INDEX(Chemical_Emission_Factors,MATCH(C889,Chemicals,0))/1000,IF(D889="tonnes/tonne(output)",E889*INDEX(Chemical_Emission_Factors,MATCH(C889,Chemicals,0))*1000/1000,"Insert unit")))))),""),"Insert data")</f>
        <v/>
      </c>
      <c r="K889" s="44"/>
      <c r="L889" s="54"/>
    </row>
    <row r="890" spans="1:12" s="4" customFormat="1" ht="12.75" customHeight="1" outlineLevel="1" x14ac:dyDescent="0.4">
      <c r="B890" s="20"/>
      <c r="C890" s="21"/>
      <c r="D890" s="21"/>
      <c r="E890" s="21"/>
      <c r="F890" s="1"/>
      <c r="G890" s="21"/>
      <c r="H890" s="46"/>
      <c r="I890" s="58"/>
      <c r="J890" s="58"/>
      <c r="K890" s="59"/>
      <c r="L890" s="35"/>
    </row>
    <row r="891" spans="1:12" s="4" customFormat="1" outlineLevel="1" x14ac:dyDescent="0.4">
      <c r="B891" s="20"/>
      <c r="C891" s="243" t="s">
        <v>193</v>
      </c>
      <c r="D891" s="21"/>
      <c r="E891" s="21"/>
      <c r="F891" s="1"/>
      <c r="G891" s="21"/>
      <c r="H891" s="21"/>
      <c r="I891" s="21"/>
      <c r="J891" s="21"/>
      <c r="K891" s="21"/>
      <c r="L891" s="35"/>
    </row>
    <row r="892" spans="1:12" s="4" customFormat="1" outlineLevel="1" x14ac:dyDescent="0.4">
      <c r="B892" s="20"/>
      <c r="C892" s="766" t="s">
        <v>194</v>
      </c>
      <c r="D892" s="767"/>
      <c r="E892" s="299" t="s">
        <v>178</v>
      </c>
      <c r="F892" s="1"/>
      <c r="G892" s="21"/>
      <c r="H892" s="302"/>
      <c r="I892" s="47"/>
      <c r="J892" s="47"/>
      <c r="K892" s="45"/>
      <c r="L892" s="35"/>
    </row>
    <row r="893" spans="1:12" s="4" customFormat="1" ht="6.75" customHeight="1" outlineLevel="1" x14ac:dyDescent="0.4">
      <c r="B893" s="20"/>
      <c r="C893" s="21"/>
      <c r="D893" s="21"/>
      <c r="E893" s="21"/>
      <c r="F893" s="1"/>
      <c r="G893" s="21"/>
      <c r="H893" s="41"/>
      <c r="I893" s="36"/>
      <c r="J893" s="301"/>
      <c r="K893" s="37"/>
      <c r="L893" s="35"/>
    </row>
    <row r="894" spans="1:12" s="4" customFormat="1" outlineLevel="1" x14ac:dyDescent="0.4">
      <c r="B894" s="20"/>
      <c r="C894" s="21"/>
      <c r="D894" s="164" t="s">
        <v>151</v>
      </c>
      <c r="E894" s="164" t="s">
        <v>140</v>
      </c>
      <c r="F894" s="1"/>
      <c r="G894" s="21"/>
      <c r="H894" s="41"/>
      <c r="I894" s="36"/>
      <c r="J894" s="164" t="s">
        <v>195</v>
      </c>
      <c r="K894" s="37"/>
      <c r="L894" s="35"/>
    </row>
    <row r="895" spans="1:12" s="4" customFormat="1" outlineLevel="1" x14ac:dyDescent="0.4">
      <c r="B895" s="20"/>
      <c r="C895" s="164" t="s">
        <v>196</v>
      </c>
      <c r="D895" s="297" t="s">
        <v>197</v>
      </c>
      <c r="E895" s="299"/>
      <c r="F895" s="1"/>
      <c r="G895" s="21"/>
      <c r="H895" s="41"/>
      <c r="I895" s="164" t="s">
        <v>198</v>
      </c>
      <c r="J895" s="309" t="str">
        <f>IFERROR(IF(E892="No", "", IF(AND(E892="yes",OR(ISBLANK(E895),ISBLANK(E896),ISBLANK(E897))),"Insert data",E896/(E896+E897*E895))), "")</f>
        <v/>
      </c>
      <c r="K895" s="37"/>
      <c r="L895" s="35"/>
    </row>
    <row r="896" spans="1:12" s="4" customFormat="1" outlineLevel="1" x14ac:dyDescent="0.4">
      <c r="B896" s="20"/>
      <c r="C896" s="164" t="s">
        <v>199</v>
      </c>
      <c r="D896" s="296" t="s">
        <v>200</v>
      </c>
      <c r="E896" s="299"/>
      <c r="F896" s="1"/>
      <c r="G896" s="21"/>
      <c r="H896" s="41"/>
      <c r="I896" s="164" t="s">
        <v>201</v>
      </c>
      <c r="J896" s="309" t="str">
        <f>IFERROR(IF(E892="No", "", IF(AND(E892="yes",OR(ISBLANK(E895),ISBLANK(E896),ISBLANK(E897))),"Insert data",(E897*E895)/(E897*E895+E896))),"")</f>
        <v/>
      </c>
      <c r="K896" s="37"/>
      <c r="L896" s="35"/>
    </row>
    <row r="897" spans="2:12" s="4" customFormat="1" outlineLevel="1" x14ac:dyDescent="0.4">
      <c r="B897" s="20"/>
      <c r="C897" s="164" t="s">
        <v>202</v>
      </c>
      <c r="D897" s="296" t="s">
        <v>200</v>
      </c>
      <c r="E897" s="299"/>
      <c r="F897" s="1"/>
      <c r="G897" s="21"/>
      <c r="H897" s="46"/>
      <c r="I897" s="58"/>
      <c r="J897" s="58"/>
      <c r="K897" s="59"/>
      <c r="L897" s="35"/>
    </row>
    <row r="898" spans="2:12" s="4" customFormat="1" ht="6.75" customHeight="1" outlineLevel="1" x14ac:dyDescent="0.4">
      <c r="B898" s="20"/>
      <c r="C898" s="21"/>
      <c r="D898" s="21"/>
      <c r="E898" s="21"/>
      <c r="F898" s="21"/>
      <c r="G898" s="21"/>
      <c r="H898" s="21"/>
      <c r="I898" s="21"/>
      <c r="J898" s="21"/>
      <c r="K898" s="21"/>
      <c r="L898" s="35"/>
    </row>
    <row r="899" spans="2:12" s="4" customFormat="1" ht="12.75" customHeight="1" outlineLevel="1" x14ac:dyDescent="0.4">
      <c r="B899" s="20"/>
      <c r="C899" s="300" t="s">
        <v>203</v>
      </c>
      <c r="D899" s="21"/>
      <c r="E899" s="21"/>
      <c r="F899" s="21"/>
      <c r="G899" s="21"/>
      <c r="H899" s="21"/>
      <c r="I899" s="21"/>
      <c r="J899" s="21"/>
      <c r="K899" s="21"/>
      <c r="L899" s="35"/>
    </row>
    <row r="900" spans="2:12" s="4" customFormat="1" ht="12.75" customHeight="1" outlineLevel="1" x14ac:dyDescent="0.4">
      <c r="B900" s="20"/>
      <c r="C900" s="300" t="s">
        <v>204</v>
      </c>
      <c r="D900" s="21"/>
      <c r="E900" s="21"/>
      <c r="F900" s="21"/>
      <c r="G900" s="21"/>
      <c r="H900" s="21"/>
      <c r="I900" s="21"/>
      <c r="J900" s="21"/>
      <c r="K900" s="21"/>
      <c r="L900" s="35"/>
    </row>
    <row r="901" spans="2:12" s="4" customFormat="1" ht="6.75" customHeight="1" outlineLevel="1" x14ac:dyDescent="0.4">
      <c r="B901" s="28"/>
      <c r="C901" s="298"/>
      <c r="D901" s="29"/>
      <c r="E901" s="29"/>
      <c r="F901" s="29"/>
      <c r="G901" s="29"/>
      <c r="H901" s="29"/>
      <c r="I901" s="29"/>
      <c r="J901" s="29"/>
      <c r="K901" s="29"/>
      <c r="L901" s="60"/>
    </row>
    <row r="902" spans="2:12" s="4" customFormat="1" x14ac:dyDescent="0.4"/>
    <row r="903" spans="2:12" s="4" customFormat="1" hidden="1" x14ac:dyDescent="0.4"/>
    <row r="904" spans="2:12" s="4" customFormat="1" hidden="1" x14ac:dyDescent="0.4"/>
    <row r="905" spans="2:12" s="4" customFormat="1" hidden="1" x14ac:dyDescent="0.4"/>
    <row r="906" spans="2:12" s="4" customFormat="1" hidden="1" x14ac:dyDescent="0.4"/>
    <row r="907" spans="2:12" s="4" customFormat="1" hidden="1" x14ac:dyDescent="0.4"/>
    <row r="908" spans="2:12" s="4" customFormat="1" ht="19.2" x14ac:dyDescent="0.45">
      <c r="B908" s="754" t="str">
        <f>"Feedstock Conversion"&amp;" - "&amp;Feedstocks!C32</f>
        <v xml:space="preserve">Feedstock Conversion - </v>
      </c>
      <c r="C908" s="755"/>
      <c r="D908" s="755"/>
      <c r="E908" s="755"/>
      <c r="F908" s="755"/>
      <c r="G908" s="755"/>
      <c r="H908" s="755"/>
      <c r="I908" s="755"/>
      <c r="J908" s="755"/>
      <c r="K908" s="755"/>
      <c r="L908" s="756"/>
    </row>
    <row r="909" spans="2:12" s="4" customFormat="1" outlineLevel="1" x14ac:dyDescent="0.4">
      <c r="B909" s="17"/>
      <c r="C909" s="1"/>
      <c r="D909" s="19"/>
      <c r="E909" s="19"/>
      <c r="F909" s="1"/>
      <c r="G909" s="19"/>
      <c r="H909" s="19"/>
      <c r="I909" s="19"/>
      <c r="J909" s="19"/>
      <c r="K909" s="19"/>
      <c r="L909" s="50"/>
    </row>
    <row r="910" spans="2:12" s="4" customFormat="1" outlineLevel="1" x14ac:dyDescent="0.4">
      <c r="B910" s="20"/>
      <c r="C910" s="1"/>
      <c r="D910" s="1"/>
      <c r="E910" s="1"/>
      <c r="F910" s="1"/>
      <c r="G910" s="1"/>
      <c r="H910" s="69" t="s">
        <v>122</v>
      </c>
      <c r="I910" s="47"/>
      <c r="J910" s="47"/>
      <c r="K910" s="45"/>
      <c r="L910" s="35"/>
    </row>
    <row r="911" spans="2:12" s="4" customFormat="1" outlineLevel="1" x14ac:dyDescent="0.4">
      <c r="B911" s="20"/>
      <c r="C911" s="1"/>
      <c r="D911" s="1"/>
      <c r="E911" s="1"/>
      <c r="F911" s="1"/>
      <c r="G911" s="76"/>
      <c r="H911" s="41"/>
      <c r="I911" s="36"/>
      <c r="J911" s="164" t="s">
        <v>124</v>
      </c>
      <c r="K911" s="37"/>
      <c r="L911" s="35"/>
    </row>
    <row r="912" spans="2:12" s="4" customFormat="1" outlineLevel="1" x14ac:dyDescent="0.4">
      <c r="B912" s="20"/>
      <c r="C912" s="21"/>
      <c r="D912" s="21"/>
      <c r="E912" s="21"/>
      <c r="F912" s="1"/>
      <c r="G912" s="21"/>
      <c r="H912" s="41"/>
      <c r="I912" s="164" t="s">
        <v>125</v>
      </c>
      <c r="J912" s="52" t="str">
        <f>IFERROR((J916/('Transport 2'!F919*('Digestion &amp; outputs'!$G$35/1000)))*'Digestion &amp; outputs'!$K$23,"")</f>
        <v/>
      </c>
      <c r="K912" s="37"/>
      <c r="L912" s="35"/>
    </row>
    <row r="913" spans="1:14" s="4" customFormat="1" ht="16.5" customHeight="1" outlineLevel="1" x14ac:dyDescent="0.4">
      <c r="B913" s="20"/>
      <c r="C913" s="759" t="s">
        <v>183</v>
      </c>
      <c r="D913" s="759"/>
      <c r="E913" s="134" t="s">
        <v>178</v>
      </c>
      <c r="F913" s="1"/>
      <c r="G913" s="21"/>
      <c r="H913" s="41"/>
      <c r="I913" s="36"/>
      <c r="J913" s="36"/>
      <c r="K913" s="37"/>
      <c r="L913" s="35"/>
    </row>
    <row r="914" spans="1:14" s="4" customFormat="1" outlineLevel="1" x14ac:dyDescent="0.4">
      <c r="B914" s="20"/>
      <c r="C914" s="763" t="s">
        <v>184</v>
      </c>
      <c r="D914" s="764"/>
      <c r="E914" s="134" t="s">
        <v>96</v>
      </c>
      <c r="F914" s="1"/>
      <c r="G914" s="21"/>
      <c r="H914" s="41"/>
      <c r="I914" s="36"/>
      <c r="J914" s="36"/>
      <c r="K914" s="37"/>
      <c r="L914" s="35"/>
    </row>
    <row r="915" spans="1:14" s="4" customFormat="1" outlineLevel="1" x14ac:dyDescent="0.4">
      <c r="B915" s="20"/>
      <c r="C915" s="21"/>
      <c r="D915" s="21"/>
      <c r="E915" s="21"/>
      <c r="F915" s="1"/>
      <c r="G915" s="21"/>
      <c r="H915" s="43"/>
      <c r="I915" s="34"/>
      <c r="J915" s="164" t="s">
        <v>141</v>
      </c>
      <c r="K915" s="44"/>
      <c r="L915" s="35"/>
    </row>
    <row r="916" spans="1:14" s="4" customFormat="1" outlineLevel="1" x14ac:dyDescent="0.4">
      <c r="A916" s="765"/>
      <c r="B916" s="51"/>
      <c r="C916" s="164" t="s">
        <v>185</v>
      </c>
      <c r="D916" s="70">
        <f>IFERROR(Feedstocks!D32/'Transport 2'!F919,"Insert data")</f>
        <v>0</v>
      </c>
      <c r="E916" s="21"/>
      <c r="F916" s="1"/>
      <c r="G916" s="21"/>
      <c r="H916" s="43"/>
      <c r="I916" s="164" t="s">
        <v>167</v>
      </c>
      <c r="J916" s="52">
        <f>IFERROR(IF(AND(E913="YES",ISBLANK(F917)),"Insert yield",SUM(J932:J939,J925:J928,J921)*IF(E942="Yes",J945,1)),"Insert data")</f>
        <v>0</v>
      </c>
      <c r="K916" s="44"/>
      <c r="L916" s="35"/>
    </row>
    <row r="917" spans="1:14" s="4" customFormat="1" outlineLevel="1" x14ac:dyDescent="0.4">
      <c r="A917" s="765"/>
      <c r="B917" s="51"/>
      <c r="C917" s="164" t="s">
        <v>186</v>
      </c>
      <c r="D917" s="680">
        <v>0.9</v>
      </c>
      <c r="E917" s="134"/>
      <c r="F917" s="623">
        <f>IF(E913="No", 1, IF(E914="Default",D917, IF(E914="Actual", IF(E917&gt;0, E917, "insert data"), "error")))</f>
        <v>1</v>
      </c>
      <c r="G917" s="21"/>
      <c r="H917" s="49"/>
      <c r="I917" s="65"/>
      <c r="J917" s="65"/>
      <c r="K917" s="66"/>
      <c r="L917" s="35"/>
    </row>
    <row r="918" spans="1:14" s="4" customFormat="1" outlineLevel="1" x14ac:dyDescent="0.4">
      <c r="A918" s="765"/>
      <c r="B918" s="51"/>
      <c r="C918" s="21"/>
      <c r="D918" s="21"/>
      <c r="E918" s="21"/>
      <c r="F918" s="1"/>
      <c r="G918" s="21"/>
      <c r="H918" s="29"/>
      <c r="I918" s="29"/>
      <c r="J918" s="29"/>
      <c r="K918" s="29"/>
      <c r="L918" s="35"/>
    </row>
    <row r="919" spans="1:14" s="4" customFormat="1" outlineLevel="1" x14ac:dyDescent="0.4">
      <c r="A919" s="765"/>
      <c r="B919" s="51"/>
      <c r="C919" s="25" t="s">
        <v>187</v>
      </c>
      <c r="D919" s="1"/>
      <c r="E919" s="1"/>
      <c r="F919" s="1"/>
      <c r="G919" s="1"/>
      <c r="H919" s="69" t="s">
        <v>136</v>
      </c>
      <c r="I919" s="79"/>
      <c r="J919" s="79"/>
      <c r="K919" s="61"/>
      <c r="L919" s="54"/>
      <c r="M919" s="12"/>
      <c r="N919" s="12"/>
    </row>
    <row r="920" spans="1:14" s="4" customFormat="1" outlineLevel="1" x14ac:dyDescent="0.4">
      <c r="A920" s="765"/>
      <c r="B920" s="51"/>
      <c r="C920" s="166" t="s">
        <v>188</v>
      </c>
      <c r="D920" s="164" t="s">
        <v>151</v>
      </c>
      <c r="E920" s="164" t="s">
        <v>140</v>
      </c>
      <c r="F920" s="1"/>
      <c r="G920" s="1"/>
      <c r="H920" s="43"/>
      <c r="I920" s="34"/>
      <c r="J920" s="164" t="s">
        <v>141</v>
      </c>
      <c r="K920" s="44"/>
      <c r="L920" s="54"/>
    </row>
    <row r="921" spans="1:14" s="4" customFormat="1" outlineLevel="1" x14ac:dyDescent="0.4">
      <c r="A921" s="765"/>
      <c r="B921" s="51"/>
      <c r="C921" s="145"/>
      <c r="D921" s="141"/>
      <c r="E921" s="144"/>
      <c r="F921" s="1"/>
      <c r="G921" s="1"/>
      <c r="H921" s="43"/>
      <c r="I921" s="164" t="s">
        <v>189</v>
      </c>
      <c r="J921" s="31">
        <f>IFERROR(IF(E913="No",0,IF(D921="MWh",(E921*'Reference values'!$D$47*INDEX(Electricity_Emission_Factors,MATCH(C921,Electricity_Source,0)))/(D916*1000),IF(D921="kWh",(E921*'Reference values'!$D$47*INDEX(Electricity_Emission_Factors,MATCH(C921,Electricity_Source,0))/1000)/(D916*1000),IF(D921="MWh/tonne(output)",(E921*'Reference values'!$D$47*INDEX(Electricity_Emission_Factors,MATCH(C921,Electricity_Source,0)))/1000,IF(D921="kWh/tonne(output)",(E921*'Reference values'!$D$47*INDEX(Electricity_Emission_Factors,MATCH(C921,Electricity_Source,0))/1000)/1000,""))))),"")</f>
        <v>0</v>
      </c>
      <c r="K921" s="44"/>
      <c r="L921" s="54"/>
    </row>
    <row r="922" spans="1:14" s="4" customFormat="1" outlineLevel="1" x14ac:dyDescent="0.4">
      <c r="A922" s="765"/>
      <c r="B922" s="51"/>
      <c r="C922" s="1"/>
      <c r="D922" s="1"/>
      <c r="E922" s="1"/>
      <c r="F922" s="1"/>
      <c r="G922" s="1"/>
      <c r="H922" s="43"/>
      <c r="I922" s="34"/>
      <c r="J922" s="34"/>
      <c r="K922" s="44"/>
      <c r="L922" s="54"/>
    </row>
    <row r="923" spans="1:14" s="4" customFormat="1" outlineLevel="1" x14ac:dyDescent="0.4">
      <c r="A923" s="765"/>
      <c r="B923" s="51"/>
      <c r="C923" s="25" t="s">
        <v>190</v>
      </c>
      <c r="D923" s="1"/>
      <c r="E923" s="1"/>
      <c r="F923" s="1"/>
      <c r="G923" s="1"/>
      <c r="H923" s="43"/>
      <c r="I923" s="34"/>
      <c r="J923" s="34"/>
      <c r="K923" s="44"/>
      <c r="L923" s="54"/>
    </row>
    <row r="924" spans="1:14" s="4" customFormat="1" outlineLevel="1" x14ac:dyDescent="0.4">
      <c r="A924" s="765"/>
      <c r="B924" s="51"/>
      <c r="C924" s="164" t="s">
        <v>160</v>
      </c>
      <c r="D924" s="164" t="s">
        <v>151</v>
      </c>
      <c r="E924" s="164" t="s">
        <v>140</v>
      </c>
      <c r="F924" s="1"/>
      <c r="G924" s="1"/>
      <c r="H924" s="43"/>
      <c r="I924" s="164" t="s">
        <v>160</v>
      </c>
      <c r="J924" s="182" t="s">
        <v>141</v>
      </c>
      <c r="K924" s="44"/>
      <c r="L924" s="54"/>
    </row>
    <row r="925" spans="1:14" s="4" customFormat="1" outlineLevel="1" x14ac:dyDescent="0.4">
      <c r="A925" s="765"/>
      <c r="B925" s="51"/>
      <c r="C925" s="27" t="str">
        <f>IF(E914="Default", "Diesel", "")</f>
        <v>Diesel</v>
      </c>
      <c r="D925" s="74" t="str">
        <f>IF(E914="Default", "kWh/tonne(output)", "")</f>
        <v>kWh/tonne(output)</v>
      </c>
      <c r="E925" s="74">
        <f>IF(E914="Default", 3.881, "")</f>
        <v>3.8809999999999998</v>
      </c>
      <c r="F925" s="1"/>
      <c r="G925" s="1"/>
      <c r="H925" s="43"/>
      <c r="I925" s="27" t="str">
        <f>IF(C925&gt;0,C925,"")</f>
        <v>Diesel</v>
      </c>
      <c r="J925" s="31">
        <f>IF(E914="Actual","",IFERROR(IF(C925&gt;0,IF(ISBLANK(E925),"Insert data",IF(E913="No",0,(IF(D925="litres",(E925*(INDEX(Fuel_Densities,MATCH(C925,Fuels_for_Densities,0))/1000)*INDEX(Fuel_LHV,MATCH(C925,Fuels_for_LHV,0))*INDEX(Fuel_EFs,MATCH(C925,Fuels_for_EF,0)))/(D916*1000),(IF(D925="m3",(E925*(INDEX(Fuel_Densities,MATCH(C925,Fuels_for_Densities,0)))*INDEX(Fuel_LHV,MATCH(C925,Fuels_for_LHV,0))*INDEX(Fuel_EFs,MATCH(C925,Fuels_for_EF,0)))/(D916*1000),IF(D925="kg",(E925*INDEX(Fuel_LHV,MATCH(C925,Fuels_for_LHV,0))*INDEX(Fuel_EFs,MATCH(C925,Fuels_for_EF,0)))/(D916*1000),IF(D925="tonnes",(E925*INDEX(Fuel_LHV,MATCH(C925,Fuels_for_LHV,0))*1000*INDEX(Fuel_EFs,MATCH(C925,Fuels_for_EF,0)))/(D916*1000),IF(D925="MWh",(E925*'Reference values'!$D$47*INDEX(Fuel_EFs,MATCH(C925,Fuels_for_EF,0)))/(D916*1000),IF(D925="kWh",(E925*'Reference values'!$D$47*INDEX(Fuel_EFs,MATCH(C925,Fuels_for_EF,0))/1000)/(D916*1000),(IF(D925="litres/tonne(output)",(E925*(INDEX(Fuel_Densities,MATCH(C925,Fuels_for_Densities,0))/1000)*INDEX(Fuel_LHV,MATCH(C925,Fuels_for_LHV,0))*INDEX(Fuel_EFs,MATCH(C925,Fuels_for_EF,0)))/1000,(IF(D925="m3/tonne(output)",(E925*(INDEX(Fuel_Densities,MATCH(C925,Fuels_for_Densities,0)))*INDEX(Fuel_LHV,MATCH(C925,Fuels_for_LHV,0))*INDEX(Fuel_EFs,MATCH(C925,Fuels_for_EF,0)))/1000,IF(D925="kg/tonne(output)",(E925*INDEX(Fuel_LHV,MATCH(C925,Fuels_for_LHV,0))*INDEX(Fuel_EFs,MATCH(C925,Fuels_for_EF,0)))/1000,IF(D925="tonnes/tonne(output)",(E925*INDEX(Fuel_LHV,MATCH(C925,Fuels_for_LHV,0))*1000*INDEX(Fuel_EFs,MATCH(C925,Fuels_for_EF,0)))/1000,IF(D925="MWh/tonne(output)",(E925*'Reference values'!$D$47*INDEX(Fuel_EFs,MATCH(C925,Fuels_for_EF,0)))/1000,IF(D925="kWh/tonne(output)",(E925*'Reference values'!$D$47*INDEX(Fuel_EFs,MATCH(C925,Fuels_for_EF,0))/1000)/1000,"Insert unit")))))))))))))))))),""),"Insert data"))</f>
        <v>0</v>
      </c>
      <c r="K925" s="44"/>
      <c r="L925" s="54"/>
    </row>
    <row r="926" spans="1:14" s="4" customFormat="1" outlineLevel="1" x14ac:dyDescent="0.4">
      <c r="A926" s="765"/>
      <c r="B926" s="51"/>
      <c r="C926" s="134"/>
      <c r="D926" s="141"/>
      <c r="E926" s="144"/>
      <c r="F926" s="1"/>
      <c r="G926" s="1"/>
      <c r="H926" s="43"/>
      <c r="I926" s="27" t="str">
        <f>IF(C926&gt;0,C926,"")</f>
        <v/>
      </c>
      <c r="J926" s="31" t="str">
        <f>IFERROR(IF(C926&gt;0,IF(ISBLANK(E926),"Insert data",IF(E913="No",0,(IF(D926="litres",(E926*(INDEX(Fuel_Densities,MATCH(C926,Fuels_for_Densities,0))/1000)*INDEX(Fuel_LHV,MATCH(C926,Fuels_for_LHV,0))*INDEX(Fuel_EFs,MATCH(C926,Fuels_for_EF,0)))/(D916*1000),(IF(D926="m3",(E926*(INDEX(Fuel_Densities,MATCH(C926,Fuels_for_Densities,0)))*INDEX(Fuel_LHV,MATCH(C926,Fuels_for_LHV,0))*INDEX(Fuel_EFs,MATCH(C926,Fuels_for_EF,0)))/(D916*1000),IF(D926="kg",(E926*INDEX(Fuel_LHV,MATCH(C926,Fuels_for_LHV,0))*INDEX(Fuel_EFs,MATCH(C926,Fuels_for_EF,0)))/(D916*1000),IF(D926="tonnes",(E926*INDEX(Fuel_LHV,MATCH(C926,Fuels_for_LHV,0))*1000*INDEX(Fuel_EFs,MATCH(C926,Fuels_for_EF,0)))/(D916*1000),IF(D926="MWh",(E926*'Reference values'!$D$47*INDEX(Fuel_EFs,MATCH(C926,Fuels_for_EF,0)))/(D916*1000),IF(D926="kWh",(E926*'Reference values'!$D$47*INDEX(Fuel_EFs,MATCH(C926,Fuels_for_EF,0))/1000)/(D916*1000),(IF(D926="litres/tonne(output)",(E926*(INDEX(Fuel_Densities,MATCH(C926,Fuels_for_Densities,0))/1000)*INDEX(Fuel_LHV,MATCH(C926,Fuels_for_LHV,0))*INDEX(Fuel_EFs,MATCH(C926,Fuels_for_EF,0)))/1000,(IF(D926="m3/tonne(output)",(E926*(INDEX(Fuel_Densities,MATCH(C926,Fuels_for_Densities,0)))*INDEX(Fuel_LHV,MATCH(C926,Fuels_for_LHV,0))*INDEX(Fuel_EFs,MATCH(C926,Fuels_for_EF,0)))/1000,IF(D926="kg/tonne(output)",(E926*INDEX(Fuel_LHV,MATCH(C926,Fuels_for_LHV,0))*INDEX(Fuel_EFs,MATCH(C926,Fuels_for_EF,0)))/1000,IF(D926="tonnes/tonne(output)",(E926*INDEX(Fuel_LHV,MATCH(C926,Fuels_for_LHV,0))*1000*INDEX(Fuel_EFs,MATCH(C926,Fuels_for_EF,0)))/1000,IF(D926="MWh/tonne(output)",(E926*'Reference values'!$D$47*INDEX(Fuel_EFs,MATCH(C926,Fuels_for_EF,0)))/1000,IF(D926="kWh/tonne(output)",(E926*'Reference values'!$D$47*INDEX(Fuel_EFs,MATCH(C926,Fuels_for_EF,0))/1000)/1000,"Insert unit")))))))))))))))))),""),"Insert data")</f>
        <v/>
      </c>
      <c r="K926" s="44"/>
      <c r="L926" s="54"/>
    </row>
    <row r="927" spans="1:14" s="4" customFormat="1" outlineLevel="1" x14ac:dyDescent="0.4">
      <c r="A927" s="765"/>
      <c r="B927" s="51"/>
      <c r="C927" s="134"/>
      <c r="D927" s="141"/>
      <c r="E927" s="144"/>
      <c r="F927" s="1"/>
      <c r="G927" s="1"/>
      <c r="H927" s="43"/>
      <c r="I927" s="27" t="str">
        <f>IF(C927&gt;0,C927,"")</f>
        <v/>
      </c>
      <c r="J927" s="31" t="str">
        <f>IFERROR(IF(C927&gt;0,IF(ISBLANK(E927),"Insert data",IF(E913="No",0,(IF(D927="litres",(E927*(INDEX(Fuel_Densities,MATCH(C927,Fuels_for_Densities,0))/1000)*INDEX(Fuel_LHV,MATCH(C927,Fuels_for_LHV,0))*INDEX(Fuel_EFs,MATCH(C927,Fuels_for_EF,0)))/(D916*1000),(IF(D927="m3",(E927*(INDEX(Fuel_Densities,MATCH(C927,Fuels_for_Densities,0)))*INDEX(Fuel_LHV,MATCH(C927,Fuels_for_LHV,0))*INDEX(Fuel_EFs,MATCH(C927,Fuels_for_EF,0)))/(D916*1000),IF(D927="kg",(E927*INDEX(Fuel_LHV,MATCH(C927,Fuels_for_LHV,0))*INDEX(Fuel_EFs,MATCH(C927,Fuels_for_EF,0)))/(D916*1000),IF(D927="tonnes",(E927*INDEX(Fuel_LHV,MATCH(C927,Fuels_for_LHV,0))*1000*INDEX(Fuel_EFs,MATCH(C927,Fuels_for_EF,0)))/(D916*1000),IF(D927="MWh",(E927*'Reference values'!$D$47*INDEX(Fuel_EFs,MATCH(C927,Fuels_for_EF,0)))/(D916*1000),IF(D927="kWh",(E927*'Reference values'!$D$47*INDEX(Fuel_EFs,MATCH(C927,Fuels_for_EF,0))/1000)/(D916*1000),(IF(D927="litres/tonne(output)",(E927*(INDEX(Fuel_Densities,MATCH(C927,Fuels_for_Densities,0))/1000)*INDEX(Fuel_LHV,MATCH(C927,Fuels_for_LHV,0))*INDEX(Fuel_EFs,MATCH(C927,Fuels_for_EF,0)))/1000,(IF(D927="m3/tonne(output)",(E927*(INDEX(Fuel_Densities,MATCH(C927,Fuels_for_Densities,0)))*INDEX(Fuel_LHV,MATCH(C927,Fuels_for_LHV,0))*INDEX(Fuel_EFs,MATCH(C927,Fuels_for_EF,0)))/1000,IF(D927="kg/tonne(output)",(E927*INDEX(Fuel_LHV,MATCH(C927,Fuels_for_LHV,0))*INDEX(Fuel_EFs,MATCH(C927,Fuels_for_EF,0)))/1000,IF(D927="tonnes/tonne(output)",(E927*INDEX(Fuel_LHV,MATCH(C927,Fuels_for_LHV,0))*1000*INDEX(Fuel_EFs,MATCH(C927,Fuels_for_EF,0)))/1000,IF(D927="MWh/tonne(output)",(E927*'Reference values'!$D$47*INDEX(Fuel_EFs,MATCH(C927,Fuels_for_EF,0)))/1000,IF(D927="kWh/tonne(output)",(E927*'Reference values'!$D$47*INDEX(Fuel_EFs,MATCH(C927,Fuels_for_EF,0))/1000)/1000,"Insert unit")))))))))))))))))),""),"Insert data")</f>
        <v/>
      </c>
      <c r="K927" s="44"/>
      <c r="L927" s="54"/>
    </row>
    <row r="928" spans="1:14" s="4" customFormat="1" outlineLevel="1" x14ac:dyDescent="0.4">
      <c r="A928" s="765"/>
      <c r="B928" s="51"/>
      <c r="C928" s="134"/>
      <c r="D928" s="141"/>
      <c r="E928" s="144"/>
      <c r="F928" s="1"/>
      <c r="G928" s="1"/>
      <c r="H928" s="43"/>
      <c r="I928" s="27" t="str">
        <f>IF(C928&gt;0,C928,"")</f>
        <v/>
      </c>
      <c r="J928" s="31" t="str">
        <f>IFERROR(IF(C928&gt;0,IF(ISBLANK(E928),"Insert data",IF(E913="No",0,(IF(D928="litres",(E928*(INDEX(Fuel_Densities,MATCH(C928,Fuels_for_Densities,0))/1000)*INDEX(Fuel_LHV,MATCH(C928,Fuels_for_LHV,0))*INDEX(Fuel_EFs,MATCH(C928,Fuels_for_EF,0)))/(D916*1000),(IF(D928="m3",(E928*(INDEX(Fuel_Densities,MATCH(C928,Fuels_for_Densities,0)))*INDEX(Fuel_LHV,MATCH(C928,Fuels_for_LHV,0))*INDEX(Fuel_EFs,MATCH(C928,Fuels_for_EF,0)))/(D916*1000),IF(D928="kg",(E928*INDEX(Fuel_LHV,MATCH(C928,Fuels_for_LHV,0))*INDEX(Fuel_EFs,MATCH(C928,Fuels_for_EF,0)))/(D916*1000),IF(D928="tonnes",(E928*INDEX(Fuel_LHV,MATCH(C928,Fuels_for_LHV,0))*1000*INDEX(Fuel_EFs,MATCH(C928,Fuels_for_EF,0)))/(D916*1000),IF(D928="MWh",(E928*'Reference values'!$D$47*INDEX(Fuel_EFs,MATCH(C928,Fuels_for_EF,0)))/(D916*1000),IF(D928="kWh",(E928*'Reference values'!$D$47*INDEX(Fuel_EFs,MATCH(C928,Fuels_for_EF,0))/1000)/(D916*1000),(IF(D928="litres/tonne(output)",(E928*(INDEX(Fuel_Densities,MATCH(C928,Fuels_for_Densities,0))/1000)*INDEX(Fuel_LHV,MATCH(C928,Fuels_for_LHV,0))*INDEX(Fuel_EFs,MATCH(C928,Fuels_for_EF,0)))/1000,(IF(D928="m3/tonne(output)",(E928*(INDEX(Fuel_Densities,MATCH(C928,Fuels_for_Densities,0)))*INDEX(Fuel_LHV,MATCH(C928,Fuels_for_LHV,0))*INDEX(Fuel_EFs,MATCH(C928,Fuels_for_EF,0)))/1000,IF(D928="kg/tonne(output)",(E928*INDEX(Fuel_LHV,MATCH(C928,Fuels_for_LHV,0))*INDEX(Fuel_EFs,MATCH(C928,Fuels_for_EF,0)))/1000,IF(D928="tonnes/tonne(output)",(E928*INDEX(Fuel_LHV,MATCH(C928,Fuels_for_LHV,0))*1000*INDEX(Fuel_EFs,MATCH(C928,Fuels_for_EF,0)))/1000,IF(D928="MWh/tonne(output)",(E928*'Reference values'!$D$47*INDEX(Fuel_EFs,MATCH(C928,Fuels_for_EF,0)))/1000,IF(D928="kWh/tonne(output)",(E928*'Reference values'!$D$47*INDEX(Fuel_EFs,MATCH(C928,Fuels_for_EF,0))/1000)/1000,"Insert unit")))))))))))))))))),""),"Insert data")</f>
        <v/>
      </c>
      <c r="K928" s="44"/>
      <c r="L928" s="54"/>
    </row>
    <row r="929" spans="1:12" s="4" customFormat="1" outlineLevel="1" x14ac:dyDescent="0.4">
      <c r="A929" s="765"/>
      <c r="B929" s="51"/>
      <c r="C929" s="1"/>
      <c r="D929" s="1"/>
      <c r="E929" s="1"/>
      <c r="F929" s="1"/>
      <c r="G929" s="53"/>
      <c r="H929" s="56"/>
      <c r="I929" s="57"/>
      <c r="J929" s="34"/>
      <c r="K929" s="44"/>
      <c r="L929" s="54"/>
    </row>
    <row r="930" spans="1:12" s="4" customFormat="1" outlineLevel="1" x14ac:dyDescent="0.4">
      <c r="A930" s="765"/>
      <c r="B930" s="51"/>
      <c r="C930" s="25" t="s">
        <v>191</v>
      </c>
      <c r="D930" s="1"/>
      <c r="E930" s="1"/>
      <c r="F930" s="1"/>
      <c r="G930" s="53"/>
      <c r="H930" s="56"/>
      <c r="I930" s="34"/>
      <c r="J930" s="34"/>
      <c r="K930" s="44"/>
      <c r="L930" s="54"/>
    </row>
    <row r="931" spans="1:12" s="4" customFormat="1" outlineLevel="1" x14ac:dyDescent="0.4">
      <c r="A931" s="765"/>
      <c r="B931" s="51"/>
      <c r="C931" s="164" t="s">
        <v>192</v>
      </c>
      <c r="D931" s="164" t="s">
        <v>151</v>
      </c>
      <c r="E931" s="164" t="s">
        <v>140</v>
      </c>
      <c r="F931" s="1"/>
      <c r="G931" s="1"/>
      <c r="H931" s="43"/>
      <c r="I931" s="164" t="s">
        <v>192</v>
      </c>
      <c r="J931" s="182" t="s">
        <v>141</v>
      </c>
      <c r="K931" s="44"/>
      <c r="L931" s="54"/>
    </row>
    <row r="932" spans="1:12" s="4" customFormat="1" outlineLevel="1" x14ac:dyDescent="0.4">
      <c r="A932" s="765"/>
      <c r="B932" s="51"/>
      <c r="C932" s="134"/>
      <c r="D932" s="141"/>
      <c r="E932" s="144"/>
      <c r="F932" s="1"/>
      <c r="G932" s="1"/>
      <c r="H932" s="43"/>
      <c r="I932" s="27" t="str">
        <f t="shared" ref="I932:I939" si="18">IF(C932&gt;0,C932,"")</f>
        <v/>
      </c>
      <c r="J932" s="31" t="str">
        <f>IFERROR(IF(C932&gt;0,IF(ISBLANK(E932),"Insert data",IF(E913="No",0,IF(D932="kg",E932*INDEX(Chemical_Emission_Factors,MATCH(C932,Chemicals,0))/(D916*1000),IF(D932="tonnes",E932*INDEX(Chemical_Emission_Factors,MATCH(C932,Chemicals,0))*1000/(D916*1000),IF(D932="kg/tonne(output)",E932*INDEX(Chemical_Emission_Factors,MATCH(C932,Chemicals,0))/1000,IF(D932="tonnes/tonne(output)",E932*INDEX(Chemical_Emission_Factors,MATCH(C932,Chemicals,0))*1000/1000,"Insert unit")))))),""),"Insert data")</f>
        <v/>
      </c>
      <c r="K932" s="44"/>
      <c r="L932" s="54"/>
    </row>
    <row r="933" spans="1:12" s="4" customFormat="1" outlineLevel="1" x14ac:dyDescent="0.4">
      <c r="A933" s="765"/>
      <c r="B933" s="51"/>
      <c r="C933" s="134"/>
      <c r="D933" s="141"/>
      <c r="E933" s="144"/>
      <c r="F933" s="1"/>
      <c r="G933" s="1"/>
      <c r="H933" s="43"/>
      <c r="I933" s="27" t="str">
        <f t="shared" si="18"/>
        <v/>
      </c>
      <c r="J933" s="31" t="str">
        <f>IFERROR(IF(C933&gt;0,IF(ISBLANK(E933),"Insert data",IF(E913="No",0,IF(D933="kg",E933*INDEX(Chemical_Emission_Factors,MATCH(C933,Chemicals,0))/(D916*1000),IF(D933="tonnes",E933*INDEX(Chemical_Emission_Factors,MATCH(C933,Chemicals,0))*1000/(D916*1000),IF(D933="kg/tonne(output)",E933*INDEX(Chemical_Emission_Factors,MATCH(C933,Chemicals,0))/1000,IF(D933="tonnes/tonne(output)",E933*INDEX(Chemical_Emission_Factors,MATCH(C933,Chemicals,0))*1000/1000,"Insert unit")))))),""),"Insert data")</f>
        <v/>
      </c>
      <c r="K933" s="44"/>
      <c r="L933" s="54"/>
    </row>
    <row r="934" spans="1:12" s="4" customFormat="1" outlineLevel="1" x14ac:dyDescent="0.4">
      <c r="A934" s="765"/>
      <c r="B934" s="51"/>
      <c r="C934" s="134"/>
      <c r="D934" s="141"/>
      <c r="E934" s="144"/>
      <c r="F934" s="1"/>
      <c r="G934" s="1"/>
      <c r="H934" s="43"/>
      <c r="I934" s="27" t="str">
        <f t="shared" si="18"/>
        <v/>
      </c>
      <c r="J934" s="31" t="str">
        <f>IFERROR(IF(C934&gt;0,IF(ISBLANK(E934),"Insert data",IF(E913="No",0,IF(D934="kg",E934*INDEX(Chemical_Emission_Factors,MATCH(C934,Chemicals,0))/(D916*1000),IF(D934="tonnes",E934*INDEX(Chemical_Emission_Factors,MATCH(C934,Chemicals,0))*1000/(D916*1000),IF(D934="kg/tonne(output)",E934*INDEX(Chemical_Emission_Factors,MATCH(C934,Chemicals,0))/1000,IF(D934="tonnes/tonne(output)",E934*INDEX(Chemical_Emission_Factors,MATCH(C934,Chemicals,0))*1000/1000,"Insert unit")))))),""),"Insert data")</f>
        <v/>
      </c>
      <c r="K934" s="44"/>
      <c r="L934" s="54"/>
    </row>
    <row r="935" spans="1:12" s="4" customFormat="1" outlineLevel="1" x14ac:dyDescent="0.4">
      <c r="A935" s="765"/>
      <c r="B935" s="51"/>
      <c r="C935" s="134"/>
      <c r="D935" s="141"/>
      <c r="E935" s="144"/>
      <c r="F935" s="1"/>
      <c r="G935" s="1"/>
      <c r="H935" s="43"/>
      <c r="I935" s="27" t="str">
        <f t="shared" si="18"/>
        <v/>
      </c>
      <c r="J935" s="31" t="str">
        <f>IFERROR(IF(C935&gt;0,IF(ISBLANK(E935),"Insert data",IF(E913="No",0,IF(D935="kg",E935*INDEX(Chemical_Emission_Factors,MATCH(C935,Chemicals,0))/(D916*1000),IF(D935="tonnes",E935*INDEX(Chemical_Emission_Factors,MATCH(C935,Chemicals,0))*1000/(D916*1000),IF(D935="kg/tonne(output)",E935*INDEX(Chemical_Emission_Factors,MATCH(C935,Chemicals,0))/1000,IF(D935="tonnes/tonne(output)",E935*INDEX(Chemical_Emission_Factors,MATCH(C935,Chemicals,0))*1000/1000,"Insert unit")))))),""),"Insert data")</f>
        <v/>
      </c>
      <c r="K935" s="44"/>
      <c r="L935" s="54"/>
    </row>
    <row r="936" spans="1:12" s="4" customFormat="1" outlineLevel="1" x14ac:dyDescent="0.4">
      <c r="A936" s="765"/>
      <c r="B936" s="51"/>
      <c r="C936" s="134"/>
      <c r="D936" s="141"/>
      <c r="E936" s="144"/>
      <c r="F936" s="1"/>
      <c r="G936" s="1"/>
      <c r="H936" s="43"/>
      <c r="I936" s="27" t="str">
        <f t="shared" si="18"/>
        <v/>
      </c>
      <c r="J936" s="31" t="str">
        <f>IFERROR(IF(C936&gt;0,IF(ISBLANK(E936),"Insert data",IF(E913="No",0,IF(D936="kg",E936*INDEX(Chemical_Emission_Factors,MATCH(C936,Chemicals,0))/(D916*1000),IF(D936="tonnes",E936*INDEX(Chemical_Emission_Factors,MATCH(C936,Chemicals,0))*1000/(D916*1000),IF(D936="kg/tonne(output)",E936*INDEX(Chemical_Emission_Factors,MATCH(C936,Chemicals,0))/1000,IF(D936="tonnes/tonne(output)",E936*INDEX(Chemical_Emission_Factors,MATCH(C936,Chemicals,0))*1000/1000,"Insert unit")))))),""),"Insert data")</f>
        <v/>
      </c>
      <c r="K936" s="44"/>
      <c r="L936" s="54"/>
    </row>
    <row r="937" spans="1:12" s="4" customFormat="1" outlineLevel="1" x14ac:dyDescent="0.4">
      <c r="A937" s="765"/>
      <c r="B937" s="51"/>
      <c r="C937" s="134"/>
      <c r="D937" s="141"/>
      <c r="E937" s="144"/>
      <c r="F937" s="1"/>
      <c r="G937" s="1"/>
      <c r="H937" s="43"/>
      <c r="I937" s="27" t="str">
        <f t="shared" si="18"/>
        <v/>
      </c>
      <c r="J937" s="31" t="str">
        <f>IFERROR(IF(C937&gt;0,IF(ISBLANK(E937),"Insert data",IF(E913="No",0,IF(D937="kg",E937*INDEX(Chemical_Emission_Factors,MATCH(C937,Chemicals,0))/(D916*1000),IF(D937="tonnes",E937*INDEX(Chemical_Emission_Factors,MATCH(C937,Chemicals,0))*1000/(D916*1000),IF(D937="kg/tonne(output)",E937*INDEX(Chemical_Emission_Factors,MATCH(C937,Chemicals,0))/1000,IF(D937="tonnes/tonne(output)",E937*INDEX(Chemical_Emission_Factors,MATCH(C937,Chemicals,0))*1000/1000,"Insert unit")))))),""),"Insert data")</f>
        <v/>
      </c>
      <c r="K937" s="44"/>
      <c r="L937" s="54"/>
    </row>
    <row r="938" spans="1:12" s="4" customFormat="1" outlineLevel="1" x14ac:dyDescent="0.4">
      <c r="A938" s="765"/>
      <c r="B938" s="51"/>
      <c r="C938" s="134"/>
      <c r="D938" s="141"/>
      <c r="E938" s="144"/>
      <c r="F938" s="1"/>
      <c r="G938" s="1"/>
      <c r="H938" s="43"/>
      <c r="I938" s="27" t="str">
        <f t="shared" si="18"/>
        <v/>
      </c>
      <c r="J938" s="31" t="str">
        <f>IFERROR(IF(C938&gt;0,IF(ISBLANK(E938),"Insert data",IF(E913="No",0,IF(D938="kg",E938*INDEX(Chemical_Emission_Factors,MATCH(C938,Chemicals,0))/(D916*1000),IF(D938="tonnes",E938*INDEX(Chemical_Emission_Factors,MATCH(C938,Chemicals,0))*1000/(D916*1000),IF(D938="kg/tonne(output)",E938*INDEX(Chemical_Emission_Factors,MATCH(C938,Chemicals,0))/1000,IF(D938="tonnes/tonne(output)",E938*INDEX(Chemical_Emission_Factors,MATCH(C938,Chemicals,0))*1000/1000,"Insert unit")))))),""),"Insert data")</f>
        <v/>
      </c>
      <c r="K938" s="44"/>
      <c r="L938" s="54"/>
    </row>
    <row r="939" spans="1:12" s="4" customFormat="1" outlineLevel="1" x14ac:dyDescent="0.4">
      <c r="A939" s="765"/>
      <c r="B939" s="51"/>
      <c r="C939" s="134"/>
      <c r="D939" s="141"/>
      <c r="E939" s="144"/>
      <c r="F939" s="1"/>
      <c r="G939" s="1"/>
      <c r="H939" s="43"/>
      <c r="I939" s="27" t="str">
        <f t="shared" si="18"/>
        <v/>
      </c>
      <c r="J939" s="31" t="str">
        <f>IFERROR(IF(C939&gt;0,IF(ISBLANK(E939),"Insert data",IF(E913="No",0,IF(D939="kg",E939*INDEX(Chemical_Emission_Factors,MATCH(C939,Chemicals,0))/(D916*1000),IF(D939="tonnes",E939*INDEX(Chemical_Emission_Factors,MATCH(C939,Chemicals,0))*1000/(D916*1000),IF(D939="kg/tonne(output)",E939*INDEX(Chemical_Emission_Factors,MATCH(C939,Chemicals,0))/1000,IF(D939="tonnes/tonne(output)",E939*INDEX(Chemical_Emission_Factors,MATCH(C939,Chemicals,0))*1000/1000,"Insert unit")))))),""),"Insert data")</f>
        <v/>
      </c>
      <c r="K939" s="44"/>
      <c r="L939" s="54"/>
    </row>
    <row r="940" spans="1:12" s="4" customFormat="1" ht="12.75" customHeight="1" outlineLevel="1" x14ac:dyDescent="0.4">
      <c r="B940" s="20"/>
      <c r="C940" s="21"/>
      <c r="D940" s="21"/>
      <c r="E940" s="21"/>
      <c r="F940" s="1"/>
      <c r="G940" s="21"/>
      <c r="H940" s="46"/>
      <c r="I940" s="58"/>
      <c r="J940" s="58"/>
      <c r="K940" s="59"/>
      <c r="L940" s="35"/>
    </row>
    <row r="941" spans="1:12" s="4" customFormat="1" outlineLevel="1" x14ac:dyDescent="0.4">
      <c r="B941" s="20"/>
      <c r="C941" s="243" t="s">
        <v>193</v>
      </c>
      <c r="D941" s="21"/>
      <c r="E941" s="21"/>
      <c r="F941" s="1"/>
      <c r="G941" s="21"/>
      <c r="H941" s="21"/>
      <c r="I941" s="21"/>
      <c r="J941" s="21"/>
      <c r="K941" s="21"/>
      <c r="L941" s="35"/>
    </row>
    <row r="942" spans="1:12" s="4" customFormat="1" outlineLevel="1" x14ac:dyDescent="0.4">
      <c r="B942" s="20"/>
      <c r="C942" s="766" t="s">
        <v>194</v>
      </c>
      <c r="D942" s="767"/>
      <c r="E942" s="299" t="s">
        <v>178</v>
      </c>
      <c r="F942" s="1"/>
      <c r="G942" s="21"/>
      <c r="H942" s="302"/>
      <c r="I942" s="47"/>
      <c r="J942" s="47"/>
      <c r="K942" s="45"/>
      <c r="L942" s="35"/>
    </row>
    <row r="943" spans="1:12" s="4" customFormat="1" ht="6.75" customHeight="1" outlineLevel="1" x14ac:dyDescent="0.4">
      <c r="B943" s="20"/>
      <c r="C943" s="21"/>
      <c r="D943" s="21"/>
      <c r="E943" s="21"/>
      <c r="F943" s="1"/>
      <c r="G943" s="21"/>
      <c r="H943" s="41"/>
      <c r="I943" s="36"/>
      <c r="J943" s="301"/>
      <c r="K943" s="37"/>
      <c r="L943" s="35"/>
    </row>
    <row r="944" spans="1:12" s="4" customFormat="1" outlineLevel="1" x14ac:dyDescent="0.4">
      <c r="B944" s="20"/>
      <c r="C944" s="21"/>
      <c r="D944" s="164" t="s">
        <v>151</v>
      </c>
      <c r="E944" s="164" t="s">
        <v>140</v>
      </c>
      <c r="F944" s="1"/>
      <c r="G944" s="21"/>
      <c r="H944" s="41"/>
      <c r="I944" s="36"/>
      <c r="J944" s="164" t="s">
        <v>195</v>
      </c>
      <c r="K944" s="37"/>
      <c r="L944" s="35"/>
    </row>
    <row r="945" spans="2:12" s="4" customFormat="1" outlineLevel="1" x14ac:dyDescent="0.4">
      <c r="B945" s="20"/>
      <c r="C945" s="164" t="s">
        <v>196</v>
      </c>
      <c r="D945" s="297" t="s">
        <v>197</v>
      </c>
      <c r="E945" s="299"/>
      <c r="F945" s="1"/>
      <c r="G945" s="21"/>
      <c r="H945" s="41"/>
      <c r="I945" s="164" t="s">
        <v>198</v>
      </c>
      <c r="J945" s="309" t="str">
        <f>IFERROR(IF(E942="No", "", IF(AND(E942="yes",OR(ISBLANK(E945),ISBLANK(E946),ISBLANK(E947))),"Insert data",E946/(E946+E947*E945))), "")</f>
        <v/>
      </c>
      <c r="K945" s="37"/>
      <c r="L945" s="35"/>
    </row>
    <row r="946" spans="2:12" s="4" customFormat="1" outlineLevel="1" x14ac:dyDescent="0.4">
      <c r="B946" s="20"/>
      <c r="C946" s="164" t="s">
        <v>199</v>
      </c>
      <c r="D946" s="296" t="s">
        <v>200</v>
      </c>
      <c r="E946" s="299"/>
      <c r="F946" s="1"/>
      <c r="G946" s="21"/>
      <c r="H946" s="41"/>
      <c r="I946" s="164" t="s">
        <v>201</v>
      </c>
      <c r="J946" s="309" t="str">
        <f>IFERROR(IF(E942="No", "", IF(AND(E942="yes",OR(ISBLANK(E945),ISBLANK(E946),ISBLANK(E947))),"Insert data",(E947*E945)/(E947*E945+E946))),"")</f>
        <v/>
      </c>
      <c r="K946" s="37"/>
      <c r="L946" s="35"/>
    </row>
    <row r="947" spans="2:12" s="4" customFormat="1" outlineLevel="1" x14ac:dyDescent="0.4">
      <c r="B947" s="20"/>
      <c r="C947" s="164" t="s">
        <v>202</v>
      </c>
      <c r="D947" s="296" t="s">
        <v>200</v>
      </c>
      <c r="E947" s="299"/>
      <c r="F947" s="1"/>
      <c r="G947" s="21"/>
      <c r="H947" s="46"/>
      <c r="I947" s="58"/>
      <c r="J947" s="58"/>
      <c r="K947" s="59"/>
      <c r="L947" s="35"/>
    </row>
    <row r="948" spans="2:12" s="4" customFormat="1" ht="6.75" customHeight="1" outlineLevel="1" x14ac:dyDescent="0.4">
      <c r="B948" s="20"/>
      <c r="C948" s="21"/>
      <c r="D948" s="21"/>
      <c r="E948" s="21"/>
      <c r="F948" s="21"/>
      <c r="G948" s="21"/>
      <c r="H948" s="21"/>
      <c r="I948" s="21"/>
      <c r="J948" s="21"/>
      <c r="K948" s="21"/>
      <c r="L948" s="35"/>
    </row>
    <row r="949" spans="2:12" s="4" customFormat="1" ht="12.75" customHeight="1" outlineLevel="1" x14ac:dyDescent="0.4">
      <c r="B949" s="20"/>
      <c r="C949" s="300" t="s">
        <v>203</v>
      </c>
      <c r="D949" s="21"/>
      <c r="E949" s="21"/>
      <c r="F949" s="21"/>
      <c r="G949" s="21"/>
      <c r="H949" s="21"/>
      <c r="I949" s="21"/>
      <c r="J949" s="21"/>
      <c r="K949" s="21"/>
      <c r="L949" s="35"/>
    </row>
    <row r="950" spans="2:12" s="4" customFormat="1" ht="12.75" customHeight="1" outlineLevel="1" x14ac:dyDescent="0.4">
      <c r="B950" s="20"/>
      <c r="C950" s="300" t="s">
        <v>204</v>
      </c>
      <c r="D950" s="21"/>
      <c r="E950" s="21"/>
      <c r="F950" s="21"/>
      <c r="G950" s="21"/>
      <c r="H950" s="21"/>
      <c r="I950" s="21"/>
      <c r="J950" s="21"/>
      <c r="K950" s="21"/>
      <c r="L950" s="35"/>
    </row>
    <row r="951" spans="2:12" s="4" customFormat="1" ht="6.75" customHeight="1" outlineLevel="1" x14ac:dyDescent="0.4">
      <c r="B951" s="28"/>
      <c r="C951" s="298"/>
      <c r="D951" s="29"/>
      <c r="E951" s="29"/>
      <c r="F951" s="29"/>
      <c r="G951" s="29"/>
      <c r="H951" s="29"/>
      <c r="I951" s="29"/>
      <c r="J951" s="29"/>
      <c r="K951" s="29"/>
      <c r="L951" s="60"/>
    </row>
    <row r="952" spans="2:12" s="4" customFormat="1" x14ac:dyDescent="0.4"/>
    <row r="953" spans="2:12" s="4" customFormat="1" hidden="1" x14ac:dyDescent="0.4"/>
    <row r="954" spans="2:12" s="4" customFormat="1" hidden="1" x14ac:dyDescent="0.4"/>
    <row r="955" spans="2:12" s="4" customFormat="1" hidden="1" x14ac:dyDescent="0.4"/>
    <row r="956" spans="2:12" s="4" customFormat="1" hidden="1" x14ac:dyDescent="0.4"/>
    <row r="957" spans="2:12" s="4" customFormat="1" hidden="1" x14ac:dyDescent="0.4"/>
    <row r="958" spans="2:12" s="4" customFormat="1" ht="19.2" x14ac:dyDescent="0.45">
      <c r="B958" s="754" t="str">
        <f>"Feedstock Conversion"&amp;" - "&amp;Feedstocks!C33</f>
        <v xml:space="preserve">Feedstock Conversion - </v>
      </c>
      <c r="C958" s="755"/>
      <c r="D958" s="755"/>
      <c r="E958" s="755"/>
      <c r="F958" s="755"/>
      <c r="G958" s="755"/>
      <c r="H958" s="755"/>
      <c r="I958" s="755"/>
      <c r="J958" s="755"/>
      <c r="K958" s="755"/>
      <c r="L958" s="756"/>
    </row>
    <row r="959" spans="2:12" s="4" customFormat="1" outlineLevel="1" x14ac:dyDescent="0.4">
      <c r="B959" s="17"/>
      <c r="C959" s="19"/>
      <c r="D959" s="19"/>
      <c r="E959" s="19"/>
      <c r="F959" s="19"/>
      <c r="G959" s="19"/>
      <c r="H959" s="19"/>
      <c r="I959" s="19"/>
      <c r="J959" s="19"/>
      <c r="K959" s="19"/>
      <c r="L959" s="50"/>
    </row>
    <row r="960" spans="2:12" s="4" customFormat="1" outlineLevel="1" x14ac:dyDescent="0.4">
      <c r="B960" s="20"/>
      <c r="C960" s="1"/>
      <c r="D960" s="1"/>
      <c r="E960" s="1"/>
      <c r="F960" s="1"/>
      <c r="G960" s="1"/>
      <c r="H960" s="69" t="s">
        <v>122</v>
      </c>
      <c r="I960" s="47"/>
      <c r="J960" s="47"/>
      <c r="K960" s="45"/>
      <c r="L960" s="35"/>
    </row>
    <row r="961" spans="1:14" s="4" customFormat="1" outlineLevel="1" x14ac:dyDescent="0.4">
      <c r="B961" s="20"/>
      <c r="C961" s="1"/>
      <c r="D961" s="1"/>
      <c r="E961" s="1"/>
      <c r="F961" s="1"/>
      <c r="G961" s="76"/>
      <c r="H961" s="41"/>
      <c r="I961" s="36"/>
      <c r="J961" s="164" t="s">
        <v>124</v>
      </c>
      <c r="K961" s="37"/>
      <c r="L961" s="35"/>
    </row>
    <row r="962" spans="1:14" s="4" customFormat="1" outlineLevel="1" x14ac:dyDescent="0.4">
      <c r="B962" s="20"/>
      <c r="C962" s="21"/>
      <c r="D962" s="21"/>
      <c r="E962" s="21"/>
      <c r="F962" s="1"/>
      <c r="G962" s="21"/>
      <c r="H962" s="41"/>
      <c r="I962" s="164" t="s">
        <v>125</v>
      </c>
      <c r="J962" s="52" t="str">
        <f>IFERROR((J966/('Transport 2'!F969*('Digestion &amp; outputs'!$G$36/1000)))*'Digestion &amp; outputs'!$K$23,"")</f>
        <v/>
      </c>
      <c r="K962" s="37"/>
      <c r="L962" s="35"/>
    </row>
    <row r="963" spans="1:14" s="4" customFormat="1" ht="16.5" customHeight="1" outlineLevel="1" x14ac:dyDescent="0.4">
      <c r="B963" s="20"/>
      <c r="C963" s="759" t="s">
        <v>183</v>
      </c>
      <c r="D963" s="759"/>
      <c r="E963" s="134" t="s">
        <v>178</v>
      </c>
      <c r="F963" s="1"/>
      <c r="G963" s="1"/>
      <c r="H963" s="41"/>
      <c r="I963" s="36"/>
      <c r="J963" s="36"/>
      <c r="K963" s="37"/>
      <c r="L963" s="35"/>
    </row>
    <row r="964" spans="1:14" s="4" customFormat="1" outlineLevel="1" x14ac:dyDescent="0.4">
      <c r="B964" s="20"/>
      <c r="C964" s="763" t="s">
        <v>184</v>
      </c>
      <c r="D964" s="764"/>
      <c r="E964" s="134" t="s">
        <v>96</v>
      </c>
      <c r="F964" s="1"/>
      <c r="G964" s="1"/>
      <c r="H964" s="41"/>
      <c r="I964" s="36"/>
      <c r="J964" s="36"/>
      <c r="K964" s="37"/>
      <c r="L964" s="35"/>
    </row>
    <row r="965" spans="1:14" s="4" customFormat="1" outlineLevel="1" x14ac:dyDescent="0.4">
      <c r="B965" s="20"/>
      <c r="C965" s="21"/>
      <c r="D965" s="21"/>
      <c r="E965" s="21"/>
      <c r="F965" s="1"/>
      <c r="G965" s="1"/>
      <c r="H965" s="43"/>
      <c r="I965" s="34"/>
      <c r="J965" s="164" t="s">
        <v>141</v>
      </c>
      <c r="K965" s="44"/>
      <c r="L965" s="35"/>
    </row>
    <row r="966" spans="1:14" s="4" customFormat="1" outlineLevel="1" x14ac:dyDescent="0.4">
      <c r="A966" s="765"/>
      <c r="B966" s="51"/>
      <c r="C966" s="164" t="s">
        <v>185</v>
      </c>
      <c r="D966" s="70">
        <f>IFERROR(Feedstocks!D33/'Transport 2'!F969,"Insert data")</f>
        <v>0</v>
      </c>
      <c r="E966" s="21"/>
      <c r="F966" s="1"/>
      <c r="G966" s="1"/>
      <c r="H966" s="43"/>
      <c r="I966" s="164" t="s">
        <v>167</v>
      </c>
      <c r="J966" s="52">
        <f>IFERROR(IF(AND(E963="YES",ISBLANK(F967)),"Insert yield",SUM(J982:J989,J975:J978,J971)*IF(E992="Yes",J995,1)),"Insert data")</f>
        <v>0</v>
      </c>
      <c r="K966" s="44"/>
      <c r="L966" s="35"/>
    </row>
    <row r="967" spans="1:14" s="4" customFormat="1" outlineLevel="1" x14ac:dyDescent="0.4">
      <c r="A967" s="765"/>
      <c r="B967" s="51"/>
      <c r="C967" s="164" t="s">
        <v>186</v>
      </c>
      <c r="D967" s="680">
        <v>0.9</v>
      </c>
      <c r="E967" s="134"/>
      <c r="F967" s="623">
        <f>IF(E963="No", 1, IF(E964="Default",D967, IF(E964="Actual", IF(E967&gt;0, E967, "insert data"), "error")))</f>
        <v>1</v>
      </c>
      <c r="G967" s="1"/>
      <c r="H967" s="49"/>
      <c r="I967" s="65"/>
      <c r="J967" s="65"/>
      <c r="K967" s="66"/>
      <c r="L967" s="35"/>
    </row>
    <row r="968" spans="1:14" s="4" customFormat="1" outlineLevel="1" x14ac:dyDescent="0.4">
      <c r="A968" s="765"/>
      <c r="B968" s="51"/>
      <c r="C968" s="21"/>
      <c r="D968" s="21"/>
      <c r="E968" s="21"/>
      <c r="F968" s="1"/>
      <c r="G968" s="1"/>
      <c r="H968" s="29"/>
      <c r="I968" s="29"/>
      <c r="J968" s="29"/>
      <c r="K968" s="29"/>
      <c r="L968" s="35"/>
    </row>
    <row r="969" spans="1:14" s="4" customFormat="1" outlineLevel="1" x14ac:dyDescent="0.4">
      <c r="A969" s="765"/>
      <c r="B969" s="51"/>
      <c r="C969" s="25" t="s">
        <v>187</v>
      </c>
      <c r="D969" s="1"/>
      <c r="E969" s="1"/>
      <c r="F969" s="1"/>
      <c r="G969" s="1"/>
      <c r="H969" s="69" t="s">
        <v>136</v>
      </c>
      <c r="I969" s="79"/>
      <c r="J969" s="79"/>
      <c r="K969" s="61"/>
      <c r="L969" s="54"/>
      <c r="M969" s="12"/>
      <c r="N969" s="12"/>
    </row>
    <row r="970" spans="1:14" s="4" customFormat="1" outlineLevel="1" x14ac:dyDescent="0.4">
      <c r="A970" s="765"/>
      <c r="B970" s="51"/>
      <c r="C970" s="166" t="s">
        <v>188</v>
      </c>
      <c r="D970" s="164" t="s">
        <v>151</v>
      </c>
      <c r="E970" s="164" t="s">
        <v>140</v>
      </c>
      <c r="F970" s="1"/>
      <c r="G970" s="1"/>
      <c r="H970" s="43"/>
      <c r="I970" s="34"/>
      <c r="J970" s="164" t="s">
        <v>141</v>
      </c>
      <c r="K970" s="44"/>
      <c r="L970" s="54"/>
    </row>
    <row r="971" spans="1:14" s="4" customFormat="1" outlineLevel="1" x14ac:dyDescent="0.4">
      <c r="A971" s="765"/>
      <c r="B971" s="51"/>
      <c r="C971" s="145"/>
      <c r="D971" s="141"/>
      <c r="E971" s="144"/>
      <c r="F971" s="1"/>
      <c r="G971" s="1"/>
      <c r="H971" s="43"/>
      <c r="I971" s="164" t="s">
        <v>189</v>
      </c>
      <c r="J971" s="31">
        <f>IFERROR(IF(E963="No",0,IF(D971="MWh",(E971*'Reference values'!$D$47*INDEX(Electricity_Emission_Factors,MATCH(C971,Electricity_Source,0)))/(D966*1000),IF(D971="kWh",(E971*'Reference values'!$D$47*INDEX(Electricity_Emission_Factors,MATCH(C971,Electricity_Source,0))/1000)/(D966*1000),IF(D971="MWh/tonne(output)",(E971*'Reference values'!$D$47*INDEX(Electricity_Emission_Factors,MATCH(C971,Electricity_Source,0)))/1000,IF(D971="kWh/tonne(output)",(E971*'Reference values'!$D$47*INDEX(Electricity_Emission_Factors,MATCH(C971,Electricity_Source,0))/1000)/1000,""))))),"")</f>
        <v>0</v>
      </c>
      <c r="K971" s="44"/>
      <c r="L971" s="54"/>
    </row>
    <row r="972" spans="1:14" s="4" customFormat="1" outlineLevel="1" x14ac:dyDescent="0.4">
      <c r="A972" s="765"/>
      <c r="B972" s="51"/>
      <c r="C972" s="1"/>
      <c r="D972" s="1"/>
      <c r="E972" s="1"/>
      <c r="F972" s="1"/>
      <c r="G972" s="1"/>
      <c r="H972" s="43"/>
      <c r="I972" s="34"/>
      <c r="J972" s="34"/>
      <c r="K972" s="44"/>
      <c r="L972" s="54"/>
    </row>
    <row r="973" spans="1:14" s="4" customFormat="1" outlineLevel="1" x14ac:dyDescent="0.4">
      <c r="A973" s="765"/>
      <c r="B973" s="51"/>
      <c r="C973" s="25" t="s">
        <v>190</v>
      </c>
      <c r="D973" s="1"/>
      <c r="E973" s="1"/>
      <c r="F973" s="1"/>
      <c r="G973" s="1"/>
      <c r="H973" s="43"/>
      <c r="I973" s="34"/>
      <c r="J973" s="34"/>
      <c r="K973" s="44"/>
      <c r="L973" s="54"/>
    </row>
    <row r="974" spans="1:14" s="4" customFormat="1" outlineLevel="1" x14ac:dyDescent="0.4">
      <c r="A974" s="765"/>
      <c r="B974" s="51"/>
      <c r="C974" s="164" t="s">
        <v>160</v>
      </c>
      <c r="D974" s="164" t="s">
        <v>151</v>
      </c>
      <c r="E974" s="164" t="s">
        <v>140</v>
      </c>
      <c r="F974" s="1"/>
      <c r="G974" s="1"/>
      <c r="H974" s="43"/>
      <c r="I974" s="164" t="s">
        <v>160</v>
      </c>
      <c r="J974" s="182" t="s">
        <v>141</v>
      </c>
      <c r="K974" s="44"/>
      <c r="L974" s="54"/>
    </row>
    <row r="975" spans="1:14" s="4" customFormat="1" outlineLevel="1" x14ac:dyDescent="0.4">
      <c r="A975" s="765"/>
      <c r="B975" s="51"/>
      <c r="C975" s="27" t="str">
        <f>IF(E964="Default", "Diesel", "")</f>
        <v>Diesel</v>
      </c>
      <c r="D975" s="74" t="str">
        <f>IF(E964="Default", "kWh/tonne(output)", "")</f>
        <v>kWh/tonne(output)</v>
      </c>
      <c r="E975" s="74">
        <f>IF(E964="Default", 3.881, "")</f>
        <v>3.8809999999999998</v>
      </c>
      <c r="F975" s="1"/>
      <c r="G975" s="1"/>
      <c r="H975" s="43"/>
      <c r="I975" s="27" t="str">
        <f>IF(C975&gt;0,C975,"")</f>
        <v>Diesel</v>
      </c>
      <c r="J975" s="31">
        <f>IF(E964="Actual","",IFERROR(IF(C975&gt;0,IF(ISBLANK(E975),"Insert data",IF(E963="No",0,(IF(D975="litres",(E975*(INDEX(Fuel_Densities,MATCH(C975,Fuels_for_Densities,0))/1000)*INDEX(Fuel_LHV,MATCH(C975,Fuels_for_LHV,0))*INDEX(Fuel_EFs,MATCH(C975,Fuels_for_EF,0)))/(D966*1000),(IF(D975="m3",(E975*(INDEX(Fuel_Densities,MATCH(C975,Fuels_for_Densities,0)))*INDEX(Fuel_LHV,MATCH(C975,Fuels_for_LHV,0))*INDEX(Fuel_EFs,MATCH(C975,Fuels_for_EF,0)))/(D966*1000),IF(D975="kg",(E975*INDEX(Fuel_LHV,MATCH(C975,Fuels_for_LHV,0))*INDEX(Fuel_EFs,MATCH(C975,Fuels_for_EF,0)))/(D966*1000),IF(D975="tonnes",(E975*INDEX(Fuel_LHV,MATCH(C975,Fuels_for_LHV,0))*1000*INDEX(Fuel_EFs,MATCH(C975,Fuels_for_EF,0)))/(D966*1000),IF(D975="MWh",(E975*'Reference values'!$D$47*INDEX(Fuel_EFs,MATCH(C975,Fuels_for_EF,0)))/(D966*1000),IF(D975="kWh",(E975*'Reference values'!$D$47*INDEX(Fuel_EFs,MATCH(C975,Fuels_for_EF,0))/1000)/(D966*1000),(IF(D975="litres/tonne(output)",(E975*(INDEX(Fuel_Densities,MATCH(C975,Fuels_for_Densities,0))/1000)*INDEX(Fuel_LHV,MATCH(C975,Fuels_for_LHV,0))*INDEX(Fuel_EFs,MATCH(C975,Fuels_for_EF,0)))/1000,(IF(D975="m3/tonne(output)",(E975*(INDEX(Fuel_Densities,MATCH(C975,Fuels_for_Densities,0)))*INDEX(Fuel_LHV,MATCH(C975,Fuels_for_LHV,0))*INDEX(Fuel_EFs,MATCH(C975,Fuels_for_EF,0)))/1000,IF(D975="kg/tonne(output)",(E975*INDEX(Fuel_LHV,MATCH(C975,Fuels_for_LHV,0))*INDEX(Fuel_EFs,MATCH(C975,Fuels_for_EF,0)))/1000,IF(D975="tonnes/tonne(output)",(E975*INDEX(Fuel_LHV,MATCH(C975,Fuels_for_LHV,0))*1000*INDEX(Fuel_EFs,MATCH(C975,Fuels_for_EF,0)))/1000,IF(D975="MWh/tonne(output)",(E975*'Reference values'!$D$47*INDEX(Fuel_EFs,MATCH(C975,Fuels_for_EF,0)))/1000,IF(D975="kWh/tonne(output)",(E975*'Reference values'!$D$47*INDEX(Fuel_EFs,MATCH(C975,Fuels_for_EF,0))/1000)/1000,"Insert unit")))))))))))))))))),""),"Insert data"))</f>
        <v>0</v>
      </c>
      <c r="K975" s="44"/>
      <c r="L975" s="54"/>
    </row>
    <row r="976" spans="1:14" s="4" customFormat="1" outlineLevel="1" x14ac:dyDescent="0.4">
      <c r="A976" s="765"/>
      <c r="B976" s="51"/>
      <c r="C976" s="134"/>
      <c r="D976" s="141"/>
      <c r="E976" s="144"/>
      <c r="F976" s="1"/>
      <c r="G976" s="1"/>
      <c r="H976" s="43"/>
      <c r="I976" s="27" t="str">
        <f>IF(C976&gt;0,C976,"")</f>
        <v/>
      </c>
      <c r="J976" s="31" t="str">
        <f>IFERROR(IF(C976&gt;0,IF(ISBLANK(E976),"Insert data",IF(E963="No",0,(IF(D976="litres",(E976*(INDEX(Fuel_Densities,MATCH(C976,Fuels_for_Densities,0))/1000)*INDEX(Fuel_LHV,MATCH(C976,Fuels_for_LHV,0))*INDEX(Fuel_EFs,MATCH(C976,Fuels_for_EF,0)))/(D966*1000),(IF(D976="m3",(E976*(INDEX(Fuel_Densities,MATCH(C976,Fuels_for_Densities,0)))*INDEX(Fuel_LHV,MATCH(C976,Fuels_for_LHV,0))*INDEX(Fuel_EFs,MATCH(C976,Fuels_for_EF,0)))/(D966*1000),IF(D976="kg",(E976*INDEX(Fuel_LHV,MATCH(C976,Fuels_for_LHV,0))*INDEX(Fuel_EFs,MATCH(C976,Fuels_for_EF,0)))/(D966*1000),IF(D976="tonnes",(E976*INDEX(Fuel_LHV,MATCH(C976,Fuels_for_LHV,0))*1000*INDEX(Fuel_EFs,MATCH(C976,Fuels_for_EF,0)))/(D966*1000),IF(D976="MWh",(E976*'Reference values'!$D$47*INDEX(Fuel_EFs,MATCH(C976,Fuels_for_EF,0)))/(D966*1000),IF(D976="kWh",(E976*'Reference values'!$D$47*INDEX(Fuel_EFs,MATCH(C976,Fuels_for_EF,0))/1000)/(D966*1000),(IF(D976="litres/tonne(output)",(E976*(INDEX(Fuel_Densities,MATCH(C976,Fuels_for_Densities,0))/1000)*INDEX(Fuel_LHV,MATCH(C976,Fuels_for_LHV,0))*INDEX(Fuel_EFs,MATCH(C976,Fuels_for_EF,0)))/1000,(IF(D976="m3/tonne(output)",(E976*(INDEX(Fuel_Densities,MATCH(C976,Fuels_for_Densities,0)))*INDEX(Fuel_LHV,MATCH(C976,Fuels_for_LHV,0))*INDEX(Fuel_EFs,MATCH(C976,Fuels_for_EF,0)))/1000,IF(D976="kg/tonne(output)",(E976*INDEX(Fuel_LHV,MATCH(C976,Fuels_for_LHV,0))*INDEX(Fuel_EFs,MATCH(C976,Fuels_for_EF,0)))/1000,IF(D976="tonnes/tonne(output)",(E976*INDEX(Fuel_LHV,MATCH(C976,Fuels_for_LHV,0))*1000*INDEX(Fuel_EFs,MATCH(C976,Fuels_for_EF,0)))/1000,IF(D976="MWh/tonne(output)",(E976*'Reference values'!$D$47*INDEX(Fuel_EFs,MATCH(C976,Fuels_for_EF,0)))/1000,IF(D976="kWh/tonne(output)",(E976*'Reference values'!$D$47*INDEX(Fuel_EFs,MATCH(C976,Fuels_for_EF,0))/1000)/1000,"Insert unit")))))))))))))))))),""),"Insert data")</f>
        <v/>
      </c>
      <c r="K976" s="44"/>
      <c r="L976" s="54"/>
    </row>
    <row r="977" spans="1:12" s="4" customFormat="1" outlineLevel="1" x14ac:dyDescent="0.4">
      <c r="A977" s="765"/>
      <c r="B977" s="51"/>
      <c r="C977" s="134"/>
      <c r="D977" s="141"/>
      <c r="E977" s="144"/>
      <c r="F977" s="1"/>
      <c r="G977" s="1"/>
      <c r="H977" s="43"/>
      <c r="I977" s="27" t="str">
        <f>IF(C977&gt;0,C977,"")</f>
        <v/>
      </c>
      <c r="J977" s="31" t="str">
        <f>IFERROR(IF(C977&gt;0,IF(ISBLANK(E977),"Insert data",IF(E963="No",0,(IF(D977="litres",(E977*(INDEX(Fuel_Densities,MATCH(C977,Fuels_for_Densities,0))/1000)*INDEX(Fuel_LHV,MATCH(C977,Fuels_for_LHV,0))*INDEX(Fuel_EFs,MATCH(C977,Fuels_for_EF,0)))/(D966*1000),(IF(D977="m3",(E977*(INDEX(Fuel_Densities,MATCH(C977,Fuels_for_Densities,0)))*INDEX(Fuel_LHV,MATCH(C977,Fuels_for_LHV,0))*INDEX(Fuel_EFs,MATCH(C977,Fuels_for_EF,0)))/(D966*1000),IF(D977="kg",(E977*INDEX(Fuel_LHV,MATCH(C977,Fuels_for_LHV,0))*INDEX(Fuel_EFs,MATCH(C977,Fuels_for_EF,0)))/(D966*1000),IF(D977="tonnes",(E977*INDEX(Fuel_LHV,MATCH(C977,Fuels_for_LHV,0))*1000*INDEX(Fuel_EFs,MATCH(C977,Fuels_for_EF,0)))/(D966*1000),IF(D977="MWh",(E977*'Reference values'!$D$47*INDEX(Fuel_EFs,MATCH(C977,Fuels_for_EF,0)))/(D966*1000),IF(D977="kWh",(E977*'Reference values'!$D$47*INDEX(Fuel_EFs,MATCH(C977,Fuels_for_EF,0))/1000)/(D966*1000),(IF(D977="litres/tonne(output)",(E977*(INDEX(Fuel_Densities,MATCH(C977,Fuels_for_Densities,0))/1000)*INDEX(Fuel_LHV,MATCH(C977,Fuels_for_LHV,0))*INDEX(Fuel_EFs,MATCH(C977,Fuels_for_EF,0)))/1000,(IF(D977="m3/tonne(output)",(E977*(INDEX(Fuel_Densities,MATCH(C977,Fuels_for_Densities,0)))*INDEX(Fuel_LHV,MATCH(C977,Fuels_for_LHV,0))*INDEX(Fuel_EFs,MATCH(C977,Fuels_for_EF,0)))/1000,IF(D977="kg/tonne(output)",(E977*INDEX(Fuel_LHV,MATCH(C977,Fuels_for_LHV,0))*INDEX(Fuel_EFs,MATCH(C977,Fuels_for_EF,0)))/1000,IF(D977="tonnes/tonne(output)",(E977*INDEX(Fuel_LHV,MATCH(C977,Fuels_for_LHV,0))*1000*INDEX(Fuel_EFs,MATCH(C977,Fuels_for_EF,0)))/1000,IF(D977="MWh/tonne(output)",(E977*'Reference values'!$D$47*INDEX(Fuel_EFs,MATCH(C977,Fuels_for_EF,0)))/1000,IF(D977="kWh/tonne(output)",(E977*'Reference values'!$D$47*INDEX(Fuel_EFs,MATCH(C977,Fuels_for_EF,0))/1000)/1000,"Insert unit")))))))))))))))))),""),"Insert data")</f>
        <v/>
      </c>
      <c r="K977" s="44"/>
      <c r="L977" s="54"/>
    </row>
    <row r="978" spans="1:12" s="4" customFormat="1" outlineLevel="1" x14ac:dyDescent="0.4">
      <c r="A978" s="765"/>
      <c r="B978" s="51"/>
      <c r="C978" s="134"/>
      <c r="D978" s="141"/>
      <c r="E978" s="144"/>
      <c r="F978" s="1"/>
      <c r="G978" s="1"/>
      <c r="H978" s="43"/>
      <c r="I978" s="27" t="str">
        <f>IF(C978&gt;0,C978,"")</f>
        <v/>
      </c>
      <c r="J978" s="31" t="str">
        <f>IFERROR(IF(C978&gt;0,IF(ISBLANK(E978),"Insert data",IF(E963="No",0,(IF(D978="litres",(E978*(INDEX(Fuel_Densities,MATCH(C978,Fuels_for_Densities,0))/1000)*INDEX(Fuel_LHV,MATCH(C978,Fuels_for_LHV,0))*INDEX(Fuel_EFs,MATCH(C978,Fuels_for_EF,0)))/(D966*1000),(IF(D978="m3",(E978*(INDEX(Fuel_Densities,MATCH(C978,Fuels_for_Densities,0)))*INDEX(Fuel_LHV,MATCH(C978,Fuels_for_LHV,0))*INDEX(Fuel_EFs,MATCH(C978,Fuels_for_EF,0)))/(D966*1000),IF(D978="kg",(E978*INDEX(Fuel_LHV,MATCH(C978,Fuels_for_LHV,0))*INDEX(Fuel_EFs,MATCH(C978,Fuels_for_EF,0)))/(D966*1000),IF(D978="tonnes",(E978*INDEX(Fuel_LHV,MATCH(C978,Fuels_for_LHV,0))*1000*INDEX(Fuel_EFs,MATCH(C978,Fuels_for_EF,0)))/(D966*1000),IF(D978="MWh",(E978*'Reference values'!$D$47*INDEX(Fuel_EFs,MATCH(C978,Fuels_for_EF,0)))/(D966*1000),IF(D978="kWh",(E978*'Reference values'!$D$47*INDEX(Fuel_EFs,MATCH(C978,Fuels_for_EF,0))/1000)/(D966*1000),(IF(D978="litres/tonne(output)",(E978*(INDEX(Fuel_Densities,MATCH(C978,Fuels_for_Densities,0))/1000)*INDEX(Fuel_LHV,MATCH(C978,Fuels_for_LHV,0))*INDEX(Fuel_EFs,MATCH(C978,Fuels_for_EF,0)))/1000,(IF(D978="m3/tonne(output)",(E978*(INDEX(Fuel_Densities,MATCH(C978,Fuels_for_Densities,0)))*INDEX(Fuel_LHV,MATCH(C978,Fuels_for_LHV,0))*INDEX(Fuel_EFs,MATCH(C978,Fuels_for_EF,0)))/1000,IF(D978="kg/tonne(output)",(E978*INDEX(Fuel_LHV,MATCH(C978,Fuels_for_LHV,0))*INDEX(Fuel_EFs,MATCH(C978,Fuels_for_EF,0)))/1000,IF(D978="tonnes/tonne(output)",(E978*INDEX(Fuel_LHV,MATCH(C978,Fuels_for_LHV,0))*1000*INDEX(Fuel_EFs,MATCH(C978,Fuels_for_EF,0)))/1000,IF(D978="MWh/tonne(output)",(E978*'Reference values'!$D$47*INDEX(Fuel_EFs,MATCH(C978,Fuels_for_EF,0)))/1000,IF(D978="kWh/tonne(output)",(E978*'Reference values'!$D$47*INDEX(Fuel_EFs,MATCH(C978,Fuels_for_EF,0))/1000)/1000,"Insert unit")))))))))))))))))),""),"Insert data")</f>
        <v/>
      </c>
      <c r="K978" s="44"/>
      <c r="L978" s="54"/>
    </row>
    <row r="979" spans="1:12" s="4" customFormat="1" outlineLevel="1" x14ac:dyDescent="0.4">
      <c r="A979" s="765"/>
      <c r="B979" s="51"/>
      <c r="C979" s="1"/>
      <c r="D979" s="1"/>
      <c r="E979" s="1"/>
      <c r="F979" s="1"/>
      <c r="G979" s="53"/>
      <c r="H979" s="56"/>
      <c r="I979" s="57"/>
      <c r="J979" s="34"/>
      <c r="K979" s="44"/>
      <c r="L979" s="54"/>
    </row>
    <row r="980" spans="1:12" s="4" customFormat="1" outlineLevel="1" x14ac:dyDescent="0.4">
      <c r="A980" s="765"/>
      <c r="B980" s="51"/>
      <c r="C980" s="25" t="s">
        <v>191</v>
      </c>
      <c r="D980" s="1"/>
      <c r="E980" s="1"/>
      <c r="F980" s="1"/>
      <c r="G980" s="53"/>
      <c r="H980" s="56"/>
      <c r="I980" s="34"/>
      <c r="J980" s="34"/>
      <c r="K980" s="44"/>
      <c r="L980" s="54"/>
    </row>
    <row r="981" spans="1:12" s="4" customFormat="1" outlineLevel="1" x14ac:dyDescent="0.4">
      <c r="A981" s="765"/>
      <c r="B981" s="51"/>
      <c r="C981" s="164" t="s">
        <v>192</v>
      </c>
      <c r="D981" s="164" t="s">
        <v>151</v>
      </c>
      <c r="E981" s="164" t="s">
        <v>140</v>
      </c>
      <c r="F981" s="1"/>
      <c r="G981" s="1"/>
      <c r="H981" s="43"/>
      <c r="I981" s="164" t="s">
        <v>192</v>
      </c>
      <c r="J981" s="182" t="s">
        <v>141</v>
      </c>
      <c r="K981" s="44"/>
      <c r="L981" s="54"/>
    </row>
    <row r="982" spans="1:12" s="4" customFormat="1" outlineLevel="1" x14ac:dyDescent="0.4">
      <c r="A982" s="765"/>
      <c r="B982" s="51"/>
      <c r="C982" s="134"/>
      <c r="D982" s="141"/>
      <c r="E982" s="144"/>
      <c r="F982" s="1"/>
      <c r="G982" s="1"/>
      <c r="H982" s="43"/>
      <c r="I982" s="27" t="str">
        <f t="shared" ref="I982:I989" si="19">IF(C982&gt;0,C982,"")</f>
        <v/>
      </c>
      <c r="J982" s="31" t="str">
        <f>IFERROR(IF(C982&gt;0,IF(ISBLANK(E982),"Insert data",IF(E963="No",0,IF(D982="kg",E982*INDEX(Chemical_Emission_Factors,MATCH(C982,Chemicals,0))/(D966*1000),IF(D982="tonnes",E982*INDEX(Chemical_Emission_Factors,MATCH(C982,Chemicals,0))*1000/(D966*1000),IF(D982="kg/tonne(output)",E982*INDEX(Chemical_Emission_Factors,MATCH(C982,Chemicals,0))/1000,IF(D982="tonnes/tonne(output)",E982*INDEX(Chemical_Emission_Factors,MATCH(C982,Chemicals,0))*1000/1000,"Insert unit")))))),""),"Insert data")</f>
        <v/>
      </c>
      <c r="K982" s="44"/>
      <c r="L982" s="54"/>
    </row>
    <row r="983" spans="1:12" s="4" customFormat="1" outlineLevel="1" x14ac:dyDescent="0.4">
      <c r="A983" s="765"/>
      <c r="B983" s="51"/>
      <c r="C983" s="134"/>
      <c r="D983" s="141"/>
      <c r="E983" s="144"/>
      <c r="F983" s="1"/>
      <c r="G983" s="1"/>
      <c r="H983" s="43"/>
      <c r="I983" s="27" t="str">
        <f t="shared" si="19"/>
        <v/>
      </c>
      <c r="J983" s="31" t="str">
        <f>IFERROR(IF(C983&gt;0,IF(ISBLANK(E983),"Insert data",IF(E963="No",0,IF(D983="kg",E983*INDEX(Chemical_Emission_Factors,MATCH(C983,Chemicals,0))/(D966*1000),IF(D983="tonnes",E983*INDEX(Chemical_Emission_Factors,MATCH(C983,Chemicals,0))*1000/(D966*1000),IF(D983="kg/tonne(output)",E983*INDEX(Chemical_Emission_Factors,MATCH(C983,Chemicals,0))/1000,IF(D983="tonnes/tonne(output)",E983*INDEX(Chemical_Emission_Factors,MATCH(C983,Chemicals,0))*1000/1000,"Insert unit")))))),""),"Insert data")</f>
        <v/>
      </c>
      <c r="K983" s="44"/>
      <c r="L983" s="54"/>
    </row>
    <row r="984" spans="1:12" s="4" customFormat="1" outlineLevel="1" x14ac:dyDescent="0.4">
      <c r="A984" s="765"/>
      <c r="B984" s="51"/>
      <c r="C984" s="134"/>
      <c r="D984" s="141"/>
      <c r="E984" s="144"/>
      <c r="F984" s="1"/>
      <c r="G984" s="1"/>
      <c r="H984" s="43"/>
      <c r="I984" s="27" t="str">
        <f t="shared" si="19"/>
        <v/>
      </c>
      <c r="J984" s="31" t="str">
        <f>IFERROR(IF(C984&gt;0,IF(ISBLANK(E984),"Insert data",IF(E963="No",0,IF(D984="kg",E984*INDEX(Chemical_Emission_Factors,MATCH(C984,Chemicals,0))/(D966*1000),IF(D984="tonnes",E984*INDEX(Chemical_Emission_Factors,MATCH(C984,Chemicals,0))*1000/(D966*1000),IF(D984="kg/tonne(output)",E984*INDEX(Chemical_Emission_Factors,MATCH(C984,Chemicals,0))/1000,IF(D984="tonnes/tonne(output)",E984*INDEX(Chemical_Emission_Factors,MATCH(C984,Chemicals,0))*1000/1000,"Insert unit")))))),""),"Insert data")</f>
        <v/>
      </c>
      <c r="K984" s="44"/>
      <c r="L984" s="54"/>
    </row>
    <row r="985" spans="1:12" s="4" customFormat="1" outlineLevel="1" x14ac:dyDescent="0.4">
      <c r="A985" s="765"/>
      <c r="B985" s="51"/>
      <c r="C985" s="134"/>
      <c r="D985" s="141"/>
      <c r="E985" s="144"/>
      <c r="F985" s="1"/>
      <c r="G985" s="1"/>
      <c r="H985" s="43"/>
      <c r="I985" s="27" t="str">
        <f t="shared" si="19"/>
        <v/>
      </c>
      <c r="J985" s="31" t="str">
        <f>IFERROR(IF(C985&gt;0,IF(ISBLANK(E985),"Insert data",IF(E963="No",0,IF(D985="kg",E985*INDEX(Chemical_Emission_Factors,MATCH(C985,Chemicals,0))/(D966*1000),IF(D985="tonnes",E985*INDEX(Chemical_Emission_Factors,MATCH(C985,Chemicals,0))*1000/(D966*1000),IF(D985="kg/tonne(output)",E985*INDEX(Chemical_Emission_Factors,MATCH(C985,Chemicals,0))/1000,IF(D985="tonnes/tonne(output)",E985*INDEX(Chemical_Emission_Factors,MATCH(C985,Chemicals,0))*1000/1000,"Insert unit")))))),""),"Insert data")</f>
        <v/>
      </c>
      <c r="K985" s="44"/>
      <c r="L985" s="54"/>
    </row>
    <row r="986" spans="1:12" s="4" customFormat="1" outlineLevel="1" x14ac:dyDescent="0.4">
      <c r="A986" s="765"/>
      <c r="B986" s="51"/>
      <c r="C986" s="134"/>
      <c r="D986" s="141"/>
      <c r="E986" s="144"/>
      <c r="F986" s="1"/>
      <c r="G986" s="1"/>
      <c r="H986" s="43"/>
      <c r="I986" s="27" t="str">
        <f t="shared" si="19"/>
        <v/>
      </c>
      <c r="J986" s="31" t="str">
        <f>IFERROR(IF(C986&gt;0,IF(ISBLANK(E986),"Insert data",IF(E963="No",0,IF(D986="kg",E986*INDEX(Chemical_Emission_Factors,MATCH(C986,Chemicals,0))/(D966*1000),IF(D986="tonnes",E986*INDEX(Chemical_Emission_Factors,MATCH(C986,Chemicals,0))*1000/(D966*1000),IF(D986="kg/tonne(output)",E986*INDEX(Chemical_Emission_Factors,MATCH(C986,Chemicals,0))/1000,IF(D986="tonnes/tonne(output)",E986*INDEX(Chemical_Emission_Factors,MATCH(C986,Chemicals,0))*1000/1000,"Insert unit")))))),""),"Insert data")</f>
        <v/>
      </c>
      <c r="K986" s="44"/>
      <c r="L986" s="54"/>
    </row>
    <row r="987" spans="1:12" s="4" customFormat="1" outlineLevel="1" x14ac:dyDescent="0.4">
      <c r="A987" s="765"/>
      <c r="B987" s="51"/>
      <c r="C987" s="134"/>
      <c r="D987" s="141"/>
      <c r="E987" s="144"/>
      <c r="F987" s="1"/>
      <c r="G987" s="1"/>
      <c r="H987" s="43"/>
      <c r="I987" s="27" t="str">
        <f t="shared" si="19"/>
        <v/>
      </c>
      <c r="J987" s="31" t="str">
        <f>IFERROR(IF(C987&gt;0,IF(ISBLANK(E987),"Insert data",IF(E963="No",0,IF(D987="kg",E987*INDEX(Chemical_Emission_Factors,MATCH(C987,Chemicals,0))/(D966*1000),IF(D987="tonnes",E987*INDEX(Chemical_Emission_Factors,MATCH(C987,Chemicals,0))*1000/(D966*1000),IF(D987="kg/tonne(output)",E987*INDEX(Chemical_Emission_Factors,MATCH(C987,Chemicals,0))/1000,IF(D987="tonnes/tonne(output)",E987*INDEX(Chemical_Emission_Factors,MATCH(C987,Chemicals,0))*1000/1000,"Insert unit")))))),""),"Insert data")</f>
        <v/>
      </c>
      <c r="K987" s="44"/>
      <c r="L987" s="54"/>
    </row>
    <row r="988" spans="1:12" s="4" customFormat="1" outlineLevel="1" x14ac:dyDescent="0.4">
      <c r="A988" s="765"/>
      <c r="B988" s="51"/>
      <c r="C988" s="134"/>
      <c r="D988" s="141"/>
      <c r="E988" s="144"/>
      <c r="F988" s="1"/>
      <c r="G988" s="1"/>
      <c r="H988" s="43"/>
      <c r="I988" s="27" t="str">
        <f t="shared" si="19"/>
        <v/>
      </c>
      <c r="J988" s="31" t="str">
        <f>IFERROR(IF(C988&gt;0,IF(ISBLANK(E988),"Insert data",IF(E963="No",0,IF(D988="kg",E988*INDEX(Chemical_Emission_Factors,MATCH(C988,Chemicals,0))/(D966*1000),IF(D988="tonnes",E988*INDEX(Chemical_Emission_Factors,MATCH(C988,Chemicals,0))*1000/(D966*1000),IF(D988="kg/tonne(output)",E988*INDEX(Chemical_Emission_Factors,MATCH(C988,Chemicals,0))/1000,IF(D988="tonnes/tonne(output)",E988*INDEX(Chemical_Emission_Factors,MATCH(C988,Chemicals,0))*1000/1000,"Insert unit")))))),""),"Insert data")</f>
        <v/>
      </c>
      <c r="K988" s="44"/>
      <c r="L988" s="54"/>
    </row>
    <row r="989" spans="1:12" s="4" customFormat="1" outlineLevel="1" x14ac:dyDescent="0.4">
      <c r="A989" s="765"/>
      <c r="B989" s="51"/>
      <c r="C989" s="134"/>
      <c r="D989" s="141"/>
      <c r="E989" s="144"/>
      <c r="F989" s="1"/>
      <c r="G989" s="1"/>
      <c r="H989" s="43"/>
      <c r="I989" s="27" t="str">
        <f t="shared" si="19"/>
        <v/>
      </c>
      <c r="J989" s="31" t="str">
        <f>IFERROR(IF(C989&gt;0,IF(ISBLANK(E989),"Insert data",IF(E963="No",0,IF(D989="kg",E989*INDEX(Chemical_Emission_Factors,MATCH(C989,Chemicals,0))/(D966*1000),IF(D989="tonnes",E989*INDEX(Chemical_Emission_Factors,MATCH(C989,Chemicals,0))*1000/(D966*1000),IF(D989="kg/tonne(output)",E989*INDEX(Chemical_Emission_Factors,MATCH(C989,Chemicals,0))/1000,IF(D989="tonnes/tonne(output)",E989*INDEX(Chemical_Emission_Factors,MATCH(C989,Chemicals,0))*1000/1000,"Insert unit")))))),""),"Insert data")</f>
        <v/>
      </c>
      <c r="K989" s="44"/>
      <c r="L989" s="54"/>
    </row>
    <row r="990" spans="1:12" s="4" customFormat="1" ht="12" customHeight="1" outlineLevel="1" x14ac:dyDescent="0.4">
      <c r="A990" s="293"/>
      <c r="B990" s="51"/>
      <c r="C990" s="307"/>
      <c r="D990" s="306"/>
      <c r="E990" s="306"/>
      <c r="F990" s="1"/>
      <c r="G990" s="1"/>
      <c r="H990" s="49"/>
      <c r="I990" s="65"/>
      <c r="J990" s="308"/>
      <c r="K990" s="66"/>
      <c r="L990" s="54"/>
    </row>
    <row r="991" spans="1:12" s="4" customFormat="1" outlineLevel="1" x14ac:dyDescent="0.4">
      <c r="B991" s="20"/>
      <c r="C991" s="243" t="s">
        <v>193</v>
      </c>
      <c r="D991" s="21"/>
      <c r="E991" s="21"/>
      <c r="F991" s="1"/>
      <c r="G991" s="21"/>
      <c r="H991" s="21"/>
      <c r="I991" s="21"/>
      <c r="J991" s="21"/>
      <c r="K991" s="21"/>
      <c r="L991" s="35"/>
    </row>
    <row r="992" spans="1:12" s="4" customFormat="1" outlineLevel="1" x14ac:dyDescent="0.4">
      <c r="B992" s="20"/>
      <c r="C992" s="766" t="s">
        <v>194</v>
      </c>
      <c r="D992" s="767"/>
      <c r="E992" s="299" t="s">
        <v>178</v>
      </c>
      <c r="F992" s="1"/>
      <c r="G992" s="21"/>
      <c r="H992" s="302"/>
      <c r="I992" s="47"/>
      <c r="J992" s="47"/>
      <c r="K992" s="45"/>
      <c r="L992" s="35"/>
    </row>
    <row r="993" spans="2:12" s="4" customFormat="1" ht="6.75" customHeight="1" outlineLevel="1" x14ac:dyDescent="0.4">
      <c r="B993" s="20"/>
      <c r="C993" s="21"/>
      <c r="D993" s="21"/>
      <c r="E993" s="21"/>
      <c r="F993" s="1"/>
      <c r="G993" s="21"/>
      <c r="H993" s="41"/>
      <c r="I993" s="36"/>
      <c r="J993" s="301"/>
      <c r="K993" s="37"/>
      <c r="L993" s="35"/>
    </row>
    <row r="994" spans="2:12" s="4" customFormat="1" outlineLevel="1" x14ac:dyDescent="0.4">
      <c r="B994" s="20"/>
      <c r="C994" s="21"/>
      <c r="D994" s="164" t="s">
        <v>151</v>
      </c>
      <c r="E994" s="164" t="s">
        <v>140</v>
      </c>
      <c r="F994" s="1"/>
      <c r="G994" s="21"/>
      <c r="H994" s="41"/>
      <c r="I994" s="36"/>
      <c r="J994" s="164" t="s">
        <v>195</v>
      </c>
      <c r="K994" s="37"/>
      <c r="L994" s="35"/>
    </row>
    <row r="995" spans="2:12" s="4" customFormat="1" outlineLevel="1" x14ac:dyDescent="0.4">
      <c r="B995" s="20"/>
      <c r="C995" s="164" t="s">
        <v>196</v>
      </c>
      <c r="D995" s="297" t="s">
        <v>197</v>
      </c>
      <c r="E995" s="299"/>
      <c r="F995" s="1"/>
      <c r="G995" s="21"/>
      <c r="H995" s="41"/>
      <c r="I995" s="164" t="s">
        <v>198</v>
      </c>
      <c r="J995" s="309" t="str">
        <f>IFERROR(IF(E992="No", "", IF(AND(E992="yes",OR(ISBLANK(E995),ISBLANK(E996),ISBLANK(E997))),"Insert data",E996/(E996+E997*E995))), "")</f>
        <v/>
      </c>
      <c r="K995" s="37"/>
      <c r="L995" s="35"/>
    </row>
    <row r="996" spans="2:12" s="4" customFormat="1" outlineLevel="1" x14ac:dyDescent="0.4">
      <c r="B996" s="20"/>
      <c r="C996" s="164" t="s">
        <v>199</v>
      </c>
      <c r="D996" s="296" t="s">
        <v>200</v>
      </c>
      <c r="E996" s="299"/>
      <c r="F996" s="1"/>
      <c r="G996" s="21"/>
      <c r="H996" s="41"/>
      <c r="I996" s="164" t="s">
        <v>201</v>
      </c>
      <c r="J996" s="309" t="str">
        <f>IFERROR(IF(E992="No", "", IF(AND(E992="yes",OR(ISBLANK(E995),ISBLANK(E996),ISBLANK(E997))),"Insert data",(E997*E995)/(E997*E995+E996))),"")</f>
        <v/>
      </c>
      <c r="K996" s="37"/>
      <c r="L996" s="35"/>
    </row>
    <row r="997" spans="2:12" s="4" customFormat="1" outlineLevel="1" x14ac:dyDescent="0.4">
      <c r="B997" s="20"/>
      <c r="C997" s="164" t="s">
        <v>202</v>
      </c>
      <c r="D997" s="296" t="s">
        <v>200</v>
      </c>
      <c r="E997" s="299"/>
      <c r="F997" s="1"/>
      <c r="G997" s="21"/>
      <c r="H997" s="46"/>
      <c r="I997" s="58"/>
      <c r="J997" s="58"/>
      <c r="K997" s="59"/>
      <c r="L997" s="35"/>
    </row>
    <row r="998" spans="2:12" s="4" customFormat="1" ht="6.75" customHeight="1" outlineLevel="1" x14ac:dyDescent="0.4">
      <c r="B998" s="20"/>
      <c r="C998" s="21"/>
      <c r="D998" s="21"/>
      <c r="E998" s="21"/>
      <c r="F998" s="1"/>
      <c r="G998" s="21"/>
      <c r="H998" s="21"/>
      <c r="I998" s="21"/>
      <c r="J998" s="21"/>
      <c r="K998" s="21"/>
      <c r="L998" s="35"/>
    </row>
    <row r="999" spans="2:12" s="4" customFormat="1" ht="12.75" customHeight="1" outlineLevel="1" x14ac:dyDescent="0.4">
      <c r="B999" s="20"/>
      <c r="C999" s="300" t="s">
        <v>203</v>
      </c>
      <c r="D999" s="21"/>
      <c r="E999" s="21"/>
      <c r="F999" s="21"/>
      <c r="G999" s="21"/>
      <c r="H999" s="21"/>
      <c r="I999" s="21"/>
      <c r="J999" s="21"/>
      <c r="K999" s="21"/>
      <c r="L999" s="35"/>
    </row>
    <row r="1000" spans="2:12" s="4" customFormat="1" ht="12.75" customHeight="1" outlineLevel="1" x14ac:dyDescent="0.4">
      <c r="B1000" s="20"/>
      <c r="C1000" s="300" t="s">
        <v>204</v>
      </c>
      <c r="D1000" s="21"/>
      <c r="E1000" s="21"/>
      <c r="F1000" s="21"/>
      <c r="G1000" s="21"/>
      <c r="H1000" s="21"/>
      <c r="I1000" s="21"/>
      <c r="J1000" s="21"/>
      <c r="K1000" s="21"/>
      <c r="L1000" s="35"/>
    </row>
    <row r="1001" spans="2:12" s="4" customFormat="1" ht="6.75" customHeight="1" outlineLevel="1" x14ac:dyDescent="0.4">
      <c r="B1001" s="28"/>
      <c r="C1001" s="298"/>
      <c r="D1001" s="29"/>
      <c r="E1001" s="29"/>
      <c r="F1001" s="29"/>
      <c r="G1001" s="29"/>
      <c r="H1001" s="29"/>
      <c r="I1001" s="29"/>
      <c r="J1001" s="29"/>
      <c r="K1001" s="29"/>
      <c r="L1001" s="60"/>
    </row>
    <row r="1002" spans="2:12" s="4" customFormat="1" x14ac:dyDescent="0.4"/>
    <row r="1003" spans="2:12" s="4" customFormat="1" ht="2.1" customHeight="1" x14ac:dyDescent="0.4"/>
    <row r="1004" spans="2:12" s="4" customFormat="1" hidden="1" x14ac:dyDescent="0.4"/>
    <row r="1005" spans="2:12" s="4" customFormat="1" ht="3" hidden="1" customHeight="1" x14ac:dyDescent="0.4"/>
    <row r="1006" spans="2:12" s="4" customFormat="1" hidden="1" x14ac:dyDescent="0.4"/>
    <row r="1007" spans="2:12" s="4" customFormat="1" hidden="1" x14ac:dyDescent="0.4"/>
    <row r="1008" spans="2:12" s="4" customFormat="1" ht="19.2" x14ac:dyDescent="0.45">
      <c r="B1008" s="754" t="str">
        <f>"Feedstock Conversion"&amp;" - "&amp;Feedstocks!C34</f>
        <v xml:space="preserve">Feedstock Conversion - </v>
      </c>
      <c r="C1008" s="755"/>
      <c r="D1008" s="755"/>
      <c r="E1008" s="755"/>
      <c r="F1008" s="755"/>
      <c r="G1008" s="755"/>
      <c r="H1008" s="755"/>
      <c r="I1008" s="755"/>
      <c r="J1008" s="755"/>
      <c r="K1008" s="755"/>
      <c r="L1008" s="756"/>
    </row>
    <row r="1009" spans="1:14" s="4" customFormat="1" outlineLevel="1" x14ac:dyDescent="0.4">
      <c r="B1009" s="17"/>
      <c r="C1009" s="19"/>
      <c r="D1009" s="19"/>
      <c r="E1009" s="19"/>
      <c r="F1009" s="19"/>
      <c r="G1009" s="19"/>
      <c r="H1009" s="19"/>
      <c r="I1009" s="19"/>
      <c r="J1009" s="19"/>
      <c r="K1009" s="19"/>
      <c r="L1009" s="50"/>
    </row>
    <row r="1010" spans="1:14" s="4" customFormat="1" outlineLevel="1" x14ac:dyDescent="0.4">
      <c r="B1010" s="20"/>
      <c r="C1010" s="1"/>
      <c r="D1010" s="1"/>
      <c r="E1010" s="1"/>
      <c r="F1010" s="1"/>
      <c r="G1010" s="1"/>
      <c r="H1010" s="69" t="s">
        <v>122</v>
      </c>
      <c r="I1010" s="47"/>
      <c r="J1010" s="47"/>
      <c r="K1010" s="45"/>
      <c r="L1010" s="35"/>
    </row>
    <row r="1011" spans="1:14" s="4" customFormat="1" outlineLevel="1" x14ac:dyDescent="0.4">
      <c r="B1011" s="20"/>
      <c r="C1011" s="1"/>
      <c r="D1011" s="1"/>
      <c r="E1011" s="1"/>
      <c r="F1011" s="1"/>
      <c r="G1011" s="76"/>
      <c r="H1011" s="41"/>
      <c r="I1011" s="36"/>
      <c r="J1011" s="164" t="s">
        <v>124</v>
      </c>
      <c r="K1011" s="37"/>
      <c r="L1011" s="35"/>
    </row>
    <row r="1012" spans="1:14" s="4" customFormat="1" outlineLevel="1" x14ac:dyDescent="0.4">
      <c r="B1012" s="20"/>
      <c r="C1012" s="21"/>
      <c r="D1012" s="21"/>
      <c r="E1012" s="21"/>
      <c r="F1012" s="1"/>
      <c r="G1012" s="21"/>
      <c r="H1012" s="41"/>
      <c r="I1012" s="164" t="s">
        <v>125</v>
      </c>
      <c r="J1012" s="52" t="str">
        <f>IFERROR((J1016/('Transport 2'!F2785*('Digestion &amp; outputs'!$G$32/1000)))*'Digestion &amp; outputs'!$K$23,"")</f>
        <v/>
      </c>
      <c r="K1012" s="37"/>
      <c r="L1012" s="35"/>
    </row>
    <row r="1013" spans="1:14" s="4" customFormat="1" ht="16.5" customHeight="1" outlineLevel="1" x14ac:dyDescent="0.4">
      <c r="B1013" s="20"/>
      <c r="C1013" s="759" t="s">
        <v>183</v>
      </c>
      <c r="D1013" s="759"/>
      <c r="E1013" s="134" t="s">
        <v>178</v>
      </c>
      <c r="F1013" s="1"/>
      <c r="G1013" s="1"/>
      <c r="H1013" s="41"/>
      <c r="I1013" s="36"/>
      <c r="J1013" s="36"/>
      <c r="K1013" s="37"/>
      <c r="L1013" s="35"/>
    </row>
    <row r="1014" spans="1:14" s="4" customFormat="1" outlineLevel="1" x14ac:dyDescent="0.4">
      <c r="B1014" s="20"/>
      <c r="C1014" s="763" t="s">
        <v>184</v>
      </c>
      <c r="D1014" s="764"/>
      <c r="E1014" s="134" t="s">
        <v>96</v>
      </c>
      <c r="F1014" s="1"/>
      <c r="G1014" s="1"/>
      <c r="H1014" s="41"/>
      <c r="I1014" s="36"/>
      <c r="J1014" s="36"/>
      <c r="K1014" s="37"/>
      <c r="L1014" s="35"/>
    </row>
    <row r="1015" spans="1:14" s="4" customFormat="1" outlineLevel="1" x14ac:dyDescent="0.4">
      <c r="B1015" s="20"/>
      <c r="C1015" s="21"/>
      <c r="D1015" s="21"/>
      <c r="E1015" s="21"/>
      <c r="F1015" s="1"/>
      <c r="G1015" s="1"/>
      <c r="H1015" s="43"/>
      <c r="I1015" s="34"/>
      <c r="J1015" s="164" t="s">
        <v>141</v>
      </c>
      <c r="K1015" s="44"/>
      <c r="L1015" s="35"/>
    </row>
    <row r="1016" spans="1:14" s="4" customFormat="1" outlineLevel="1" x14ac:dyDescent="0.4">
      <c r="A1016" s="765"/>
      <c r="B1016" s="51"/>
      <c r="C1016" s="164" t="s">
        <v>185</v>
      </c>
      <c r="D1016" s="70">
        <f>IFERROR(Feedstocks!D34/'Transport 2'!F1019,"Insert data")</f>
        <v>0</v>
      </c>
      <c r="E1016" s="21"/>
      <c r="F1016" s="1"/>
      <c r="G1016" s="1"/>
      <c r="H1016" s="43"/>
      <c r="I1016" s="164" t="s">
        <v>167</v>
      </c>
      <c r="J1016" s="52">
        <f>IFERROR(IF(AND(E1013="YES",ISBLANK(F1017)),"Insert yield",SUM(J1032:J1039,J1025:J1028,J1021)*IF(E1042="Yes",J1045,1)),"Insert data")</f>
        <v>0</v>
      </c>
      <c r="K1016" s="44"/>
      <c r="L1016" s="35"/>
    </row>
    <row r="1017" spans="1:14" s="4" customFormat="1" outlineLevel="1" x14ac:dyDescent="0.4">
      <c r="A1017" s="765"/>
      <c r="B1017" s="51"/>
      <c r="C1017" s="164" t="s">
        <v>186</v>
      </c>
      <c r="D1017" s="680">
        <v>0.9</v>
      </c>
      <c r="E1017" s="134"/>
      <c r="F1017" s="623">
        <f>IF(E1013="No",1,IF(E1014="Default",D1017,IF(E1014="Actual",IF(E1017&gt;0,E1017,"insert data"),"error")))</f>
        <v>1</v>
      </c>
      <c r="G1017" s="1"/>
      <c r="H1017" s="49"/>
      <c r="I1017" s="65"/>
      <c r="J1017" s="65"/>
      <c r="K1017" s="66"/>
      <c r="L1017" s="35"/>
    </row>
    <row r="1018" spans="1:14" s="4" customFormat="1" outlineLevel="1" x14ac:dyDescent="0.4">
      <c r="A1018" s="765"/>
      <c r="B1018" s="51"/>
      <c r="C1018" s="21"/>
      <c r="D1018" s="21"/>
      <c r="E1018" s="21"/>
      <c r="F1018" s="1"/>
      <c r="G1018" s="21"/>
      <c r="H1018" s="29"/>
      <c r="I1018" s="29"/>
      <c r="J1018" s="29"/>
      <c r="K1018" s="29"/>
      <c r="L1018" s="35"/>
    </row>
    <row r="1019" spans="1:14" s="4" customFormat="1" outlineLevel="1" x14ac:dyDescent="0.4">
      <c r="A1019" s="765"/>
      <c r="B1019" s="51"/>
      <c r="C1019" s="25" t="s">
        <v>187</v>
      </c>
      <c r="D1019" s="1"/>
      <c r="E1019" s="1"/>
      <c r="F1019" s="1"/>
      <c r="G1019" s="1"/>
      <c r="H1019" s="69" t="s">
        <v>136</v>
      </c>
      <c r="I1019" s="79"/>
      <c r="J1019" s="79"/>
      <c r="K1019" s="61"/>
      <c r="L1019" s="54"/>
      <c r="M1019" s="12"/>
      <c r="N1019" s="12"/>
    </row>
    <row r="1020" spans="1:14" s="4" customFormat="1" outlineLevel="1" x14ac:dyDescent="0.4">
      <c r="A1020" s="765"/>
      <c r="B1020" s="51"/>
      <c r="C1020" s="166" t="s">
        <v>188</v>
      </c>
      <c r="D1020" s="164" t="s">
        <v>151</v>
      </c>
      <c r="E1020" s="164" t="s">
        <v>140</v>
      </c>
      <c r="F1020" s="1"/>
      <c r="G1020" s="1"/>
      <c r="H1020" s="43"/>
      <c r="I1020" s="34"/>
      <c r="J1020" s="164" t="s">
        <v>141</v>
      </c>
      <c r="K1020" s="44"/>
      <c r="L1020" s="54"/>
    </row>
    <row r="1021" spans="1:14" s="4" customFormat="1" outlineLevel="1" x14ac:dyDescent="0.4">
      <c r="A1021" s="765"/>
      <c r="B1021" s="51"/>
      <c r="C1021" s="145"/>
      <c r="D1021" s="141"/>
      <c r="E1021" s="144"/>
      <c r="F1021" s="1"/>
      <c r="G1021" s="1"/>
      <c r="H1021" s="43"/>
      <c r="I1021" s="164" t="s">
        <v>189</v>
      </c>
      <c r="J1021" s="31">
        <f>IFERROR(IF(E1013="No",0,IF(D1021="MWh",(E1021*'Reference values'!$D$47*INDEX(Electricity_Emission_Factors,MATCH(C1021,Electricity_Source,0)))/(D1016*1000),IF(D1021="kWh",(E1021*'Reference values'!$D$47*INDEX(Electricity_Emission_Factors,MATCH(C1021,Electricity_Source,0))/1000)/(D1016*1000),IF(D1021="MWh/tonne(output)",(E1021*'Reference values'!$D$47*INDEX(Electricity_Emission_Factors,MATCH(C1021,Electricity_Source,0)))/1000,IF(D1021="kWh/tonne(output)",(E1021*'Reference values'!$D$47*INDEX(Electricity_Emission_Factors,MATCH(C1021,Electricity_Source,0))/1000)/1000,""))))),"")</f>
        <v>0</v>
      </c>
      <c r="K1021" s="44"/>
      <c r="L1021" s="54"/>
    </row>
    <row r="1022" spans="1:14" s="4" customFormat="1" outlineLevel="1" x14ac:dyDescent="0.4">
      <c r="A1022" s="765"/>
      <c r="B1022" s="51"/>
      <c r="C1022" s="1"/>
      <c r="D1022" s="1"/>
      <c r="E1022" s="1"/>
      <c r="F1022" s="1"/>
      <c r="G1022" s="1"/>
      <c r="H1022" s="43"/>
      <c r="I1022" s="34"/>
      <c r="J1022" s="34"/>
      <c r="K1022" s="44"/>
      <c r="L1022" s="54"/>
    </row>
    <row r="1023" spans="1:14" s="4" customFormat="1" outlineLevel="1" x14ac:dyDescent="0.4">
      <c r="A1023" s="765"/>
      <c r="B1023" s="51"/>
      <c r="C1023" s="25" t="s">
        <v>190</v>
      </c>
      <c r="D1023" s="1"/>
      <c r="E1023" s="1"/>
      <c r="F1023" s="1"/>
      <c r="G1023" s="1"/>
      <c r="H1023" s="43"/>
      <c r="I1023" s="34"/>
      <c r="J1023" s="34"/>
      <c r="K1023" s="44"/>
      <c r="L1023" s="54"/>
    </row>
    <row r="1024" spans="1:14" s="4" customFormat="1" outlineLevel="1" x14ac:dyDescent="0.4">
      <c r="A1024" s="765"/>
      <c r="B1024" s="51"/>
      <c r="C1024" s="164" t="s">
        <v>160</v>
      </c>
      <c r="D1024" s="164" t="s">
        <v>151</v>
      </c>
      <c r="E1024" s="164" t="s">
        <v>140</v>
      </c>
      <c r="F1024" s="1"/>
      <c r="G1024" s="1"/>
      <c r="H1024" s="43"/>
      <c r="I1024" s="164" t="s">
        <v>160</v>
      </c>
      <c r="J1024" s="182" t="s">
        <v>141</v>
      </c>
      <c r="K1024" s="44"/>
      <c r="L1024" s="54"/>
    </row>
    <row r="1025" spans="1:12" s="4" customFormat="1" outlineLevel="1" x14ac:dyDescent="0.4">
      <c r="A1025" s="765"/>
      <c r="B1025" s="51"/>
      <c r="C1025" s="27" t="str">
        <f>IF(E1014="Default", "Diesel", "")</f>
        <v>Diesel</v>
      </c>
      <c r="D1025" s="74" t="str">
        <f>IF(E1014="Default", "kWh/tonne(output)", "")</f>
        <v>kWh/tonne(output)</v>
      </c>
      <c r="E1025" s="74">
        <f>IF(E1014="Default", 3.881, "")</f>
        <v>3.8809999999999998</v>
      </c>
      <c r="F1025" s="1"/>
      <c r="G1025" s="1"/>
      <c r="H1025" s="43"/>
      <c r="I1025" s="27" t="str">
        <f>IF(C1025&gt;0,C1025,"")</f>
        <v>Diesel</v>
      </c>
      <c r="J1025" s="31">
        <f>IF(E1014="Actual","",IFERROR(IF(C1025&gt;0,IF(ISBLANK(E1025),"Insert data",IF(E1013="No",0,(IF(D1025="litres",(E1025*(INDEX(Fuel_Densities,MATCH(C1025,Fuels_for_Densities,0))/1000)*INDEX(Fuel_LHV,MATCH(C1025,Fuels_for_LHV,0))*INDEX(Fuel_EFs,MATCH(C1025,Fuels_for_EF,0)))/(D1016*1000),(IF(D1025="m3",(E1025*(INDEX(Fuel_Densities,MATCH(C1025,Fuels_for_Densities,0)))*INDEX(Fuel_LHV,MATCH(C1025,Fuels_for_LHV,0))*INDEX(Fuel_EFs,MATCH(C1025,Fuels_for_EF,0)))/(D1016*1000),IF(D1025="kg",(E1025*INDEX(Fuel_LHV,MATCH(C1025,Fuels_for_LHV,0))*INDEX(Fuel_EFs,MATCH(C1025,Fuels_for_EF,0)))/(D1016*1000),IF(D1025="tonnes",(E1025*INDEX(Fuel_LHV,MATCH(C1025,Fuels_for_LHV,0))*1000*INDEX(Fuel_EFs,MATCH(C1025,Fuels_for_EF,0)))/(D1016*1000),IF(D1025="MWh",(E1025*'Reference values'!$D$47*INDEX(Fuel_EFs,MATCH(C1025,Fuels_for_EF,0)))/(D1016*1000),IF(D1025="kWh",(E1025*'Reference values'!$D$47*INDEX(Fuel_EFs,MATCH(C1025,Fuels_for_EF,0))/1000)/(D1016*1000),(IF(D1025="litres/tonne(output)",(E1025*(INDEX(Fuel_Densities,MATCH(C1025,Fuels_for_Densities,0))/1000)*INDEX(Fuel_LHV,MATCH(C1025,Fuels_for_LHV,0))*INDEX(Fuel_EFs,MATCH(C1025,Fuels_for_EF,0)))/1000,(IF(D1025="m3/tonne(output)",(E1025*(INDEX(Fuel_Densities,MATCH(C1025,Fuels_for_Densities,0)))*INDEX(Fuel_LHV,MATCH(C1025,Fuels_for_LHV,0))*INDEX(Fuel_EFs,MATCH(C1025,Fuels_for_EF,0)))/1000,IF(D1025="kg/tonne(output)",(E1025*INDEX(Fuel_LHV,MATCH(C1025,Fuels_for_LHV,0))*INDEX(Fuel_EFs,MATCH(C1025,Fuels_for_EF,0)))/1000,IF(D1025="tonnes/tonne(output)",(E1025*INDEX(Fuel_LHV,MATCH(C1025,Fuels_for_LHV,0))*1000*INDEX(Fuel_EFs,MATCH(C1025,Fuels_for_EF,0)))/1000,IF(D1025="MWh/tonne(output)",(E1025*'Reference values'!$D$47*INDEX(Fuel_EFs,MATCH(C1025,Fuels_for_EF,0)))/1000,IF(D1025="kWh/tonne(output)",(E1025*'Reference values'!$D$47*INDEX(Fuel_EFs,MATCH(C1025,Fuels_for_EF,0))/1000)/1000,"Insert unit")))))))))))))))))),""),"Insert data"))</f>
        <v>0</v>
      </c>
      <c r="K1025" s="44"/>
      <c r="L1025" s="54"/>
    </row>
    <row r="1026" spans="1:12" s="4" customFormat="1" outlineLevel="1" x14ac:dyDescent="0.4">
      <c r="A1026" s="765"/>
      <c r="B1026" s="51"/>
      <c r="C1026" s="134"/>
      <c r="D1026" s="141"/>
      <c r="E1026" s="144"/>
      <c r="F1026" s="1"/>
      <c r="G1026" s="1"/>
      <c r="H1026" s="43"/>
      <c r="I1026" s="27" t="str">
        <f>IF(C1026&gt;0,C1026,"")</f>
        <v/>
      </c>
      <c r="J1026" s="31" t="str">
        <f>IFERROR(IF(C1026&gt;0,IF(ISBLANK(E1026),"Insert data",IF(E1013="No",0,(IF(D1026="litres",(E1026*(INDEX(Fuel_Densities,MATCH(C1026,Fuels_for_Densities,0))/1000)*INDEX(Fuel_LHV,MATCH(C1026,Fuels_for_LHV,0))*INDEX(Fuel_EFs,MATCH(C1026,Fuels_for_EF,0)))/(D1016*1000),(IF(D1026="m3",(E1026*(INDEX(Fuel_Densities,MATCH(C1026,Fuels_for_Densities,0)))*INDEX(Fuel_LHV,MATCH(C1026,Fuels_for_LHV,0))*INDEX(Fuel_EFs,MATCH(C1026,Fuels_for_EF,0)))/(D1016*1000),IF(D1026="kg",(E1026*INDEX(Fuel_LHV,MATCH(C1026,Fuels_for_LHV,0))*INDEX(Fuel_EFs,MATCH(C1026,Fuels_for_EF,0)))/(D1016*1000),IF(D1026="tonnes",(E1026*INDEX(Fuel_LHV,MATCH(C1026,Fuels_for_LHV,0))*1000*INDEX(Fuel_EFs,MATCH(C1026,Fuels_for_EF,0)))/(D1016*1000),IF(D1026="MWh",(E1026*'Reference values'!$D$47*INDEX(Fuel_EFs,MATCH(C1026,Fuels_for_EF,0)))/(D1016*1000),IF(D1026="kWh",(E1026*'Reference values'!$D$47*INDEX(Fuel_EFs,MATCH(C1026,Fuels_for_EF,0))/1000)/(D1016*1000),(IF(D1026="litres/tonne(output)",(E1026*(INDEX(Fuel_Densities,MATCH(C1026,Fuels_for_Densities,0))/1000)*INDEX(Fuel_LHV,MATCH(C1026,Fuels_for_LHV,0))*INDEX(Fuel_EFs,MATCH(C1026,Fuels_for_EF,0)))/1000,(IF(D1026="m3/tonne(output)",(E1026*(INDEX(Fuel_Densities,MATCH(C1026,Fuels_for_Densities,0)))*INDEX(Fuel_LHV,MATCH(C1026,Fuels_for_LHV,0))*INDEX(Fuel_EFs,MATCH(C1026,Fuels_for_EF,0)))/1000,IF(D1026="kg/tonne(output)",(E1026*INDEX(Fuel_LHV,MATCH(C1026,Fuels_for_LHV,0))*INDEX(Fuel_EFs,MATCH(C1026,Fuels_for_EF,0)))/1000,IF(D1026="tonnes/tonne(output)",(E1026*INDEX(Fuel_LHV,MATCH(C1026,Fuels_for_LHV,0))*1000*INDEX(Fuel_EFs,MATCH(C1026,Fuels_for_EF,0)))/1000,IF(D1026="MWh/tonne(output)",(E1026*'Reference values'!$D$47*INDEX(Fuel_EFs,MATCH(C1026,Fuels_for_EF,0)))/1000,IF(D1026="kWh/tonne(output)",(E1026*'Reference values'!$D$47*INDEX(Fuel_EFs,MATCH(C1026,Fuels_for_EF,0))/1000)/1000,"Insert unit")))))))))))))))))),""),"Insert data")</f>
        <v/>
      </c>
      <c r="K1026" s="44"/>
      <c r="L1026" s="54"/>
    </row>
    <row r="1027" spans="1:12" s="4" customFormat="1" outlineLevel="1" x14ac:dyDescent="0.4">
      <c r="A1027" s="765"/>
      <c r="B1027" s="51"/>
      <c r="C1027" s="134"/>
      <c r="D1027" s="141"/>
      <c r="E1027" s="144"/>
      <c r="F1027" s="1"/>
      <c r="G1027" s="1"/>
      <c r="H1027" s="43"/>
      <c r="I1027" s="27" t="str">
        <f>IF(C1027&gt;0,C1027,"")</f>
        <v/>
      </c>
      <c r="J1027" s="31" t="str">
        <f>IFERROR(IF(C1027&gt;0,IF(ISBLANK(E1027),"Insert data",IF(E1013="No",0,(IF(D1027="litres",(E1027*(INDEX(Fuel_Densities,MATCH(C1027,Fuels_for_Densities,0))/1000)*INDEX(Fuel_LHV,MATCH(C1027,Fuels_for_LHV,0))*INDEX(Fuel_EFs,MATCH(C1027,Fuels_for_EF,0)))/(D1016*1000),(IF(D1027="m3",(E1027*(INDEX(Fuel_Densities,MATCH(C1027,Fuels_for_Densities,0)))*INDEX(Fuel_LHV,MATCH(C1027,Fuels_for_LHV,0))*INDEX(Fuel_EFs,MATCH(C1027,Fuels_for_EF,0)))/(D1016*1000),IF(D1027="kg",(E1027*INDEX(Fuel_LHV,MATCH(C1027,Fuels_for_LHV,0))*INDEX(Fuel_EFs,MATCH(C1027,Fuels_for_EF,0)))/(D1016*1000),IF(D1027="tonnes",(E1027*INDEX(Fuel_LHV,MATCH(C1027,Fuels_for_LHV,0))*1000*INDEX(Fuel_EFs,MATCH(C1027,Fuels_for_EF,0)))/(D1016*1000),IF(D1027="MWh",(E1027*'Reference values'!$D$47*INDEX(Fuel_EFs,MATCH(C1027,Fuels_for_EF,0)))/(D1016*1000),IF(D1027="kWh",(E1027*'Reference values'!$D$47*INDEX(Fuel_EFs,MATCH(C1027,Fuels_for_EF,0))/1000)/(D1016*1000),(IF(D1027="litres/tonne(output)",(E1027*(INDEX(Fuel_Densities,MATCH(C1027,Fuels_for_Densities,0))/1000)*INDEX(Fuel_LHV,MATCH(C1027,Fuels_for_LHV,0))*INDEX(Fuel_EFs,MATCH(C1027,Fuels_for_EF,0)))/1000,(IF(D1027="m3/tonne(output)",(E1027*(INDEX(Fuel_Densities,MATCH(C1027,Fuels_for_Densities,0)))*INDEX(Fuel_LHV,MATCH(C1027,Fuels_for_LHV,0))*INDEX(Fuel_EFs,MATCH(C1027,Fuels_for_EF,0)))/1000,IF(D1027="kg/tonne(output)",(E1027*INDEX(Fuel_LHV,MATCH(C1027,Fuels_for_LHV,0))*INDEX(Fuel_EFs,MATCH(C1027,Fuels_for_EF,0)))/1000,IF(D1027="tonnes/tonne(output)",(E1027*INDEX(Fuel_LHV,MATCH(C1027,Fuels_for_LHV,0))*1000*INDEX(Fuel_EFs,MATCH(C1027,Fuels_for_EF,0)))/1000,IF(D1027="MWh/tonne(output)",(E1027*'Reference values'!$D$47*INDEX(Fuel_EFs,MATCH(C1027,Fuels_for_EF,0)))/1000,IF(D1027="kWh/tonne(output)",(E1027*'Reference values'!$D$47*INDEX(Fuel_EFs,MATCH(C1027,Fuels_for_EF,0))/1000)/1000,"Insert unit")))))))))))))))))),""),"Insert data")</f>
        <v/>
      </c>
      <c r="K1027" s="44"/>
      <c r="L1027" s="54"/>
    </row>
    <row r="1028" spans="1:12" s="4" customFormat="1" outlineLevel="1" x14ac:dyDescent="0.4">
      <c r="A1028" s="765"/>
      <c r="B1028" s="51"/>
      <c r="C1028" s="134"/>
      <c r="D1028" s="141"/>
      <c r="E1028" s="144"/>
      <c r="F1028" s="1"/>
      <c r="G1028" s="1"/>
      <c r="H1028" s="43"/>
      <c r="I1028" s="27" t="str">
        <f>IF(C1028&gt;0,C1028,"")</f>
        <v/>
      </c>
      <c r="J1028" s="31" t="str">
        <f>IFERROR(IF(C1028&gt;0,IF(ISBLANK(E1028),"Insert data",IF(E1013="No",0,(IF(D1028="litres",(E1028*(INDEX(Fuel_Densities,MATCH(C1028,Fuels_for_Densities,0))/1000)*INDEX(Fuel_LHV,MATCH(C1028,Fuels_for_LHV,0))*INDEX(Fuel_EFs,MATCH(C1028,Fuels_for_EF,0)))/(D1016*1000),(IF(D1028="m3",(E1028*(INDEX(Fuel_Densities,MATCH(C1028,Fuels_for_Densities,0)))*INDEX(Fuel_LHV,MATCH(C1028,Fuels_for_LHV,0))*INDEX(Fuel_EFs,MATCH(C1028,Fuels_for_EF,0)))/(D1016*1000),IF(D1028="kg",(E1028*INDEX(Fuel_LHV,MATCH(C1028,Fuels_for_LHV,0))*INDEX(Fuel_EFs,MATCH(C1028,Fuels_for_EF,0)))/(D1016*1000),IF(D1028="tonnes",(E1028*INDEX(Fuel_LHV,MATCH(C1028,Fuels_for_LHV,0))*1000*INDEX(Fuel_EFs,MATCH(C1028,Fuels_for_EF,0)))/(D1016*1000),IF(D1028="MWh",(E1028*'Reference values'!$D$47*INDEX(Fuel_EFs,MATCH(C1028,Fuels_for_EF,0)))/(D1016*1000),IF(D1028="kWh",(E1028*'Reference values'!$D$47*INDEX(Fuel_EFs,MATCH(C1028,Fuels_for_EF,0))/1000)/(D1016*1000),(IF(D1028="litres/tonne(output)",(E1028*(INDEX(Fuel_Densities,MATCH(C1028,Fuels_for_Densities,0))/1000)*INDEX(Fuel_LHV,MATCH(C1028,Fuels_for_LHV,0))*INDEX(Fuel_EFs,MATCH(C1028,Fuels_for_EF,0)))/1000,(IF(D1028="m3/tonne(output)",(E1028*(INDEX(Fuel_Densities,MATCH(C1028,Fuels_for_Densities,0)))*INDEX(Fuel_LHV,MATCH(C1028,Fuels_for_LHV,0))*INDEX(Fuel_EFs,MATCH(C1028,Fuels_for_EF,0)))/1000,IF(D1028="kg/tonne(output)",(E1028*INDEX(Fuel_LHV,MATCH(C1028,Fuels_for_LHV,0))*INDEX(Fuel_EFs,MATCH(C1028,Fuels_for_EF,0)))/1000,IF(D1028="tonnes/tonne(output)",(E1028*INDEX(Fuel_LHV,MATCH(C1028,Fuels_for_LHV,0))*1000*INDEX(Fuel_EFs,MATCH(C1028,Fuels_for_EF,0)))/1000,IF(D1028="MWh/tonne(output)",(E1028*'Reference values'!$D$47*INDEX(Fuel_EFs,MATCH(C1028,Fuels_for_EF,0)))/1000,IF(D1028="kWh/tonne(output)",(E1028*'Reference values'!$D$47*INDEX(Fuel_EFs,MATCH(C1028,Fuels_for_EF,0))/1000)/1000,"Insert unit")))))))))))))))))),""),"Insert data")</f>
        <v/>
      </c>
      <c r="K1028" s="44"/>
      <c r="L1028" s="54"/>
    </row>
    <row r="1029" spans="1:12" s="4" customFormat="1" outlineLevel="1" x14ac:dyDescent="0.4">
      <c r="A1029" s="765"/>
      <c r="B1029" s="51"/>
      <c r="C1029" s="1"/>
      <c r="D1029" s="1"/>
      <c r="E1029" s="1"/>
      <c r="F1029" s="1"/>
      <c r="G1029" s="53"/>
      <c r="H1029" s="56"/>
      <c r="I1029" s="57"/>
      <c r="J1029" s="34"/>
      <c r="K1029" s="44"/>
      <c r="L1029" s="54"/>
    </row>
    <row r="1030" spans="1:12" s="4" customFormat="1" outlineLevel="1" x14ac:dyDescent="0.4">
      <c r="A1030" s="765"/>
      <c r="B1030" s="51"/>
      <c r="C1030" s="25" t="s">
        <v>191</v>
      </c>
      <c r="D1030" s="1"/>
      <c r="E1030" s="1"/>
      <c r="F1030" s="1"/>
      <c r="G1030" s="53"/>
      <c r="H1030" s="56"/>
      <c r="I1030" s="34"/>
      <c r="J1030" s="34"/>
      <c r="K1030" s="44"/>
      <c r="L1030" s="54"/>
    </row>
    <row r="1031" spans="1:12" s="4" customFormat="1" outlineLevel="1" x14ac:dyDescent="0.4">
      <c r="A1031" s="765"/>
      <c r="B1031" s="51"/>
      <c r="C1031" s="164" t="s">
        <v>192</v>
      </c>
      <c r="D1031" s="164" t="s">
        <v>151</v>
      </c>
      <c r="E1031" s="164" t="s">
        <v>140</v>
      </c>
      <c r="F1031" s="1"/>
      <c r="G1031" s="1"/>
      <c r="H1031" s="43"/>
      <c r="I1031" s="164" t="s">
        <v>192</v>
      </c>
      <c r="J1031" s="182" t="s">
        <v>141</v>
      </c>
      <c r="K1031" s="44"/>
      <c r="L1031" s="54"/>
    </row>
    <row r="1032" spans="1:12" s="4" customFormat="1" outlineLevel="1" x14ac:dyDescent="0.4">
      <c r="A1032" s="765"/>
      <c r="B1032" s="51"/>
      <c r="C1032" s="134"/>
      <c r="D1032" s="141"/>
      <c r="E1032" s="144"/>
      <c r="F1032" s="1"/>
      <c r="G1032" s="1"/>
      <c r="H1032" s="43"/>
      <c r="I1032" s="27" t="str">
        <f t="shared" ref="I1032:I1039" si="20">IF(C1032&gt;0,C1032,"")</f>
        <v/>
      </c>
      <c r="J1032" s="31" t="str">
        <f>IFERROR(IF(C1032&gt;0,IF(ISBLANK(E1032),"Insert data",IF(E1013="No",0,IF(D1032="kg",E1032*INDEX(Chemical_Emission_Factors,MATCH(C1032,Chemicals,0))/(D1016*1000),IF(D1032="tonnes",E1032*INDEX(Chemical_Emission_Factors,MATCH(C1032,Chemicals,0))*1000/(D1016*1000),IF(D1032="kg/tonne(output)",E1032*INDEX(Chemical_Emission_Factors,MATCH(C1032,Chemicals,0))/1000,IF(D1032="tonnes/tonne(output)",E1032*INDEX(Chemical_Emission_Factors,MATCH(C1032,Chemicals,0))*1000/1000,"Insert unit")))))),""),"Insert data")</f>
        <v/>
      </c>
      <c r="K1032" s="44"/>
      <c r="L1032" s="54"/>
    </row>
    <row r="1033" spans="1:12" s="4" customFormat="1" outlineLevel="1" x14ac:dyDescent="0.4">
      <c r="A1033" s="765"/>
      <c r="B1033" s="51"/>
      <c r="C1033" s="134"/>
      <c r="D1033" s="141"/>
      <c r="E1033" s="144"/>
      <c r="F1033" s="1"/>
      <c r="G1033" s="1"/>
      <c r="H1033" s="43"/>
      <c r="I1033" s="27" t="str">
        <f t="shared" si="20"/>
        <v/>
      </c>
      <c r="J1033" s="31" t="str">
        <f>IFERROR(IF(C1033&gt;0,IF(ISBLANK(E1033),"Insert data",IF(E1013="No",0,IF(D1033="kg",E1033*INDEX(Chemical_Emission_Factors,MATCH(C1033,Chemicals,0))/(D1016*1000),IF(D1033="tonnes",E1033*INDEX(Chemical_Emission_Factors,MATCH(C1033,Chemicals,0))*1000/(D1016*1000),IF(D1033="kg/tonne(output)",E1033*INDEX(Chemical_Emission_Factors,MATCH(C1033,Chemicals,0))/1000,IF(D1033="tonnes/tonne(output)",E1033*INDEX(Chemical_Emission_Factors,MATCH(C1033,Chemicals,0))*1000/1000,"Insert unit")))))),""),"Insert data")</f>
        <v/>
      </c>
      <c r="K1033" s="44"/>
      <c r="L1033" s="54"/>
    </row>
    <row r="1034" spans="1:12" s="4" customFormat="1" outlineLevel="1" x14ac:dyDescent="0.4">
      <c r="A1034" s="765"/>
      <c r="B1034" s="51"/>
      <c r="C1034" s="134"/>
      <c r="D1034" s="141"/>
      <c r="E1034" s="144"/>
      <c r="F1034" s="1"/>
      <c r="G1034" s="1"/>
      <c r="H1034" s="43"/>
      <c r="I1034" s="27" t="str">
        <f t="shared" si="20"/>
        <v/>
      </c>
      <c r="J1034" s="31" t="str">
        <f>IFERROR(IF(C1034&gt;0,IF(ISBLANK(E1034),"Insert data",IF(E1013="No",0,IF(D1034="kg",E1034*INDEX(Chemical_Emission_Factors,MATCH(C1034,Chemicals,0))/(D1016*1000),IF(D1034="tonnes",E1034*INDEX(Chemical_Emission_Factors,MATCH(C1034,Chemicals,0))*1000/(D1016*1000),IF(D1034="kg/tonne(output)",E1034*INDEX(Chemical_Emission_Factors,MATCH(C1034,Chemicals,0))/1000,IF(D1034="tonnes/tonne(output)",E1034*INDEX(Chemical_Emission_Factors,MATCH(C1034,Chemicals,0))*1000/1000,"Insert unit")))))),""),"Insert data")</f>
        <v/>
      </c>
      <c r="K1034" s="44"/>
      <c r="L1034" s="54"/>
    </row>
    <row r="1035" spans="1:12" s="4" customFormat="1" outlineLevel="1" x14ac:dyDescent="0.4">
      <c r="A1035" s="765"/>
      <c r="B1035" s="51"/>
      <c r="C1035" s="134"/>
      <c r="D1035" s="141"/>
      <c r="E1035" s="144"/>
      <c r="F1035" s="1"/>
      <c r="G1035" s="1"/>
      <c r="H1035" s="43"/>
      <c r="I1035" s="27" t="str">
        <f t="shared" si="20"/>
        <v/>
      </c>
      <c r="J1035" s="31" t="str">
        <f>IFERROR(IF(C1035&gt;0,IF(ISBLANK(E1035),"Insert data",IF(E1013="No",0,IF(D1035="kg",E1035*INDEX(Chemical_Emission_Factors,MATCH(C1035,Chemicals,0))/(D1016*1000),IF(D1035="tonnes",E1035*INDEX(Chemical_Emission_Factors,MATCH(C1035,Chemicals,0))*1000/(D1016*1000),IF(D1035="kg/tonne(output)",E1035*INDEX(Chemical_Emission_Factors,MATCH(C1035,Chemicals,0))/1000,IF(D1035="tonnes/tonne(output)",E1035*INDEX(Chemical_Emission_Factors,MATCH(C1035,Chemicals,0))*1000/1000,"Insert unit")))))),""),"Insert data")</f>
        <v/>
      </c>
      <c r="K1035" s="44"/>
      <c r="L1035" s="54"/>
    </row>
    <row r="1036" spans="1:12" s="4" customFormat="1" outlineLevel="1" x14ac:dyDescent="0.4">
      <c r="A1036" s="765"/>
      <c r="B1036" s="51"/>
      <c r="C1036" s="134"/>
      <c r="D1036" s="141"/>
      <c r="E1036" s="144"/>
      <c r="F1036" s="1"/>
      <c r="G1036" s="1"/>
      <c r="H1036" s="43"/>
      <c r="I1036" s="27" t="str">
        <f t="shared" si="20"/>
        <v/>
      </c>
      <c r="J1036" s="31" t="str">
        <f>IFERROR(IF(C1036&gt;0,IF(ISBLANK(E1036),"Insert data",IF(E1013="No",0,IF(D1036="kg",E1036*INDEX(Chemical_Emission_Factors,MATCH(C1036,Chemicals,0))/(D1016*1000),IF(D1036="tonnes",E1036*INDEX(Chemical_Emission_Factors,MATCH(C1036,Chemicals,0))*1000/(D1016*1000),IF(D1036="kg/tonne(output)",E1036*INDEX(Chemical_Emission_Factors,MATCH(C1036,Chemicals,0))/1000,IF(D1036="tonnes/tonne(output)",E1036*INDEX(Chemical_Emission_Factors,MATCH(C1036,Chemicals,0))*1000/1000,"Insert unit")))))),""),"Insert data")</f>
        <v/>
      </c>
      <c r="K1036" s="44"/>
      <c r="L1036" s="54"/>
    </row>
    <row r="1037" spans="1:12" s="4" customFormat="1" outlineLevel="1" x14ac:dyDescent="0.4">
      <c r="A1037" s="765"/>
      <c r="B1037" s="51"/>
      <c r="C1037" s="134"/>
      <c r="D1037" s="141"/>
      <c r="E1037" s="144"/>
      <c r="F1037" s="1"/>
      <c r="G1037" s="1"/>
      <c r="H1037" s="43"/>
      <c r="I1037" s="27" t="str">
        <f t="shared" si="20"/>
        <v/>
      </c>
      <c r="J1037" s="31" t="str">
        <f>IFERROR(IF(C1037&gt;0,IF(ISBLANK(E1037),"Insert data",IF(E1013="No",0,IF(D1037="kg",E1037*INDEX(Chemical_Emission_Factors,MATCH(C1037,Chemicals,0))/(D1016*1000),IF(D1037="tonnes",E1037*INDEX(Chemical_Emission_Factors,MATCH(C1037,Chemicals,0))*1000/(D1016*1000),IF(D1037="kg/tonne(output)",E1037*INDEX(Chemical_Emission_Factors,MATCH(C1037,Chemicals,0))/1000,IF(D1037="tonnes/tonne(output)",E1037*INDEX(Chemical_Emission_Factors,MATCH(C1037,Chemicals,0))*1000/1000,"Insert unit")))))),""),"Insert data")</f>
        <v/>
      </c>
      <c r="K1037" s="44"/>
      <c r="L1037" s="54"/>
    </row>
    <row r="1038" spans="1:12" s="4" customFormat="1" outlineLevel="1" x14ac:dyDescent="0.4">
      <c r="A1038" s="765"/>
      <c r="B1038" s="51"/>
      <c r="C1038" s="134"/>
      <c r="D1038" s="141"/>
      <c r="E1038" s="144"/>
      <c r="F1038" s="1"/>
      <c r="G1038" s="1"/>
      <c r="H1038" s="43"/>
      <c r="I1038" s="27" t="str">
        <f t="shared" si="20"/>
        <v/>
      </c>
      <c r="J1038" s="31" t="str">
        <f>IFERROR(IF(C1038&gt;0,IF(ISBLANK(E1038),"Insert data",IF(E1013="No",0,IF(D1038="kg",E1038*INDEX(Chemical_Emission_Factors,MATCH(C1038,Chemicals,0))/(D1016*1000),IF(D1038="tonnes",E1038*INDEX(Chemical_Emission_Factors,MATCH(C1038,Chemicals,0))*1000/(D1016*1000),IF(D1038="kg/tonne(output)",E1038*INDEX(Chemical_Emission_Factors,MATCH(C1038,Chemicals,0))/1000,IF(D1038="tonnes/tonne(output)",E1038*INDEX(Chemical_Emission_Factors,MATCH(C1038,Chemicals,0))*1000/1000,"Insert unit")))))),""),"Insert data")</f>
        <v/>
      </c>
      <c r="K1038" s="44"/>
      <c r="L1038" s="54"/>
    </row>
    <row r="1039" spans="1:12" s="4" customFormat="1" outlineLevel="1" x14ac:dyDescent="0.4">
      <c r="A1039" s="765"/>
      <c r="B1039" s="51"/>
      <c r="C1039" s="134"/>
      <c r="D1039" s="141"/>
      <c r="E1039" s="144"/>
      <c r="F1039" s="1"/>
      <c r="G1039" s="1"/>
      <c r="H1039" s="43"/>
      <c r="I1039" s="27" t="str">
        <f t="shared" si="20"/>
        <v/>
      </c>
      <c r="J1039" s="31" t="str">
        <f>IFERROR(IF(C1039&gt;0,IF(ISBLANK(E1039),"Insert data",IF(E1013="No",0,IF(D1039="kg",E1039*INDEX(Chemical_Emission_Factors,MATCH(C1039,Chemicals,0))/(D1016*1000),IF(D1039="tonnes",E1039*INDEX(Chemical_Emission_Factors,MATCH(C1039,Chemicals,0))*1000/(D1016*1000),IF(D1039="kg/tonne(output)",E1039*INDEX(Chemical_Emission_Factors,MATCH(C1039,Chemicals,0))/1000,IF(D1039="tonnes/tonne(output)",E1039*INDEX(Chemical_Emission_Factors,MATCH(C1039,Chemicals,0))*1000/1000,"Insert unit")))))),""),"Insert data")</f>
        <v/>
      </c>
      <c r="K1039" s="44"/>
      <c r="L1039" s="54"/>
    </row>
    <row r="1040" spans="1:12" s="4" customFormat="1" ht="12.75" customHeight="1" outlineLevel="1" x14ac:dyDescent="0.4">
      <c r="B1040" s="20"/>
      <c r="C1040" s="21"/>
      <c r="D1040" s="21"/>
      <c r="E1040" s="21"/>
      <c r="F1040" s="1"/>
      <c r="G1040" s="21"/>
      <c r="H1040" s="46"/>
      <c r="I1040" s="58"/>
      <c r="J1040" s="58"/>
      <c r="K1040" s="59"/>
      <c r="L1040" s="35"/>
    </row>
    <row r="1041" spans="2:12" s="4" customFormat="1" outlineLevel="1" x14ac:dyDescent="0.4">
      <c r="B1041" s="20"/>
      <c r="C1041" s="243" t="s">
        <v>193</v>
      </c>
      <c r="D1041" s="21"/>
      <c r="E1041" s="21"/>
      <c r="F1041" s="1"/>
      <c r="G1041" s="21"/>
      <c r="H1041" s="21"/>
      <c r="I1041" s="21"/>
      <c r="J1041" s="21"/>
      <c r="K1041" s="21"/>
      <c r="L1041" s="35"/>
    </row>
    <row r="1042" spans="2:12" s="4" customFormat="1" outlineLevel="1" x14ac:dyDescent="0.4">
      <c r="B1042" s="20"/>
      <c r="C1042" s="766" t="s">
        <v>194</v>
      </c>
      <c r="D1042" s="767"/>
      <c r="E1042" s="299" t="s">
        <v>178</v>
      </c>
      <c r="F1042" s="1"/>
      <c r="G1042" s="21"/>
      <c r="H1042" s="302"/>
      <c r="I1042" s="47"/>
      <c r="J1042" s="47"/>
      <c r="K1042" s="45"/>
      <c r="L1042" s="35"/>
    </row>
    <row r="1043" spans="2:12" s="4" customFormat="1" ht="6.75" customHeight="1" outlineLevel="1" x14ac:dyDescent="0.4">
      <c r="B1043" s="20"/>
      <c r="C1043" s="21"/>
      <c r="D1043" s="21"/>
      <c r="E1043" s="21"/>
      <c r="F1043" s="1"/>
      <c r="G1043" s="21"/>
      <c r="H1043" s="41"/>
      <c r="I1043" s="36"/>
      <c r="J1043" s="301"/>
      <c r="K1043" s="37"/>
      <c r="L1043" s="35"/>
    </row>
    <row r="1044" spans="2:12" s="4" customFormat="1" outlineLevel="1" x14ac:dyDescent="0.4">
      <c r="B1044" s="20"/>
      <c r="C1044" s="21"/>
      <c r="D1044" s="164" t="s">
        <v>151</v>
      </c>
      <c r="E1044" s="164" t="s">
        <v>140</v>
      </c>
      <c r="F1044" s="1"/>
      <c r="G1044" s="21"/>
      <c r="H1044" s="41"/>
      <c r="I1044" s="36"/>
      <c r="J1044" s="164" t="s">
        <v>195</v>
      </c>
      <c r="K1044" s="37"/>
      <c r="L1044" s="35"/>
    </row>
    <row r="1045" spans="2:12" s="4" customFormat="1" outlineLevel="1" x14ac:dyDescent="0.4">
      <c r="B1045" s="20"/>
      <c r="C1045" s="164" t="s">
        <v>196</v>
      </c>
      <c r="D1045" s="297" t="s">
        <v>197</v>
      </c>
      <c r="E1045" s="299"/>
      <c r="F1045" s="1"/>
      <c r="G1045" s="21"/>
      <c r="H1045" s="41"/>
      <c r="I1045" s="164" t="s">
        <v>198</v>
      </c>
      <c r="J1045" s="309" t="str">
        <f>IFERROR(IF(E1042="No", "", IF(AND(E1042="yes",OR(ISBLANK(E1045),ISBLANK(E1046),ISBLANK(E1047))),"Insert data",E1046/(E1046+E1047*E1045))), "")</f>
        <v/>
      </c>
      <c r="K1045" s="37"/>
      <c r="L1045" s="35"/>
    </row>
    <row r="1046" spans="2:12" s="4" customFormat="1" outlineLevel="1" x14ac:dyDescent="0.4">
      <c r="B1046" s="20"/>
      <c r="C1046" s="164" t="s">
        <v>199</v>
      </c>
      <c r="D1046" s="296" t="s">
        <v>200</v>
      </c>
      <c r="E1046" s="299"/>
      <c r="F1046" s="1"/>
      <c r="G1046" s="21"/>
      <c r="H1046" s="41"/>
      <c r="I1046" s="164" t="s">
        <v>201</v>
      </c>
      <c r="J1046" s="309" t="str">
        <f>IFERROR(IF(E1042="No", "", IF(AND(E1042="yes",OR(ISBLANK(E1045),ISBLANK(E1046),ISBLANK(E1047))),"Insert data",(E1047*E1045)/(E1047*E1045+E1046))),"")</f>
        <v/>
      </c>
      <c r="K1046" s="37"/>
      <c r="L1046" s="35"/>
    </row>
    <row r="1047" spans="2:12" s="4" customFormat="1" outlineLevel="1" x14ac:dyDescent="0.4">
      <c r="B1047" s="20"/>
      <c r="C1047" s="164" t="s">
        <v>202</v>
      </c>
      <c r="D1047" s="296" t="s">
        <v>200</v>
      </c>
      <c r="E1047" s="299"/>
      <c r="F1047" s="1"/>
      <c r="G1047" s="21"/>
      <c r="H1047" s="46"/>
      <c r="I1047" s="58"/>
      <c r="J1047" s="58"/>
      <c r="K1047" s="59"/>
      <c r="L1047" s="35"/>
    </row>
    <row r="1048" spans="2:12" s="4" customFormat="1" ht="6.75" customHeight="1" outlineLevel="1" x14ac:dyDescent="0.4">
      <c r="B1048" s="20"/>
      <c r="C1048" s="21"/>
      <c r="D1048" s="21"/>
      <c r="E1048" s="21"/>
      <c r="F1048" s="21"/>
      <c r="G1048" s="21"/>
      <c r="H1048" s="21"/>
      <c r="I1048" s="21"/>
      <c r="J1048" s="21"/>
      <c r="K1048" s="21"/>
      <c r="L1048" s="35"/>
    </row>
    <row r="1049" spans="2:12" s="4" customFormat="1" ht="12.75" customHeight="1" outlineLevel="1" x14ac:dyDescent="0.4">
      <c r="B1049" s="20"/>
      <c r="C1049" s="300" t="s">
        <v>203</v>
      </c>
      <c r="D1049" s="21"/>
      <c r="E1049" s="21"/>
      <c r="F1049" s="21"/>
      <c r="G1049" s="21"/>
      <c r="H1049" s="21"/>
      <c r="I1049" s="21"/>
      <c r="J1049" s="21"/>
      <c r="K1049" s="21"/>
      <c r="L1049" s="35"/>
    </row>
    <row r="1050" spans="2:12" s="4" customFormat="1" ht="12.75" customHeight="1" outlineLevel="1" x14ac:dyDescent="0.4">
      <c r="B1050" s="20"/>
      <c r="C1050" s="300" t="s">
        <v>204</v>
      </c>
      <c r="D1050" s="21"/>
      <c r="E1050" s="21"/>
      <c r="F1050" s="21"/>
      <c r="G1050" s="21"/>
      <c r="H1050" s="21"/>
      <c r="I1050" s="21"/>
      <c r="J1050" s="21"/>
      <c r="K1050" s="21"/>
      <c r="L1050" s="35"/>
    </row>
    <row r="1051" spans="2:12" s="4" customFormat="1" ht="6.75" customHeight="1" outlineLevel="1" x14ac:dyDescent="0.4">
      <c r="B1051" s="28"/>
      <c r="C1051" s="298"/>
      <c r="D1051" s="29"/>
      <c r="E1051" s="29"/>
      <c r="F1051" s="29"/>
      <c r="G1051" s="29"/>
      <c r="H1051" s="29"/>
      <c r="I1051" s="29"/>
      <c r="J1051" s="29"/>
      <c r="K1051" s="29"/>
      <c r="L1051" s="60"/>
    </row>
    <row r="1052" spans="2:12" s="4" customFormat="1" x14ac:dyDescent="0.4"/>
    <row r="1053" spans="2:12" s="4" customFormat="1" hidden="1" x14ac:dyDescent="0.4"/>
    <row r="1054" spans="2:12" s="4" customFormat="1" hidden="1" x14ac:dyDescent="0.4"/>
    <row r="1055" spans="2:12" s="4" customFormat="1" hidden="1" x14ac:dyDescent="0.4"/>
    <row r="1056" spans="2:12" s="4" customFormat="1" hidden="1" x14ac:dyDescent="0.4"/>
    <row r="1057" spans="1:14" s="4" customFormat="1" hidden="1" x14ac:dyDescent="0.4"/>
    <row r="1058" spans="1:14" s="4" customFormat="1" ht="19.2" x14ac:dyDescent="0.45">
      <c r="B1058" s="754" t="str">
        <f>"Feedstock Conversion"&amp;" - "&amp;Feedstocks!C35</f>
        <v xml:space="preserve">Feedstock Conversion - </v>
      </c>
      <c r="C1058" s="755"/>
      <c r="D1058" s="755"/>
      <c r="E1058" s="755"/>
      <c r="F1058" s="755"/>
      <c r="G1058" s="755"/>
      <c r="H1058" s="755"/>
      <c r="I1058" s="755"/>
      <c r="J1058" s="755"/>
      <c r="K1058" s="755"/>
      <c r="L1058" s="756"/>
    </row>
    <row r="1059" spans="1:14" s="4" customFormat="1" outlineLevel="1" x14ac:dyDescent="0.4">
      <c r="B1059" s="17"/>
      <c r="C1059" s="19"/>
      <c r="D1059" s="1"/>
      <c r="E1059" s="19"/>
      <c r="F1059" s="19"/>
      <c r="G1059" s="19"/>
      <c r="H1059" s="19"/>
      <c r="I1059" s="19"/>
      <c r="J1059" s="19"/>
      <c r="K1059" s="19"/>
      <c r="L1059" s="50"/>
    </row>
    <row r="1060" spans="1:14" s="4" customFormat="1" outlineLevel="1" x14ac:dyDescent="0.4">
      <c r="B1060" s="20"/>
      <c r="C1060" s="1"/>
      <c r="D1060" s="1"/>
      <c r="E1060" s="1"/>
      <c r="F1060" s="1"/>
      <c r="G1060" s="1"/>
      <c r="H1060" s="69" t="s">
        <v>122</v>
      </c>
      <c r="I1060" s="47"/>
      <c r="J1060" s="47"/>
      <c r="K1060" s="45"/>
      <c r="L1060" s="35"/>
    </row>
    <row r="1061" spans="1:14" s="4" customFormat="1" outlineLevel="1" x14ac:dyDescent="0.4">
      <c r="B1061" s="20"/>
      <c r="C1061" s="1"/>
      <c r="D1061" s="1"/>
      <c r="E1061" s="1"/>
      <c r="F1061" s="1"/>
      <c r="G1061" s="76"/>
      <c r="H1061" s="41"/>
      <c r="I1061" s="36"/>
      <c r="J1061" s="164" t="s">
        <v>124</v>
      </c>
      <c r="K1061" s="37"/>
      <c r="L1061" s="35"/>
    </row>
    <row r="1062" spans="1:14" s="4" customFormat="1" outlineLevel="1" x14ac:dyDescent="0.4">
      <c r="B1062" s="20"/>
      <c r="C1062" s="21"/>
      <c r="D1062" s="21"/>
      <c r="E1062" s="21"/>
      <c r="F1062" s="1"/>
      <c r="G1062" s="1"/>
      <c r="H1062" s="41"/>
      <c r="I1062" s="164" t="s">
        <v>125</v>
      </c>
      <c r="J1062" s="52" t="str">
        <f>IFERROR((J1066/('Transport 2'!F2835*('Digestion &amp; outputs'!$G$33/1000)))*'Digestion &amp; outputs'!$K$23,"")</f>
        <v/>
      </c>
      <c r="K1062" s="37"/>
      <c r="L1062" s="35"/>
    </row>
    <row r="1063" spans="1:14" s="4" customFormat="1" ht="16.5" customHeight="1" outlineLevel="1" x14ac:dyDescent="0.4">
      <c r="B1063" s="20"/>
      <c r="C1063" s="759" t="s">
        <v>183</v>
      </c>
      <c r="D1063" s="759"/>
      <c r="E1063" s="134" t="s">
        <v>178</v>
      </c>
      <c r="F1063" s="1"/>
      <c r="G1063" s="1"/>
      <c r="H1063" s="41"/>
      <c r="I1063" s="36"/>
      <c r="J1063" s="36"/>
      <c r="K1063" s="37"/>
      <c r="L1063" s="35"/>
    </row>
    <row r="1064" spans="1:14" s="4" customFormat="1" outlineLevel="1" x14ac:dyDescent="0.4">
      <c r="B1064" s="20"/>
      <c r="C1064" s="763" t="s">
        <v>184</v>
      </c>
      <c r="D1064" s="764"/>
      <c r="E1064" s="134" t="s">
        <v>96</v>
      </c>
      <c r="F1064" s="1"/>
      <c r="G1064" s="1"/>
      <c r="H1064" s="41"/>
      <c r="I1064" s="36"/>
      <c r="J1064" s="36"/>
      <c r="K1064" s="37"/>
      <c r="L1064" s="35"/>
    </row>
    <row r="1065" spans="1:14" s="4" customFormat="1" outlineLevel="1" x14ac:dyDescent="0.4">
      <c r="B1065" s="20"/>
      <c r="C1065" s="21"/>
      <c r="D1065" s="21"/>
      <c r="E1065" s="21"/>
      <c r="F1065" s="1"/>
      <c r="G1065" s="1"/>
      <c r="H1065" s="43"/>
      <c r="I1065" s="34"/>
      <c r="J1065" s="164" t="s">
        <v>141</v>
      </c>
      <c r="K1065" s="44"/>
      <c r="L1065" s="35"/>
    </row>
    <row r="1066" spans="1:14" s="4" customFormat="1" outlineLevel="1" x14ac:dyDescent="0.4">
      <c r="A1066" s="765"/>
      <c r="B1066" s="51"/>
      <c r="C1066" s="164" t="s">
        <v>185</v>
      </c>
      <c r="D1066" s="70">
        <f>IFERROR(Feedstocks!D35/'Transport 2'!F1069,"Insert data")</f>
        <v>0</v>
      </c>
      <c r="E1066" s="21"/>
      <c r="F1066" s="1"/>
      <c r="G1066" s="1"/>
      <c r="H1066" s="43"/>
      <c r="I1066" s="164" t="s">
        <v>167</v>
      </c>
      <c r="J1066" s="52">
        <f>IFERROR(IF(AND(E1063="YES",ISBLANK(F1067)),"Insert yield",SUM(J1082:J1089,J1075:J1078,J1071)*IF(E1092="Yes",J1095,1)),"Insert data")</f>
        <v>0</v>
      </c>
      <c r="K1066" s="44"/>
      <c r="L1066" s="35"/>
    </row>
    <row r="1067" spans="1:14" s="4" customFormat="1" outlineLevel="1" x14ac:dyDescent="0.4">
      <c r="A1067" s="765"/>
      <c r="B1067" s="51"/>
      <c r="C1067" s="164" t="s">
        <v>186</v>
      </c>
      <c r="D1067" s="680">
        <v>0.9</v>
      </c>
      <c r="E1067" s="134"/>
      <c r="F1067" s="623">
        <f>IF(E1063="No", 1, IF(E1064="Default",D1067, IF(E1064="Actual", IF(E1067&gt;0, E1067, "insert data"), "error")))</f>
        <v>1</v>
      </c>
      <c r="G1067" s="1"/>
      <c r="H1067" s="49"/>
      <c r="I1067" s="65"/>
      <c r="J1067" s="65"/>
      <c r="K1067" s="66"/>
      <c r="L1067" s="35"/>
    </row>
    <row r="1068" spans="1:14" s="4" customFormat="1" outlineLevel="1" x14ac:dyDescent="0.4">
      <c r="A1068" s="765"/>
      <c r="B1068" s="51"/>
      <c r="C1068" s="21"/>
      <c r="D1068" s="21"/>
      <c r="E1068" s="21"/>
      <c r="F1068" s="1"/>
      <c r="G1068" s="21"/>
      <c r="H1068" s="29"/>
      <c r="I1068" s="29"/>
      <c r="J1068" s="29"/>
      <c r="K1068" s="29"/>
      <c r="L1068" s="35"/>
    </row>
    <row r="1069" spans="1:14" s="4" customFormat="1" outlineLevel="1" x14ac:dyDescent="0.4">
      <c r="A1069" s="765"/>
      <c r="B1069" s="51"/>
      <c r="C1069" s="25" t="s">
        <v>187</v>
      </c>
      <c r="D1069" s="1"/>
      <c r="E1069" s="1"/>
      <c r="F1069" s="1"/>
      <c r="G1069" s="1"/>
      <c r="H1069" s="69" t="s">
        <v>136</v>
      </c>
      <c r="I1069" s="79"/>
      <c r="J1069" s="79"/>
      <c r="K1069" s="61"/>
      <c r="L1069" s="54"/>
      <c r="M1069" s="12"/>
      <c r="N1069" s="12"/>
    </row>
    <row r="1070" spans="1:14" s="4" customFormat="1" outlineLevel="1" x14ac:dyDescent="0.4">
      <c r="A1070" s="765"/>
      <c r="B1070" s="51"/>
      <c r="C1070" s="166" t="s">
        <v>188</v>
      </c>
      <c r="D1070" s="164" t="s">
        <v>151</v>
      </c>
      <c r="E1070" s="164" t="s">
        <v>140</v>
      </c>
      <c r="F1070" s="1"/>
      <c r="G1070" s="1"/>
      <c r="H1070" s="43"/>
      <c r="I1070" s="34"/>
      <c r="J1070" s="164" t="s">
        <v>141</v>
      </c>
      <c r="K1070" s="44"/>
      <c r="L1070" s="54"/>
    </row>
    <row r="1071" spans="1:14" s="4" customFormat="1" outlineLevel="1" x14ac:dyDescent="0.4">
      <c r="A1071" s="765"/>
      <c r="B1071" s="51"/>
      <c r="C1071" s="145"/>
      <c r="D1071" s="141"/>
      <c r="E1071" s="144"/>
      <c r="F1071" s="1"/>
      <c r="G1071" s="1"/>
      <c r="H1071" s="43"/>
      <c r="I1071" s="164" t="s">
        <v>189</v>
      </c>
      <c r="J1071" s="31">
        <f>IFERROR(IF(E1063="No",0,IF(D1071="MWh",(E1071*'Reference values'!$D$47*INDEX(Electricity_Emission_Factors,MATCH(C1071,Electricity_Source,0)))/(D1066*1000),IF(D1071="kWh",(E1071*'Reference values'!$D$47*INDEX(Electricity_Emission_Factors,MATCH(C1071,Electricity_Source,0))/1000)/(D1066*1000),IF(D1071="MWh/tonne(output)",(E1071*'Reference values'!$D$47*INDEX(Electricity_Emission_Factors,MATCH(C1071,Electricity_Source,0)))/1000,IF(D1071="kWh/tonne(output)",(E1071*'Reference values'!$D$47*INDEX(Electricity_Emission_Factors,MATCH(C1071,Electricity_Source,0))/1000)/1000,""))))),"")</f>
        <v>0</v>
      </c>
      <c r="K1071" s="44"/>
      <c r="L1071" s="54"/>
    </row>
    <row r="1072" spans="1:14" s="4" customFormat="1" outlineLevel="1" x14ac:dyDescent="0.4">
      <c r="A1072" s="765"/>
      <c r="B1072" s="51"/>
      <c r="C1072" s="1"/>
      <c r="D1072" s="1"/>
      <c r="E1072" s="1"/>
      <c r="F1072" s="1"/>
      <c r="G1072" s="1"/>
      <c r="H1072" s="43"/>
      <c r="I1072" s="34"/>
      <c r="J1072" s="34"/>
      <c r="K1072" s="44"/>
      <c r="L1072" s="54"/>
    </row>
    <row r="1073" spans="1:12" s="4" customFormat="1" outlineLevel="1" x14ac:dyDescent="0.4">
      <c r="A1073" s="765"/>
      <c r="B1073" s="51"/>
      <c r="C1073" s="25" t="s">
        <v>190</v>
      </c>
      <c r="D1073" s="1"/>
      <c r="E1073" s="1"/>
      <c r="F1073" s="1"/>
      <c r="G1073" s="1"/>
      <c r="H1073" s="43"/>
      <c r="I1073" s="34"/>
      <c r="J1073" s="34"/>
      <c r="K1073" s="44"/>
      <c r="L1073" s="54"/>
    </row>
    <row r="1074" spans="1:12" s="4" customFormat="1" outlineLevel="1" x14ac:dyDescent="0.4">
      <c r="A1074" s="765"/>
      <c r="B1074" s="51"/>
      <c r="C1074" s="164" t="s">
        <v>160</v>
      </c>
      <c r="D1074" s="164" t="s">
        <v>151</v>
      </c>
      <c r="E1074" s="164" t="s">
        <v>140</v>
      </c>
      <c r="F1074" s="1"/>
      <c r="G1074" s="1"/>
      <c r="H1074" s="43"/>
      <c r="I1074" s="164" t="s">
        <v>160</v>
      </c>
      <c r="J1074" s="182" t="s">
        <v>141</v>
      </c>
      <c r="K1074" s="44"/>
      <c r="L1074" s="54"/>
    </row>
    <row r="1075" spans="1:12" s="4" customFormat="1" outlineLevel="1" x14ac:dyDescent="0.4">
      <c r="A1075" s="765"/>
      <c r="B1075" s="51"/>
      <c r="C1075" s="27" t="str">
        <f>IF(E1064="Default", "Diesel", "")</f>
        <v>Diesel</v>
      </c>
      <c r="D1075" s="74" t="str">
        <f>IF(E1064="Default", "kWh/tonne(output)", "")</f>
        <v>kWh/tonne(output)</v>
      </c>
      <c r="E1075" s="74">
        <f>IF(E1064="Default", 3.881, "")</f>
        <v>3.8809999999999998</v>
      </c>
      <c r="F1075" s="1"/>
      <c r="G1075" s="1"/>
      <c r="H1075" s="43"/>
      <c r="I1075" s="27" t="str">
        <f>IF(C1075&gt;0,C1075,"")</f>
        <v>Diesel</v>
      </c>
      <c r="J1075" s="31">
        <f>IF(E1064="Actual","",IFERROR(IF(C1075&gt;0,IF(ISBLANK(E1075),"Insert data",IF(E1063="No",0,(IF(D1075="litres",(E1075*(INDEX(Fuel_Densities,MATCH(C1075,Fuels_for_Densities,0))/1000)*INDEX(Fuel_LHV,MATCH(C1075,Fuels_for_LHV,0))*INDEX(Fuel_EFs,MATCH(C1075,Fuels_for_EF,0)))/(D1066*1000),(IF(D1075="m3",(E1075*(INDEX(Fuel_Densities,MATCH(C1075,Fuels_for_Densities,0)))*INDEX(Fuel_LHV,MATCH(C1075,Fuels_for_LHV,0))*INDEX(Fuel_EFs,MATCH(C1075,Fuels_for_EF,0)))/(D1066*1000),IF(D1075="kg",(E1075*INDEX(Fuel_LHV,MATCH(C1075,Fuels_for_LHV,0))*INDEX(Fuel_EFs,MATCH(C1075,Fuels_for_EF,0)))/(D1066*1000),IF(D1075="tonnes",(E1075*INDEX(Fuel_LHV,MATCH(C1075,Fuels_for_LHV,0))*1000*INDEX(Fuel_EFs,MATCH(C1075,Fuels_for_EF,0)))/(D1066*1000),IF(D1075="MWh",(E1075*'Reference values'!$D$47*INDEX(Fuel_EFs,MATCH(C1075,Fuels_for_EF,0)))/(D1066*1000),IF(D1075="kWh",(E1075*'Reference values'!$D$47*INDEX(Fuel_EFs,MATCH(C1075,Fuels_for_EF,0))/1000)/(D1066*1000),(IF(D1075="litres/tonne(output)",(E1075*(INDEX(Fuel_Densities,MATCH(C1075,Fuels_for_Densities,0))/1000)*INDEX(Fuel_LHV,MATCH(C1075,Fuels_for_LHV,0))*INDEX(Fuel_EFs,MATCH(C1075,Fuels_for_EF,0)))/1000,(IF(D1075="m3/tonne(output)",(E1075*(INDEX(Fuel_Densities,MATCH(C1075,Fuels_for_Densities,0)))*INDEX(Fuel_LHV,MATCH(C1075,Fuels_for_LHV,0))*INDEX(Fuel_EFs,MATCH(C1075,Fuels_for_EF,0)))/1000,IF(D1075="kg/tonne(output)",(E1075*INDEX(Fuel_LHV,MATCH(C1075,Fuels_for_LHV,0))*INDEX(Fuel_EFs,MATCH(C1075,Fuels_for_EF,0)))/1000,IF(D1075="tonnes/tonne(output)",(E1075*INDEX(Fuel_LHV,MATCH(C1075,Fuels_for_LHV,0))*1000*INDEX(Fuel_EFs,MATCH(C1075,Fuels_for_EF,0)))/1000,IF(D1075="MWh/tonne(output)",(E1075*'Reference values'!$D$47*INDEX(Fuel_EFs,MATCH(C1075,Fuels_for_EF,0)))/1000,IF(D1075="kWh/tonne(output)",(E1075*'Reference values'!$D$47*INDEX(Fuel_EFs,MATCH(C1075,Fuels_for_EF,0))/1000)/1000,"Insert unit")))))))))))))))))),""),"Insert data"))</f>
        <v>0</v>
      </c>
      <c r="K1075" s="44"/>
      <c r="L1075" s="54"/>
    </row>
    <row r="1076" spans="1:12" s="4" customFormat="1" outlineLevel="1" x14ac:dyDescent="0.4">
      <c r="A1076" s="765"/>
      <c r="B1076" s="51"/>
      <c r="C1076" s="134"/>
      <c r="D1076" s="141"/>
      <c r="E1076" s="144"/>
      <c r="F1076" s="1"/>
      <c r="G1076" s="1"/>
      <c r="H1076" s="43"/>
      <c r="I1076" s="27" t="str">
        <f>IF(C1076&gt;0,C1076,"")</f>
        <v/>
      </c>
      <c r="J1076" s="31" t="str">
        <f>IFERROR(IF(C1076&gt;0,IF(ISBLANK(E1076),"Insert data",IF(E1063="No",0,(IF(D1076="litres",(E1076*(INDEX(Fuel_Densities,MATCH(C1076,Fuels_for_Densities,0))/1000)*INDEX(Fuel_LHV,MATCH(C1076,Fuels_for_LHV,0))*INDEX(Fuel_EFs,MATCH(C1076,Fuels_for_EF,0)))/(D1066*1000),(IF(D1076="m3",(E1076*(INDEX(Fuel_Densities,MATCH(C1076,Fuels_for_Densities,0)))*INDEX(Fuel_LHV,MATCH(C1076,Fuels_for_LHV,0))*INDEX(Fuel_EFs,MATCH(C1076,Fuels_for_EF,0)))/(D1066*1000),IF(D1076="kg",(E1076*INDEX(Fuel_LHV,MATCH(C1076,Fuels_for_LHV,0))*INDEX(Fuel_EFs,MATCH(C1076,Fuels_for_EF,0)))/(D1066*1000),IF(D1076="tonnes",(E1076*INDEX(Fuel_LHV,MATCH(C1076,Fuels_for_LHV,0))*1000*INDEX(Fuel_EFs,MATCH(C1076,Fuels_for_EF,0)))/(D1066*1000),IF(D1076="MWh",(E1076*'Reference values'!$D$47*INDEX(Fuel_EFs,MATCH(C1076,Fuels_for_EF,0)))/(D1066*1000),IF(D1076="kWh",(E1076*'Reference values'!$D$47*INDEX(Fuel_EFs,MATCH(C1076,Fuels_for_EF,0))/1000)/(D1066*1000),(IF(D1076="litres/tonne(output)",(E1076*(INDEX(Fuel_Densities,MATCH(C1076,Fuels_for_Densities,0))/1000)*INDEX(Fuel_LHV,MATCH(C1076,Fuels_for_LHV,0))*INDEX(Fuel_EFs,MATCH(C1076,Fuels_for_EF,0)))/1000,(IF(D1076="m3/tonne(output)",(E1076*(INDEX(Fuel_Densities,MATCH(C1076,Fuels_for_Densities,0)))*INDEX(Fuel_LHV,MATCH(C1076,Fuels_for_LHV,0))*INDEX(Fuel_EFs,MATCH(C1076,Fuels_for_EF,0)))/1000,IF(D1076="kg/tonne(output)",(E1076*INDEX(Fuel_LHV,MATCH(C1076,Fuels_for_LHV,0))*INDEX(Fuel_EFs,MATCH(C1076,Fuels_for_EF,0)))/1000,IF(D1076="tonnes/tonne(output)",(E1076*INDEX(Fuel_LHV,MATCH(C1076,Fuels_for_LHV,0))*1000*INDEX(Fuel_EFs,MATCH(C1076,Fuels_for_EF,0)))/1000,IF(D1076="MWh/tonne(output)",(E1076*'Reference values'!$D$47*INDEX(Fuel_EFs,MATCH(C1076,Fuels_for_EF,0)))/1000,IF(D1076="kWh/tonne(output)",(E1076*'Reference values'!$D$47*INDEX(Fuel_EFs,MATCH(C1076,Fuels_for_EF,0))/1000)/1000,"Insert unit")))))))))))))))))),""),"Insert data")</f>
        <v/>
      </c>
      <c r="K1076" s="44"/>
      <c r="L1076" s="54"/>
    </row>
    <row r="1077" spans="1:12" s="4" customFormat="1" outlineLevel="1" x14ac:dyDescent="0.4">
      <c r="A1077" s="765"/>
      <c r="B1077" s="51"/>
      <c r="C1077" s="134"/>
      <c r="D1077" s="141"/>
      <c r="E1077" s="144"/>
      <c r="F1077" s="1"/>
      <c r="G1077" s="1"/>
      <c r="H1077" s="43"/>
      <c r="I1077" s="27" t="str">
        <f>IF(C1077&gt;0,C1077,"")</f>
        <v/>
      </c>
      <c r="J1077" s="31" t="str">
        <f>IFERROR(IF(C1077&gt;0,IF(ISBLANK(E1077),"Insert data",IF(E1063="No",0,(IF(D1077="litres",(E1077*(INDEX(Fuel_Densities,MATCH(C1077,Fuels_for_Densities,0))/1000)*INDEX(Fuel_LHV,MATCH(C1077,Fuels_for_LHV,0))*INDEX(Fuel_EFs,MATCH(C1077,Fuels_for_EF,0)))/(D1066*1000),(IF(D1077="m3",(E1077*(INDEX(Fuel_Densities,MATCH(C1077,Fuels_for_Densities,0)))*INDEX(Fuel_LHV,MATCH(C1077,Fuels_for_LHV,0))*INDEX(Fuel_EFs,MATCH(C1077,Fuels_for_EF,0)))/(D1066*1000),IF(D1077="kg",(E1077*INDEX(Fuel_LHV,MATCH(C1077,Fuels_for_LHV,0))*INDEX(Fuel_EFs,MATCH(C1077,Fuels_for_EF,0)))/(D1066*1000),IF(D1077="tonnes",(E1077*INDEX(Fuel_LHV,MATCH(C1077,Fuels_for_LHV,0))*1000*INDEX(Fuel_EFs,MATCH(C1077,Fuels_for_EF,0)))/(D1066*1000),IF(D1077="MWh",(E1077*'Reference values'!$D$47*INDEX(Fuel_EFs,MATCH(C1077,Fuels_for_EF,0)))/(D1066*1000),IF(D1077="kWh",(E1077*'Reference values'!$D$47*INDEX(Fuel_EFs,MATCH(C1077,Fuels_for_EF,0))/1000)/(D1066*1000),(IF(D1077="litres/tonne(output)",(E1077*(INDEX(Fuel_Densities,MATCH(C1077,Fuels_for_Densities,0))/1000)*INDEX(Fuel_LHV,MATCH(C1077,Fuels_for_LHV,0))*INDEX(Fuel_EFs,MATCH(C1077,Fuels_for_EF,0)))/1000,(IF(D1077="m3/tonne(output)",(E1077*(INDEX(Fuel_Densities,MATCH(C1077,Fuels_for_Densities,0)))*INDEX(Fuel_LHV,MATCH(C1077,Fuels_for_LHV,0))*INDEX(Fuel_EFs,MATCH(C1077,Fuels_for_EF,0)))/1000,IF(D1077="kg/tonne(output)",(E1077*INDEX(Fuel_LHV,MATCH(C1077,Fuels_for_LHV,0))*INDEX(Fuel_EFs,MATCH(C1077,Fuels_for_EF,0)))/1000,IF(D1077="tonnes/tonne(output)",(E1077*INDEX(Fuel_LHV,MATCH(C1077,Fuels_for_LHV,0))*1000*INDEX(Fuel_EFs,MATCH(C1077,Fuels_for_EF,0)))/1000,IF(D1077="MWh/tonne(output)",(E1077*'Reference values'!$D$47*INDEX(Fuel_EFs,MATCH(C1077,Fuels_for_EF,0)))/1000,IF(D1077="kWh/tonne(output)",(E1077*'Reference values'!$D$47*INDEX(Fuel_EFs,MATCH(C1077,Fuels_for_EF,0))/1000)/1000,"Insert unit")))))))))))))))))),""),"Insert data")</f>
        <v/>
      </c>
      <c r="K1077" s="44"/>
      <c r="L1077" s="54"/>
    </row>
    <row r="1078" spans="1:12" s="4" customFormat="1" outlineLevel="1" x14ac:dyDescent="0.4">
      <c r="A1078" s="765"/>
      <c r="B1078" s="51"/>
      <c r="C1078" s="134"/>
      <c r="D1078" s="141"/>
      <c r="E1078" s="144"/>
      <c r="F1078" s="1"/>
      <c r="G1078" s="1"/>
      <c r="H1078" s="43"/>
      <c r="I1078" s="27" t="str">
        <f>IF(C1078&gt;0,C1078,"")</f>
        <v/>
      </c>
      <c r="J1078" s="31" t="str">
        <f>IFERROR(IF(C1078&gt;0,IF(ISBLANK(E1078),"Insert data",IF(E1063="No",0,(IF(D1078="litres",(E1078*(INDEX(Fuel_Densities,MATCH(C1078,Fuels_for_Densities,0))/1000)*INDEX(Fuel_LHV,MATCH(C1078,Fuels_for_LHV,0))*INDEX(Fuel_EFs,MATCH(C1078,Fuels_for_EF,0)))/(D1066*1000),(IF(D1078="m3",(E1078*(INDEX(Fuel_Densities,MATCH(C1078,Fuels_for_Densities,0)))*INDEX(Fuel_LHV,MATCH(C1078,Fuels_for_LHV,0))*INDEX(Fuel_EFs,MATCH(C1078,Fuels_for_EF,0)))/(D1066*1000),IF(D1078="kg",(E1078*INDEX(Fuel_LHV,MATCH(C1078,Fuels_for_LHV,0))*INDEX(Fuel_EFs,MATCH(C1078,Fuels_for_EF,0)))/(D1066*1000),IF(D1078="tonnes",(E1078*INDEX(Fuel_LHV,MATCH(C1078,Fuels_for_LHV,0))*1000*INDEX(Fuel_EFs,MATCH(C1078,Fuels_for_EF,0)))/(D1066*1000),IF(D1078="MWh",(E1078*'Reference values'!$D$47*INDEX(Fuel_EFs,MATCH(C1078,Fuels_for_EF,0)))/(D1066*1000),IF(D1078="kWh",(E1078*'Reference values'!$D$47*INDEX(Fuel_EFs,MATCH(C1078,Fuels_for_EF,0))/1000)/(D1066*1000),(IF(D1078="litres/tonne(output)",(E1078*(INDEX(Fuel_Densities,MATCH(C1078,Fuels_for_Densities,0))/1000)*INDEX(Fuel_LHV,MATCH(C1078,Fuels_for_LHV,0))*INDEX(Fuel_EFs,MATCH(C1078,Fuels_for_EF,0)))/1000,(IF(D1078="m3/tonne(output)",(E1078*(INDEX(Fuel_Densities,MATCH(C1078,Fuels_for_Densities,0)))*INDEX(Fuel_LHV,MATCH(C1078,Fuels_for_LHV,0))*INDEX(Fuel_EFs,MATCH(C1078,Fuels_for_EF,0)))/1000,IF(D1078="kg/tonne(output)",(E1078*INDEX(Fuel_LHV,MATCH(C1078,Fuels_for_LHV,0))*INDEX(Fuel_EFs,MATCH(C1078,Fuels_for_EF,0)))/1000,IF(D1078="tonnes/tonne(output)",(E1078*INDEX(Fuel_LHV,MATCH(C1078,Fuels_for_LHV,0))*1000*INDEX(Fuel_EFs,MATCH(C1078,Fuels_for_EF,0)))/1000,IF(D1078="MWh/tonne(output)",(E1078*'Reference values'!$D$47*INDEX(Fuel_EFs,MATCH(C1078,Fuels_for_EF,0)))/1000,IF(D1078="kWh/tonne(output)",(E1078*'Reference values'!$D$47*INDEX(Fuel_EFs,MATCH(C1078,Fuels_for_EF,0))/1000)/1000,"Insert unit")))))))))))))))))),""),"Insert data")</f>
        <v/>
      </c>
      <c r="K1078" s="44"/>
      <c r="L1078" s="54"/>
    </row>
    <row r="1079" spans="1:12" s="4" customFormat="1" outlineLevel="1" x14ac:dyDescent="0.4">
      <c r="A1079" s="765"/>
      <c r="B1079" s="51"/>
      <c r="C1079" s="1"/>
      <c r="D1079" s="1"/>
      <c r="E1079" s="1"/>
      <c r="F1079" s="1"/>
      <c r="G1079" s="53"/>
      <c r="H1079" s="56"/>
      <c r="I1079" s="57"/>
      <c r="J1079" s="34"/>
      <c r="K1079" s="44"/>
      <c r="L1079" s="54"/>
    </row>
    <row r="1080" spans="1:12" s="4" customFormat="1" outlineLevel="1" x14ac:dyDescent="0.4">
      <c r="A1080" s="765"/>
      <c r="B1080" s="51"/>
      <c r="C1080" s="25" t="s">
        <v>191</v>
      </c>
      <c r="D1080" s="1"/>
      <c r="E1080" s="1"/>
      <c r="F1080" s="1"/>
      <c r="G1080" s="53"/>
      <c r="H1080" s="56"/>
      <c r="I1080" s="34"/>
      <c r="J1080" s="34"/>
      <c r="K1080" s="44"/>
      <c r="L1080" s="54"/>
    </row>
    <row r="1081" spans="1:12" s="4" customFormat="1" outlineLevel="1" x14ac:dyDescent="0.4">
      <c r="A1081" s="765"/>
      <c r="B1081" s="51"/>
      <c r="C1081" s="164" t="s">
        <v>192</v>
      </c>
      <c r="D1081" s="164" t="s">
        <v>151</v>
      </c>
      <c r="E1081" s="164" t="s">
        <v>140</v>
      </c>
      <c r="F1081" s="1"/>
      <c r="G1081" s="1"/>
      <c r="H1081" s="43"/>
      <c r="I1081" s="164" t="s">
        <v>192</v>
      </c>
      <c r="J1081" s="182" t="s">
        <v>141</v>
      </c>
      <c r="K1081" s="44"/>
      <c r="L1081" s="54"/>
    </row>
    <row r="1082" spans="1:12" s="4" customFormat="1" outlineLevel="1" x14ac:dyDescent="0.4">
      <c r="A1082" s="765"/>
      <c r="B1082" s="51"/>
      <c r="C1082" s="134"/>
      <c r="D1082" s="141"/>
      <c r="E1082" s="144"/>
      <c r="F1082" s="1"/>
      <c r="G1082" s="1"/>
      <c r="H1082" s="43"/>
      <c r="I1082" s="27" t="str">
        <f t="shared" ref="I1082:I1089" si="21">IF(C1082&gt;0,C1082,"")</f>
        <v/>
      </c>
      <c r="J1082" s="31" t="str">
        <f>IFERROR(IF(C1082&gt;0,IF(ISBLANK(E1082),"Insert data",IF(E1063="No",0,IF(D1082="kg",E1082*INDEX(Chemical_Emission_Factors,MATCH(C1082,Chemicals,0))/(D1066*1000),IF(D1082="tonnes",E1082*INDEX(Chemical_Emission_Factors,MATCH(C1082,Chemicals,0))*1000/(D1066*1000),IF(D1082="kg/tonne(output)",E1082*INDEX(Chemical_Emission_Factors,MATCH(C1082,Chemicals,0))/1000,IF(D1082="tonnes/tonne(output)",E1082*INDEX(Chemical_Emission_Factors,MATCH(C1082,Chemicals,0))*1000/1000,"Insert unit")))))),""),"Insert data")</f>
        <v/>
      </c>
      <c r="K1082" s="44"/>
      <c r="L1082" s="54"/>
    </row>
    <row r="1083" spans="1:12" s="4" customFormat="1" outlineLevel="1" x14ac:dyDescent="0.4">
      <c r="A1083" s="765"/>
      <c r="B1083" s="51"/>
      <c r="C1083" s="134"/>
      <c r="D1083" s="141"/>
      <c r="E1083" s="144"/>
      <c r="F1083" s="1"/>
      <c r="G1083" s="1"/>
      <c r="H1083" s="43"/>
      <c r="I1083" s="27" t="str">
        <f t="shared" si="21"/>
        <v/>
      </c>
      <c r="J1083" s="31" t="str">
        <f>IFERROR(IF(C1083&gt;0,IF(ISBLANK(E1083),"Insert data",IF(E1063="No",0,IF(D1083="kg",E1083*INDEX(Chemical_Emission_Factors,MATCH(C1083,Chemicals,0))/(D1066*1000),IF(D1083="tonnes",E1083*INDEX(Chemical_Emission_Factors,MATCH(C1083,Chemicals,0))*1000/(D1066*1000),IF(D1083="kg/tonne(output)",E1083*INDEX(Chemical_Emission_Factors,MATCH(C1083,Chemicals,0))/1000,IF(D1083="tonnes/tonne(output)",E1083*INDEX(Chemical_Emission_Factors,MATCH(C1083,Chemicals,0))*1000/1000,"Insert unit")))))),""),"Insert data")</f>
        <v/>
      </c>
      <c r="K1083" s="44"/>
      <c r="L1083" s="54"/>
    </row>
    <row r="1084" spans="1:12" s="4" customFormat="1" outlineLevel="1" x14ac:dyDescent="0.4">
      <c r="A1084" s="765"/>
      <c r="B1084" s="51"/>
      <c r="C1084" s="134"/>
      <c r="D1084" s="141"/>
      <c r="E1084" s="144"/>
      <c r="F1084" s="1"/>
      <c r="G1084" s="1"/>
      <c r="H1084" s="43"/>
      <c r="I1084" s="27" t="str">
        <f t="shared" si="21"/>
        <v/>
      </c>
      <c r="J1084" s="31" t="str">
        <f>IFERROR(IF(C1084&gt;0,IF(ISBLANK(E1084),"Insert data",IF(E1063="No",0,IF(D1084="kg",E1084*INDEX(Chemical_Emission_Factors,MATCH(C1084,Chemicals,0))/(D1066*1000),IF(D1084="tonnes",E1084*INDEX(Chemical_Emission_Factors,MATCH(C1084,Chemicals,0))*1000/(D1066*1000),IF(D1084="kg/tonne(output)",E1084*INDEX(Chemical_Emission_Factors,MATCH(C1084,Chemicals,0))/1000,IF(D1084="tonnes/tonne(output)",E1084*INDEX(Chemical_Emission_Factors,MATCH(C1084,Chemicals,0))*1000/1000,"Insert unit")))))),""),"Insert data")</f>
        <v/>
      </c>
      <c r="K1084" s="44"/>
      <c r="L1084" s="54"/>
    </row>
    <row r="1085" spans="1:12" s="4" customFormat="1" outlineLevel="1" x14ac:dyDescent="0.4">
      <c r="A1085" s="765"/>
      <c r="B1085" s="51"/>
      <c r="C1085" s="134"/>
      <c r="D1085" s="141"/>
      <c r="E1085" s="144"/>
      <c r="F1085" s="1"/>
      <c r="G1085" s="1"/>
      <c r="H1085" s="43"/>
      <c r="I1085" s="27" t="str">
        <f t="shared" si="21"/>
        <v/>
      </c>
      <c r="J1085" s="31" t="str">
        <f>IFERROR(IF(C1085&gt;0,IF(ISBLANK(E1085),"Insert data",IF(E1063="No",0,IF(D1085="kg",E1085*INDEX(Chemical_Emission_Factors,MATCH(C1085,Chemicals,0))/(D1066*1000),IF(D1085="tonnes",E1085*INDEX(Chemical_Emission_Factors,MATCH(C1085,Chemicals,0))*1000/(D1066*1000),IF(D1085="kg/tonne(output)",E1085*INDEX(Chemical_Emission_Factors,MATCH(C1085,Chemicals,0))/1000,IF(D1085="tonnes/tonne(output)",E1085*INDEX(Chemical_Emission_Factors,MATCH(C1085,Chemicals,0))*1000/1000,"Insert unit")))))),""),"Insert data")</f>
        <v/>
      </c>
      <c r="K1085" s="44"/>
      <c r="L1085" s="54"/>
    </row>
    <row r="1086" spans="1:12" s="4" customFormat="1" outlineLevel="1" x14ac:dyDescent="0.4">
      <c r="A1086" s="765"/>
      <c r="B1086" s="51"/>
      <c r="C1086" s="134"/>
      <c r="D1086" s="141"/>
      <c r="E1086" s="144"/>
      <c r="F1086" s="1"/>
      <c r="G1086" s="1"/>
      <c r="H1086" s="43"/>
      <c r="I1086" s="27" t="str">
        <f t="shared" si="21"/>
        <v/>
      </c>
      <c r="J1086" s="31" t="str">
        <f>IFERROR(IF(C1086&gt;0,IF(ISBLANK(E1086),"Insert data",IF(E1063="No",0,IF(D1086="kg",E1086*INDEX(Chemical_Emission_Factors,MATCH(C1086,Chemicals,0))/(D1066*1000),IF(D1086="tonnes",E1086*INDEX(Chemical_Emission_Factors,MATCH(C1086,Chemicals,0))*1000/(D1066*1000),IF(D1086="kg/tonne(output)",E1086*INDEX(Chemical_Emission_Factors,MATCH(C1086,Chemicals,0))/1000,IF(D1086="tonnes/tonne(output)",E1086*INDEX(Chemical_Emission_Factors,MATCH(C1086,Chemicals,0))*1000/1000,"Insert unit")))))),""),"Insert data")</f>
        <v/>
      </c>
      <c r="K1086" s="44"/>
      <c r="L1086" s="54"/>
    </row>
    <row r="1087" spans="1:12" s="4" customFormat="1" outlineLevel="1" x14ac:dyDescent="0.4">
      <c r="A1087" s="765"/>
      <c r="B1087" s="51"/>
      <c r="C1087" s="134"/>
      <c r="D1087" s="141"/>
      <c r="E1087" s="144"/>
      <c r="F1087" s="1"/>
      <c r="G1087" s="1"/>
      <c r="H1087" s="43"/>
      <c r="I1087" s="27" t="str">
        <f t="shared" si="21"/>
        <v/>
      </c>
      <c r="J1087" s="31" t="str">
        <f>IFERROR(IF(C1087&gt;0,IF(ISBLANK(E1087),"Insert data",IF(E1063="No",0,IF(D1087="kg",E1087*INDEX(Chemical_Emission_Factors,MATCH(C1087,Chemicals,0))/(D1066*1000),IF(D1087="tonnes",E1087*INDEX(Chemical_Emission_Factors,MATCH(C1087,Chemicals,0))*1000/(D1066*1000),IF(D1087="kg/tonne(output)",E1087*INDEX(Chemical_Emission_Factors,MATCH(C1087,Chemicals,0))/1000,IF(D1087="tonnes/tonne(output)",E1087*INDEX(Chemical_Emission_Factors,MATCH(C1087,Chemicals,0))*1000/1000,"Insert unit")))))),""),"Insert data")</f>
        <v/>
      </c>
      <c r="K1087" s="44"/>
      <c r="L1087" s="54"/>
    </row>
    <row r="1088" spans="1:12" s="4" customFormat="1" outlineLevel="1" x14ac:dyDescent="0.4">
      <c r="A1088" s="765"/>
      <c r="B1088" s="51"/>
      <c r="C1088" s="134"/>
      <c r="D1088" s="141"/>
      <c r="E1088" s="144"/>
      <c r="F1088" s="1"/>
      <c r="G1088" s="1"/>
      <c r="H1088" s="43"/>
      <c r="I1088" s="27" t="str">
        <f t="shared" si="21"/>
        <v/>
      </c>
      <c r="J1088" s="31" t="str">
        <f>IFERROR(IF(C1088&gt;0,IF(ISBLANK(E1088),"Insert data",IF(E1063="No",0,IF(D1088="kg",E1088*INDEX(Chemical_Emission_Factors,MATCH(C1088,Chemicals,0))/(D1066*1000),IF(D1088="tonnes",E1088*INDEX(Chemical_Emission_Factors,MATCH(C1088,Chemicals,0))*1000/(D1066*1000),IF(D1088="kg/tonne(output)",E1088*INDEX(Chemical_Emission_Factors,MATCH(C1088,Chemicals,0))/1000,IF(D1088="tonnes/tonne(output)",E1088*INDEX(Chemical_Emission_Factors,MATCH(C1088,Chemicals,0))*1000/1000,"Insert unit")))))),""),"Insert data")</f>
        <v/>
      </c>
      <c r="K1088" s="44"/>
      <c r="L1088" s="54"/>
    </row>
    <row r="1089" spans="1:12" s="4" customFormat="1" outlineLevel="1" x14ac:dyDescent="0.4">
      <c r="A1089" s="765"/>
      <c r="B1089" s="51"/>
      <c r="C1089" s="134"/>
      <c r="D1089" s="141"/>
      <c r="E1089" s="144"/>
      <c r="F1089" s="1"/>
      <c r="G1089" s="1"/>
      <c r="H1089" s="43"/>
      <c r="I1089" s="27" t="str">
        <f t="shared" si="21"/>
        <v/>
      </c>
      <c r="J1089" s="31" t="str">
        <f>IFERROR(IF(C1089&gt;0,IF(ISBLANK(E1089),"Insert data",IF(E1063="No",0,IF(D1089="kg",E1089*INDEX(Chemical_Emission_Factors,MATCH(C1089,Chemicals,0))/(D1066*1000),IF(D1089="tonnes",E1089*INDEX(Chemical_Emission_Factors,MATCH(C1089,Chemicals,0))*1000/(D1066*1000),IF(D1089="kg/tonne(output)",E1089*INDEX(Chemical_Emission_Factors,MATCH(C1089,Chemicals,0))/1000,IF(D1089="tonnes/tonne(output)",E1089*INDEX(Chemical_Emission_Factors,MATCH(C1089,Chemicals,0))*1000/1000,"Insert unit")))))),""),"Insert data")</f>
        <v/>
      </c>
      <c r="K1089" s="44"/>
      <c r="L1089" s="54"/>
    </row>
    <row r="1090" spans="1:12" s="4" customFormat="1" ht="12.75" customHeight="1" outlineLevel="1" x14ac:dyDescent="0.4">
      <c r="B1090" s="20"/>
      <c r="C1090" s="21"/>
      <c r="D1090" s="21"/>
      <c r="E1090" s="21"/>
      <c r="F1090" s="1"/>
      <c r="G1090" s="21"/>
      <c r="H1090" s="46"/>
      <c r="I1090" s="58"/>
      <c r="J1090" s="58"/>
      <c r="K1090" s="59"/>
      <c r="L1090" s="35"/>
    </row>
    <row r="1091" spans="1:12" s="4" customFormat="1" outlineLevel="1" x14ac:dyDescent="0.4">
      <c r="B1091" s="20"/>
      <c r="C1091" s="243" t="s">
        <v>193</v>
      </c>
      <c r="D1091" s="21"/>
      <c r="E1091" s="21"/>
      <c r="F1091" s="1"/>
      <c r="G1091" s="21"/>
      <c r="H1091" s="21"/>
      <c r="I1091" s="21"/>
      <c r="J1091" s="21"/>
      <c r="K1091" s="21"/>
      <c r="L1091" s="35"/>
    </row>
    <row r="1092" spans="1:12" s="4" customFormat="1" outlineLevel="1" x14ac:dyDescent="0.4">
      <c r="B1092" s="20"/>
      <c r="C1092" s="766" t="s">
        <v>194</v>
      </c>
      <c r="D1092" s="767"/>
      <c r="E1092" s="299" t="s">
        <v>178</v>
      </c>
      <c r="F1092" s="1"/>
      <c r="G1092" s="21"/>
      <c r="H1092" s="302"/>
      <c r="I1092" s="47"/>
      <c r="J1092" s="47"/>
      <c r="K1092" s="45"/>
      <c r="L1092" s="35"/>
    </row>
    <row r="1093" spans="1:12" s="4" customFormat="1" ht="6.75" customHeight="1" outlineLevel="1" x14ac:dyDescent="0.4">
      <c r="B1093" s="20"/>
      <c r="C1093" s="21"/>
      <c r="D1093" s="21"/>
      <c r="E1093" s="21"/>
      <c r="F1093" s="1"/>
      <c r="G1093" s="21"/>
      <c r="H1093" s="41"/>
      <c r="I1093" s="36"/>
      <c r="J1093" s="301"/>
      <c r="K1093" s="37"/>
      <c r="L1093" s="35"/>
    </row>
    <row r="1094" spans="1:12" s="4" customFormat="1" outlineLevel="1" x14ac:dyDescent="0.4">
      <c r="B1094" s="20"/>
      <c r="C1094" s="21"/>
      <c r="D1094" s="164" t="s">
        <v>151</v>
      </c>
      <c r="E1094" s="164" t="s">
        <v>140</v>
      </c>
      <c r="F1094" s="1"/>
      <c r="G1094" s="21"/>
      <c r="H1094" s="41"/>
      <c r="I1094" s="36"/>
      <c r="J1094" s="164" t="s">
        <v>195</v>
      </c>
      <c r="K1094" s="37"/>
      <c r="L1094" s="35"/>
    </row>
    <row r="1095" spans="1:12" s="4" customFormat="1" outlineLevel="1" x14ac:dyDescent="0.4">
      <c r="B1095" s="20"/>
      <c r="C1095" s="164" t="s">
        <v>196</v>
      </c>
      <c r="D1095" s="297" t="s">
        <v>197</v>
      </c>
      <c r="E1095" s="299"/>
      <c r="F1095" s="1"/>
      <c r="G1095" s="21"/>
      <c r="H1095" s="41"/>
      <c r="I1095" s="164" t="s">
        <v>198</v>
      </c>
      <c r="J1095" s="309" t="str">
        <f>IFERROR(IF(E1092="No", "", IF(AND(E1092="yes",OR(ISBLANK(E1095),ISBLANK(E1096),ISBLANK(E1097))),"Insert data",E1096/(E1096+E1097*E1095))), "")</f>
        <v/>
      </c>
      <c r="K1095" s="37"/>
      <c r="L1095" s="35"/>
    </row>
    <row r="1096" spans="1:12" s="4" customFormat="1" outlineLevel="1" x14ac:dyDescent="0.4">
      <c r="B1096" s="20"/>
      <c r="C1096" s="164" t="s">
        <v>199</v>
      </c>
      <c r="D1096" s="296" t="s">
        <v>200</v>
      </c>
      <c r="E1096" s="299"/>
      <c r="F1096" s="1"/>
      <c r="G1096" s="21"/>
      <c r="H1096" s="41"/>
      <c r="I1096" s="164" t="s">
        <v>201</v>
      </c>
      <c r="J1096" s="309" t="str">
        <f>IFERROR(IF(E1092="No", "", IF(AND(E1092="yes",OR(ISBLANK(E1095),ISBLANK(E1096),ISBLANK(E1097))),"Insert data",(E1097*E1095)/(E1097*E1095+E1096))),"")</f>
        <v/>
      </c>
      <c r="K1096" s="37"/>
      <c r="L1096" s="35"/>
    </row>
    <row r="1097" spans="1:12" s="4" customFormat="1" outlineLevel="1" x14ac:dyDescent="0.4">
      <c r="B1097" s="20"/>
      <c r="C1097" s="164" t="s">
        <v>202</v>
      </c>
      <c r="D1097" s="296" t="s">
        <v>200</v>
      </c>
      <c r="E1097" s="299"/>
      <c r="F1097" s="1"/>
      <c r="G1097" s="21"/>
      <c r="H1097" s="46"/>
      <c r="I1097" s="58"/>
      <c r="J1097" s="58"/>
      <c r="K1097" s="59"/>
      <c r="L1097" s="35"/>
    </row>
    <row r="1098" spans="1:12" s="4" customFormat="1" ht="6.75" customHeight="1" outlineLevel="1" x14ac:dyDescent="0.4">
      <c r="B1098" s="20"/>
      <c r="C1098" s="21"/>
      <c r="D1098" s="21"/>
      <c r="E1098" s="21"/>
      <c r="F1098" s="21"/>
      <c r="G1098" s="21"/>
      <c r="H1098" s="21"/>
      <c r="I1098" s="21"/>
      <c r="J1098" s="21"/>
      <c r="K1098" s="21"/>
      <c r="L1098" s="35"/>
    </row>
    <row r="1099" spans="1:12" s="4" customFormat="1" ht="12.75" customHeight="1" outlineLevel="1" x14ac:dyDescent="0.4">
      <c r="B1099" s="20"/>
      <c r="C1099" s="300" t="s">
        <v>203</v>
      </c>
      <c r="D1099" s="21"/>
      <c r="E1099" s="21"/>
      <c r="F1099" s="21"/>
      <c r="G1099" s="21"/>
      <c r="H1099" s="21"/>
      <c r="I1099" s="21"/>
      <c r="J1099" s="21"/>
      <c r="K1099" s="21"/>
      <c r="L1099" s="35"/>
    </row>
    <row r="1100" spans="1:12" s="4" customFormat="1" ht="12.75" customHeight="1" outlineLevel="1" x14ac:dyDescent="0.4">
      <c r="B1100" s="20"/>
      <c r="C1100" s="300" t="s">
        <v>204</v>
      </c>
      <c r="D1100" s="21"/>
      <c r="E1100" s="21"/>
      <c r="F1100" s="21"/>
      <c r="G1100" s="21"/>
      <c r="H1100" s="21"/>
      <c r="I1100" s="21"/>
      <c r="J1100" s="21"/>
      <c r="K1100" s="21"/>
      <c r="L1100" s="35"/>
    </row>
    <row r="1101" spans="1:12" s="4" customFormat="1" ht="6.75" customHeight="1" outlineLevel="1" x14ac:dyDescent="0.4">
      <c r="B1101" s="28"/>
      <c r="C1101" s="298"/>
      <c r="D1101" s="29"/>
      <c r="E1101" s="29"/>
      <c r="F1101" s="29"/>
      <c r="G1101" s="29"/>
      <c r="H1101" s="29"/>
      <c r="I1101" s="29"/>
      <c r="J1101" s="29"/>
      <c r="K1101" s="29"/>
      <c r="L1101" s="60"/>
    </row>
    <row r="1102" spans="1:12" s="4" customFormat="1" x14ac:dyDescent="0.4"/>
    <row r="1103" spans="1:12" s="4" customFormat="1" hidden="1" x14ac:dyDescent="0.4"/>
    <row r="1104" spans="1:12" s="4" customFormat="1" hidden="1" x14ac:dyDescent="0.4"/>
    <row r="1105" spans="1:14" s="4" customFormat="1" hidden="1" x14ac:dyDescent="0.4"/>
    <row r="1106" spans="1:14" s="4" customFormat="1" hidden="1" x14ac:dyDescent="0.4"/>
    <row r="1107" spans="1:14" s="4" customFormat="1" hidden="1" x14ac:dyDescent="0.4"/>
    <row r="1108" spans="1:14" s="4" customFormat="1" ht="19.2" x14ac:dyDescent="0.45">
      <c r="B1108" s="754" t="str">
        <f>"Feedstock Conversion"&amp;" - "&amp;Feedstocks!C36</f>
        <v xml:space="preserve">Feedstock Conversion - </v>
      </c>
      <c r="C1108" s="755"/>
      <c r="D1108" s="755"/>
      <c r="E1108" s="755"/>
      <c r="F1108" s="755"/>
      <c r="G1108" s="755"/>
      <c r="H1108" s="755"/>
      <c r="I1108" s="755"/>
      <c r="J1108" s="755"/>
      <c r="K1108" s="755"/>
      <c r="L1108" s="756"/>
    </row>
    <row r="1109" spans="1:14" s="4" customFormat="1" outlineLevel="1" x14ac:dyDescent="0.4">
      <c r="B1109" s="17"/>
      <c r="C1109" s="19"/>
      <c r="D1109" s="19"/>
      <c r="E1109" s="19"/>
      <c r="F1109" s="19"/>
      <c r="G1109" s="19"/>
      <c r="H1109" s="19"/>
      <c r="I1109" s="19"/>
      <c r="J1109" s="19"/>
      <c r="K1109" s="19"/>
      <c r="L1109" s="50"/>
    </row>
    <row r="1110" spans="1:14" s="4" customFormat="1" outlineLevel="1" x14ac:dyDescent="0.4">
      <c r="B1110" s="20"/>
      <c r="C1110" s="21"/>
      <c r="D1110" s="21"/>
      <c r="E1110" s="21"/>
      <c r="F1110" s="21"/>
      <c r="G1110" s="1"/>
      <c r="H1110" s="69" t="s">
        <v>122</v>
      </c>
      <c r="I1110" s="47"/>
      <c r="J1110" s="47"/>
      <c r="K1110" s="45"/>
      <c r="L1110" s="35"/>
    </row>
    <row r="1111" spans="1:14" s="4" customFormat="1" outlineLevel="1" x14ac:dyDescent="0.4">
      <c r="B1111" s="20"/>
      <c r="C1111" s="21"/>
      <c r="D1111" s="21"/>
      <c r="E1111" s="21"/>
      <c r="F1111" s="21"/>
      <c r="G1111" s="76"/>
      <c r="H1111" s="41"/>
      <c r="I1111" s="36"/>
      <c r="J1111" s="164" t="s">
        <v>124</v>
      </c>
      <c r="K1111" s="37"/>
      <c r="L1111" s="35"/>
    </row>
    <row r="1112" spans="1:14" s="4" customFormat="1" outlineLevel="1" x14ac:dyDescent="0.4">
      <c r="B1112" s="20"/>
      <c r="C1112" s="21"/>
      <c r="D1112" s="21"/>
      <c r="E1112" s="21"/>
      <c r="F1112" s="21"/>
      <c r="G1112" s="21"/>
      <c r="H1112" s="41"/>
      <c r="I1112" s="164" t="s">
        <v>125</v>
      </c>
      <c r="J1112" s="52" t="str">
        <f>IFERROR((J1116/('Transport 2'!F2885*('Digestion &amp; outputs'!$G$34/1000)))*'Digestion &amp; outputs'!$K$23,"")</f>
        <v/>
      </c>
      <c r="K1112" s="37"/>
      <c r="L1112" s="35"/>
    </row>
    <row r="1113" spans="1:14" s="4" customFormat="1" ht="16.5" customHeight="1" outlineLevel="1" x14ac:dyDescent="0.4">
      <c r="B1113" s="20"/>
      <c r="C1113" s="759" t="s">
        <v>183</v>
      </c>
      <c r="D1113" s="759"/>
      <c r="E1113" s="134" t="s">
        <v>178</v>
      </c>
      <c r="F1113" s="21"/>
      <c r="G1113" s="21"/>
      <c r="H1113" s="41"/>
      <c r="I1113" s="36"/>
      <c r="J1113" s="36"/>
      <c r="K1113" s="37"/>
      <c r="L1113" s="35"/>
    </row>
    <row r="1114" spans="1:14" s="4" customFormat="1" outlineLevel="1" x14ac:dyDescent="0.4">
      <c r="B1114" s="20"/>
      <c r="C1114" s="768" t="s">
        <v>184</v>
      </c>
      <c r="D1114" s="769"/>
      <c r="E1114" s="134" t="s">
        <v>96</v>
      </c>
      <c r="F1114" s="21"/>
      <c r="G1114" s="21"/>
      <c r="H1114" s="41"/>
      <c r="I1114" s="36"/>
      <c r="J1114" s="36"/>
      <c r="K1114" s="37"/>
      <c r="L1114" s="35"/>
    </row>
    <row r="1115" spans="1:14" s="4" customFormat="1" outlineLevel="1" x14ac:dyDescent="0.4">
      <c r="B1115" s="20"/>
      <c r="C1115" s="21"/>
      <c r="D1115" s="21"/>
      <c r="E1115" s="21"/>
      <c r="F1115" s="21"/>
      <c r="G1115" s="21"/>
      <c r="H1115" s="43"/>
      <c r="I1115" s="34"/>
      <c r="J1115" s="164" t="s">
        <v>141</v>
      </c>
      <c r="K1115" s="44"/>
      <c r="L1115" s="35"/>
    </row>
    <row r="1116" spans="1:14" s="4" customFormat="1" outlineLevel="1" x14ac:dyDescent="0.4">
      <c r="A1116" s="765"/>
      <c r="B1116" s="51"/>
      <c r="C1116" s="164" t="s">
        <v>185</v>
      </c>
      <c r="D1116" s="70">
        <f>IFERROR(Feedstocks!D36/'Transport 2'!F1119,"Insert data")</f>
        <v>0</v>
      </c>
      <c r="E1116" s="21"/>
      <c r="F1116" s="21"/>
      <c r="G1116" s="21"/>
      <c r="H1116" s="43"/>
      <c r="I1116" s="164" t="s">
        <v>167</v>
      </c>
      <c r="J1116" s="52">
        <f>IFERROR(IF(AND(E1113="YES",ISBLANK(F1117)),"Insert yield",SUM(J1132:J1139,J1125:J1128,J1121)*IF(E1142="Yes",J1145,1)),"Insert data")</f>
        <v>0</v>
      </c>
      <c r="K1116" s="44"/>
      <c r="L1116" s="35"/>
    </row>
    <row r="1117" spans="1:14" s="4" customFormat="1" outlineLevel="1" x14ac:dyDescent="0.4">
      <c r="A1117" s="765"/>
      <c r="B1117" s="51"/>
      <c r="C1117" s="164" t="s">
        <v>186</v>
      </c>
      <c r="D1117" s="680">
        <v>0.9</v>
      </c>
      <c r="E1117" s="134"/>
      <c r="F1117" s="623">
        <f>IF(E1113="No", 1, IF(E1114="Default",D1117, IF(E1114="Actual", IF(E1117&gt;0, E1117, "insert data"), "error")))</f>
        <v>1</v>
      </c>
      <c r="G1117" s="21"/>
      <c r="H1117" s="49"/>
      <c r="I1117" s="65"/>
      <c r="J1117" s="65"/>
      <c r="K1117" s="66"/>
      <c r="L1117" s="35"/>
    </row>
    <row r="1118" spans="1:14" s="4" customFormat="1" outlineLevel="1" x14ac:dyDescent="0.4">
      <c r="A1118" s="765"/>
      <c r="B1118" s="51"/>
      <c r="C1118" s="21"/>
      <c r="D1118" s="21"/>
      <c r="E1118" s="21"/>
      <c r="F1118" s="21"/>
      <c r="G1118" s="21"/>
      <c r="H1118" s="29"/>
      <c r="I1118" s="29"/>
      <c r="J1118" s="29"/>
      <c r="K1118" s="29"/>
      <c r="L1118" s="35"/>
    </row>
    <row r="1119" spans="1:14" s="4" customFormat="1" outlineLevel="1" x14ac:dyDescent="0.4">
      <c r="A1119" s="765"/>
      <c r="B1119" s="51"/>
      <c r="C1119" s="25" t="s">
        <v>187</v>
      </c>
      <c r="D1119" s="1"/>
      <c r="E1119" s="1"/>
      <c r="F1119" s="21"/>
      <c r="G1119" s="1"/>
      <c r="H1119" s="69" t="s">
        <v>136</v>
      </c>
      <c r="I1119" s="79"/>
      <c r="J1119" s="79"/>
      <c r="K1119" s="61"/>
      <c r="L1119" s="54"/>
      <c r="M1119" s="12"/>
      <c r="N1119" s="12"/>
    </row>
    <row r="1120" spans="1:14" s="4" customFormat="1" outlineLevel="1" x14ac:dyDescent="0.4">
      <c r="A1120" s="765"/>
      <c r="B1120" s="51"/>
      <c r="C1120" s="166" t="s">
        <v>188</v>
      </c>
      <c r="D1120" s="164" t="s">
        <v>151</v>
      </c>
      <c r="E1120" s="164" t="s">
        <v>140</v>
      </c>
      <c r="F1120" s="21"/>
      <c r="G1120" s="1"/>
      <c r="H1120" s="43"/>
      <c r="I1120" s="34"/>
      <c r="J1120" s="164" t="s">
        <v>141</v>
      </c>
      <c r="K1120" s="44"/>
      <c r="L1120" s="54"/>
    </row>
    <row r="1121" spans="1:12" s="4" customFormat="1" outlineLevel="1" x14ac:dyDescent="0.4">
      <c r="A1121" s="765"/>
      <c r="B1121" s="51"/>
      <c r="C1121" s="145"/>
      <c r="D1121" s="141"/>
      <c r="E1121" s="144"/>
      <c r="F1121" s="21"/>
      <c r="G1121" s="1"/>
      <c r="H1121" s="43"/>
      <c r="I1121" s="164" t="s">
        <v>189</v>
      </c>
      <c r="J1121" s="31">
        <f>IFERROR(IF(E1113="No",0,IF(D1121="MWh",(E1121*'Reference values'!$D$47*INDEX(Electricity_Emission_Factors,MATCH(C1121,Electricity_Source,0)))/(D1116*1000),IF(D1121="kWh",(E1121*'Reference values'!$D$47*INDEX(Electricity_Emission_Factors,MATCH(C1121,Electricity_Source,0))/1000)/(D1116*1000),IF(D1121="MWh/tonne(output)",(E1121*'Reference values'!$D$47*INDEX(Electricity_Emission_Factors,MATCH(C1121,Electricity_Source,0)))/1000,IF(D1121="kWh/tonne(output)",(E1121*'Reference values'!$D$47*INDEX(Electricity_Emission_Factors,MATCH(C1121,Electricity_Source,0))/1000)/1000,""))))),"")</f>
        <v>0</v>
      </c>
      <c r="K1121" s="44"/>
      <c r="L1121" s="54"/>
    </row>
    <row r="1122" spans="1:12" s="4" customFormat="1" outlineLevel="1" x14ac:dyDescent="0.4">
      <c r="A1122" s="765"/>
      <c r="B1122" s="51"/>
      <c r="C1122" s="1"/>
      <c r="D1122" s="1"/>
      <c r="E1122" s="1"/>
      <c r="F1122" s="21"/>
      <c r="G1122" s="1"/>
      <c r="H1122" s="43"/>
      <c r="I1122" s="34"/>
      <c r="J1122" s="34"/>
      <c r="K1122" s="44"/>
      <c r="L1122" s="54"/>
    </row>
    <row r="1123" spans="1:12" s="4" customFormat="1" outlineLevel="1" x14ac:dyDescent="0.4">
      <c r="A1123" s="765"/>
      <c r="B1123" s="51"/>
      <c r="C1123" s="25" t="s">
        <v>190</v>
      </c>
      <c r="D1123" s="1"/>
      <c r="E1123" s="1"/>
      <c r="F1123" s="21"/>
      <c r="G1123" s="1"/>
      <c r="H1123" s="43"/>
      <c r="I1123" s="34"/>
      <c r="J1123" s="34"/>
      <c r="K1123" s="44"/>
      <c r="L1123" s="54"/>
    </row>
    <row r="1124" spans="1:12" s="4" customFormat="1" outlineLevel="1" x14ac:dyDescent="0.4">
      <c r="A1124" s="765"/>
      <c r="B1124" s="51"/>
      <c r="C1124" s="164" t="s">
        <v>160</v>
      </c>
      <c r="D1124" s="164" t="s">
        <v>151</v>
      </c>
      <c r="E1124" s="164" t="s">
        <v>140</v>
      </c>
      <c r="F1124" s="21"/>
      <c r="G1124" s="1"/>
      <c r="H1124" s="43"/>
      <c r="I1124" s="164" t="s">
        <v>160</v>
      </c>
      <c r="J1124" s="182" t="s">
        <v>141</v>
      </c>
      <c r="K1124" s="44"/>
      <c r="L1124" s="54"/>
    </row>
    <row r="1125" spans="1:12" s="4" customFormat="1" outlineLevel="1" x14ac:dyDescent="0.4">
      <c r="A1125" s="765"/>
      <c r="B1125" s="51"/>
      <c r="C1125" s="27" t="str">
        <f>IF(E1114="Default", "Diesel", "")</f>
        <v>Diesel</v>
      </c>
      <c r="D1125" s="74" t="str">
        <f>IF(E1114="Default", "kWh/tonne(output)", "")</f>
        <v>kWh/tonne(output)</v>
      </c>
      <c r="E1125" s="74">
        <f>IF(E1114="Default", 3.881, "")</f>
        <v>3.8809999999999998</v>
      </c>
      <c r="F1125" s="21"/>
      <c r="G1125" s="1"/>
      <c r="H1125" s="43"/>
      <c r="I1125" s="27" t="str">
        <f>IF(C1125&gt;0,C1125,"")</f>
        <v>Diesel</v>
      </c>
      <c r="J1125" s="31">
        <f>IF(E1114="Actual","",IFERROR(IF(C1125&gt;0,IF(ISBLANK(E1125),"Insert data",IF(E1113="No",0,(IF(D1125="litres",(E1125*(INDEX(Fuel_Densities,MATCH(C1125,Fuels_for_Densities,0))/1000)*INDEX(Fuel_LHV,MATCH(C1125,Fuels_for_LHV,0))*INDEX(Fuel_EFs,MATCH(C1125,Fuels_for_EF,0)))/(D1116*1000),(IF(D1125="m3",(E1125*(INDEX(Fuel_Densities,MATCH(C1125,Fuels_for_Densities,0)))*INDEX(Fuel_LHV,MATCH(C1125,Fuels_for_LHV,0))*INDEX(Fuel_EFs,MATCH(C1125,Fuels_for_EF,0)))/(D1116*1000),IF(D1125="kg",(E1125*INDEX(Fuel_LHV,MATCH(C1125,Fuels_for_LHV,0))*INDEX(Fuel_EFs,MATCH(C1125,Fuels_for_EF,0)))/(D1116*1000),IF(D1125="tonnes",(E1125*INDEX(Fuel_LHV,MATCH(C1125,Fuels_for_LHV,0))*1000*INDEX(Fuel_EFs,MATCH(C1125,Fuels_for_EF,0)))/(D1116*1000),IF(D1125="MWh",(E1125*'Reference values'!$D$47*INDEX(Fuel_EFs,MATCH(C1125,Fuels_for_EF,0)))/(D1116*1000),IF(D1125="kWh",(E1125*'Reference values'!$D$47*INDEX(Fuel_EFs,MATCH(C1125,Fuels_for_EF,0))/1000)/(D1116*1000),(IF(D1125="litres/tonne(output)",(E1125*(INDEX(Fuel_Densities,MATCH(C1125,Fuels_for_Densities,0))/1000)*INDEX(Fuel_LHV,MATCH(C1125,Fuels_for_LHV,0))*INDEX(Fuel_EFs,MATCH(C1125,Fuels_for_EF,0)))/1000,(IF(D1125="m3/tonne(output)",(E1125*(INDEX(Fuel_Densities,MATCH(C1125,Fuels_for_Densities,0)))*INDEX(Fuel_LHV,MATCH(C1125,Fuels_for_LHV,0))*INDEX(Fuel_EFs,MATCH(C1125,Fuels_for_EF,0)))/1000,IF(D1125="kg/tonne(output)",(E1125*INDEX(Fuel_LHV,MATCH(C1125,Fuels_for_LHV,0))*INDEX(Fuel_EFs,MATCH(C1125,Fuels_for_EF,0)))/1000,IF(D1125="tonnes/tonne(output)",(E1125*INDEX(Fuel_LHV,MATCH(C1125,Fuels_for_LHV,0))*1000*INDEX(Fuel_EFs,MATCH(C1125,Fuels_for_EF,0)))/1000,IF(D1125="MWh/tonne(output)",(E1125*'Reference values'!$D$47*INDEX(Fuel_EFs,MATCH(C1125,Fuels_for_EF,0)))/1000,IF(D1125="kWh/tonne(output)",(E1125*'Reference values'!$D$47*INDEX(Fuel_EFs,MATCH(C1125,Fuels_for_EF,0))/1000)/1000,"Insert unit")))))))))))))))))),""),"Insert data"))</f>
        <v>0</v>
      </c>
      <c r="K1125" s="44"/>
      <c r="L1125" s="54"/>
    </row>
    <row r="1126" spans="1:12" s="4" customFormat="1" outlineLevel="1" x14ac:dyDescent="0.4">
      <c r="A1126" s="765"/>
      <c r="B1126" s="51"/>
      <c r="C1126" s="134"/>
      <c r="D1126" s="141"/>
      <c r="E1126" s="144"/>
      <c r="F1126" s="21"/>
      <c r="G1126" s="1"/>
      <c r="H1126" s="43"/>
      <c r="I1126" s="27" t="str">
        <f>IF(C1126&gt;0,C1126,"")</f>
        <v/>
      </c>
      <c r="J1126" s="31" t="str">
        <f>IFERROR(IF(C1126&gt;0,IF(ISBLANK(E1126),"Insert data",IF(E1113="No",0,(IF(D1126="litres",(E1126*(INDEX(Fuel_Densities,MATCH(C1126,Fuels_for_Densities,0))/1000)*INDEX(Fuel_LHV,MATCH(C1126,Fuels_for_LHV,0))*INDEX(Fuel_EFs,MATCH(C1126,Fuels_for_EF,0)))/(D1116*1000),(IF(D1126="m3",(E1126*(INDEX(Fuel_Densities,MATCH(C1126,Fuels_for_Densities,0)))*INDEX(Fuel_LHV,MATCH(C1126,Fuels_for_LHV,0))*INDEX(Fuel_EFs,MATCH(C1126,Fuels_for_EF,0)))/(D1116*1000),IF(D1126="kg",(E1126*INDEX(Fuel_LHV,MATCH(C1126,Fuels_for_LHV,0))*INDEX(Fuel_EFs,MATCH(C1126,Fuels_for_EF,0)))/(D1116*1000),IF(D1126="tonnes",(E1126*INDEX(Fuel_LHV,MATCH(C1126,Fuels_for_LHV,0))*1000*INDEX(Fuel_EFs,MATCH(C1126,Fuels_for_EF,0)))/(D1116*1000),IF(D1126="MWh",(E1126*'Reference values'!$D$47*INDEX(Fuel_EFs,MATCH(C1126,Fuels_for_EF,0)))/(D1116*1000),IF(D1126="kWh",(E1126*'Reference values'!$D$47*INDEX(Fuel_EFs,MATCH(C1126,Fuels_for_EF,0))/1000)/(D1116*1000),(IF(D1126="litres/tonne(output)",(E1126*(INDEX(Fuel_Densities,MATCH(C1126,Fuels_for_Densities,0))/1000)*INDEX(Fuel_LHV,MATCH(C1126,Fuels_for_LHV,0))*INDEX(Fuel_EFs,MATCH(C1126,Fuels_for_EF,0)))/1000,(IF(D1126="m3/tonne(output)",(E1126*(INDEX(Fuel_Densities,MATCH(C1126,Fuels_for_Densities,0)))*INDEX(Fuel_LHV,MATCH(C1126,Fuels_for_LHV,0))*INDEX(Fuel_EFs,MATCH(C1126,Fuels_for_EF,0)))/1000,IF(D1126="kg/tonne(output)",(E1126*INDEX(Fuel_LHV,MATCH(C1126,Fuels_for_LHV,0))*INDEX(Fuel_EFs,MATCH(C1126,Fuels_for_EF,0)))/1000,IF(D1126="tonnes/tonne(output)",(E1126*INDEX(Fuel_LHV,MATCH(C1126,Fuels_for_LHV,0))*1000*INDEX(Fuel_EFs,MATCH(C1126,Fuels_for_EF,0)))/1000,IF(D1126="MWh/tonne(output)",(E1126*'Reference values'!$D$47*INDEX(Fuel_EFs,MATCH(C1126,Fuels_for_EF,0)))/1000,IF(D1126="kWh/tonne(output)",(E1126*'Reference values'!$D$47*INDEX(Fuel_EFs,MATCH(C1126,Fuels_for_EF,0))/1000)/1000,"Insert unit")))))))))))))))))),""),"Insert data")</f>
        <v/>
      </c>
      <c r="K1126" s="44"/>
      <c r="L1126" s="54"/>
    </row>
    <row r="1127" spans="1:12" s="4" customFormat="1" outlineLevel="1" x14ac:dyDescent="0.4">
      <c r="A1127" s="765"/>
      <c r="B1127" s="51"/>
      <c r="C1127" s="134"/>
      <c r="D1127" s="141"/>
      <c r="E1127" s="144"/>
      <c r="F1127" s="21"/>
      <c r="G1127" s="1"/>
      <c r="H1127" s="43"/>
      <c r="I1127" s="27" t="str">
        <f>IF(C1127&gt;0,C1127,"")</f>
        <v/>
      </c>
      <c r="J1127" s="31" t="str">
        <f>IFERROR(IF(C1127&gt;0,IF(ISBLANK(E1127),"Insert data",IF(E1113="No",0,(IF(D1127="litres",(E1127*(INDEX(Fuel_Densities,MATCH(C1127,Fuels_for_Densities,0))/1000)*INDEX(Fuel_LHV,MATCH(C1127,Fuels_for_LHV,0))*INDEX(Fuel_EFs,MATCH(C1127,Fuels_for_EF,0)))/(D1116*1000),(IF(D1127="m3",(E1127*(INDEX(Fuel_Densities,MATCH(C1127,Fuels_for_Densities,0)))*INDEX(Fuel_LHV,MATCH(C1127,Fuels_for_LHV,0))*INDEX(Fuel_EFs,MATCH(C1127,Fuels_for_EF,0)))/(D1116*1000),IF(D1127="kg",(E1127*INDEX(Fuel_LHV,MATCH(C1127,Fuels_for_LHV,0))*INDEX(Fuel_EFs,MATCH(C1127,Fuels_for_EF,0)))/(D1116*1000),IF(D1127="tonnes",(E1127*INDEX(Fuel_LHV,MATCH(C1127,Fuels_for_LHV,0))*1000*INDEX(Fuel_EFs,MATCH(C1127,Fuels_for_EF,0)))/(D1116*1000),IF(D1127="MWh",(E1127*'Reference values'!$D$47*INDEX(Fuel_EFs,MATCH(C1127,Fuels_for_EF,0)))/(D1116*1000),IF(D1127="kWh",(E1127*'Reference values'!$D$47*INDEX(Fuel_EFs,MATCH(C1127,Fuels_for_EF,0))/1000)/(D1116*1000),(IF(D1127="litres/tonne(output)",(E1127*(INDEX(Fuel_Densities,MATCH(C1127,Fuels_for_Densities,0))/1000)*INDEX(Fuel_LHV,MATCH(C1127,Fuels_for_LHV,0))*INDEX(Fuel_EFs,MATCH(C1127,Fuels_for_EF,0)))/1000,(IF(D1127="m3/tonne(output)",(E1127*(INDEX(Fuel_Densities,MATCH(C1127,Fuels_for_Densities,0)))*INDEX(Fuel_LHV,MATCH(C1127,Fuels_for_LHV,0))*INDEX(Fuel_EFs,MATCH(C1127,Fuels_for_EF,0)))/1000,IF(D1127="kg/tonne(output)",(E1127*INDEX(Fuel_LHV,MATCH(C1127,Fuels_for_LHV,0))*INDEX(Fuel_EFs,MATCH(C1127,Fuels_for_EF,0)))/1000,IF(D1127="tonnes/tonne(output)",(E1127*INDEX(Fuel_LHV,MATCH(C1127,Fuels_for_LHV,0))*1000*INDEX(Fuel_EFs,MATCH(C1127,Fuels_for_EF,0)))/1000,IF(D1127="MWh/tonne(output)",(E1127*'Reference values'!$D$47*INDEX(Fuel_EFs,MATCH(C1127,Fuels_for_EF,0)))/1000,IF(D1127="kWh/tonne(output)",(E1127*'Reference values'!$D$47*INDEX(Fuel_EFs,MATCH(C1127,Fuels_for_EF,0))/1000)/1000,"Insert unit")))))))))))))))))),""),"Insert data")</f>
        <v/>
      </c>
      <c r="K1127" s="44"/>
      <c r="L1127" s="54"/>
    </row>
    <row r="1128" spans="1:12" s="4" customFormat="1" outlineLevel="1" x14ac:dyDescent="0.4">
      <c r="A1128" s="765"/>
      <c r="B1128" s="51"/>
      <c r="C1128" s="134"/>
      <c r="D1128" s="141"/>
      <c r="E1128" s="144"/>
      <c r="F1128" s="21"/>
      <c r="G1128" s="1"/>
      <c r="H1128" s="43"/>
      <c r="I1128" s="27" t="str">
        <f>IF(C1128&gt;0,C1128,"")</f>
        <v/>
      </c>
      <c r="J1128" s="31" t="str">
        <f>IFERROR(IF(C1128&gt;0,IF(ISBLANK(E1128),"Insert data",IF(E1113="No",0,(IF(D1128="litres",(E1128*(INDEX(Fuel_Densities,MATCH(C1128,Fuels_for_Densities,0))/1000)*INDEX(Fuel_LHV,MATCH(C1128,Fuels_for_LHV,0))*INDEX(Fuel_EFs,MATCH(C1128,Fuels_for_EF,0)))/(D1116*1000),(IF(D1128="m3",(E1128*(INDEX(Fuel_Densities,MATCH(C1128,Fuels_for_Densities,0)))*INDEX(Fuel_LHV,MATCH(C1128,Fuels_for_LHV,0))*INDEX(Fuel_EFs,MATCH(C1128,Fuels_for_EF,0)))/(D1116*1000),IF(D1128="kg",(E1128*INDEX(Fuel_LHV,MATCH(C1128,Fuels_for_LHV,0))*INDEX(Fuel_EFs,MATCH(C1128,Fuels_for_EF,0)))/(D1116*1000),IF(D1128="tonnes",(E1128*INDEX(Fuel_LHV,MATCH(C1128,Fuels_for_LHV,0))*1000*INDEX(Fuel_EFs,MATCH(C1128,Fuels_for_EF,0)))/(D1116*1000),IF(D1128="MWh",(E1128*'Reference values'!$D$47*INDEX(Fuel_EFs,MATCH(C1128,Fuels_for_EF,0)))/(D1116*1000),IF(D1128="kWh",(E1128*'Reference values'!$D$47*INDEX(Fuel_EFs,MATCH(C1128,Fuels_for_EF,0))/1000)/(D1116*1000),(IF(D1128="litres/tonne(output)",(E1128*(INDEX(Fuel_Densities,MATCH(C1128,Fuels_for_Densities,0))/1000)*INDEX(Fuel_LHV,MATCH(C1128,Fuels_for_LHV,0))*INDEX(Fuel_EFs,MATCH(C1128,Fuels_for_EF,0)))/1000,(IF(D1128="m3/tonne(output)",(E1128*(INDEX(Fuel_Densities,MATCH(C1128,Fuels_for_Densities,0)))*INDEX(Fuel_LHV,MATCH(C1128,Fuels_for_LHV,0))*INDEX(Fuel_EFs,MATCH(C1128,Fuels_for_EF,0)))/1000,IF(D1128="kg/tonne(output)",(E1128*INDEX(Fuel_LHV,MATCH(C1128,Fuels_for_LHV,0))*INDEX(Fuel_EFs,MATCH(C1128,Fuels_for_EF,0)))/1000,IF(D1128="tonnes/tonne(output)",(E1128*INDEX(Fuel_LHV,MATCH(C1128,Fuels_for_LHV,0))*1000*INDEX(Fuel_EFs,MATCH(C1128,Fuels_for_EF,0)))/1000,IF(D1128="MWh/tonne(output)",(E1128*'Reference values'!$D$47*INDEX(Fuel_EFs,MATCH(C1128,Fuels_for_EF,0)))/1000,IF(D1128="kWh/tonne(output)",(E1128*'Reference values'!$D$47*INDEX(Fuel_EFs,MATCH(C1128,Fuels_for_EF,0))/1000)/1000,"Insert unit")))))))))))))))))),""),"Insert data")</f>
        <v/>
      </c>
      <c r="K1128" s="44"/>
      <c r="L1128" s="54"/>
    </row>
    <row r="1129" spans="1:12" s="4" customFormat="1" outlineLevel="1" x14ac:dyDescent="0.4">
      <c r="A1129" s="765"/>
      <c r="B1129" s="51"/>
      <c r="C1129" s="1"/>
      <c r="D1129" s="1"/>
      <c r="E1129" s="1"/>
      <c r="F1129" s="21"/>
      <c r="G1129" s="53"/>
      <c r="H1129" s="56"/>
      <c r="I1129" s="57"/>
      <c r="J1129" s="34"/>
      <c r="K1129" s="44"/>
      <c r="L1129" s="54"/>
    </row>
    <row r="1130" spans="1:12" s="4" customFormat="1" outlineLevel="1" x14ac:dyDescent="0.4">
      <c r="A1130" s="765"/>
      <c r="B1130" s="51"/>
      <c r="C1130" s="25" t="s">
        <v>191</v>
      </c>
      <c r="D1130" s="1"/>
      <c r="E1130" s="1"/>
      <c r="F1130" s="21"/>
      <c r="G1130" s="53"/>
      <c r="H1130" s="56"/>
      <c r="I1130" s="34"/>
      <c r="J1130" s="34"/>
      <c r="K1130" s="44"/>
      <c r="L1130" s="54"/>
    </row>
    <row r="1131" spans="1:12" s="4" customFormat="1" outlineLevel="1" x14ac:dyDescent="0.4">
      <c r="A1131" s="765"/>
      <c r="B1131" s="51"/>
      <c r="C1131" s="164" t="s">
        <v>192</v>
      </c>
      <c r="D1131" s="164" t="s">
        <v>151</v>
      </c>
      <c r="E1131" s="164" t="s">
        <v>140</v>
      </c>
      <c r="F1131" s="21"/>
      <c r="G1131" s="1"/>
      <c r="H1131" s="43"/>
      <c r="I1131" s="164" t="s">
        <v>192</v>
      </c>
      <c r="J1131" s="182" t="s">
        <v>141</v>
      </c>
      <c r="K1131" s="44"/>
      <c r="L1131" s="54"/>
    </row>
    <row r="1132" spans="1:12" s="4" customFormat="1" outlineLevel="1" x14ac:dyDescent="0.4">
      <c r="A1132" s="765"/>
      <c r="B1132" s="51"/>
      <c r="C1132" s="134"/>
      <c r="D1132" s="141"/>
      <c r="E1132" s="144"/>
      <c r="F1132" s="21"/>
      <c r="G1132" s="1"/>
      <c r="H1132" s="43"/>
      <c r="I1132" s="27" t="str">
        <f t="shared" ref="I1132:I1139" si="22">IF(C1132&gt;0,C1132,"")</f>
        <v/>
      </c>
      <c r="J1132" s="31" t="str">
        <f>IFERROR(IF(C1132&gt;0,IF(ISBLANK(E1132),"Insert data",IF(E1113="No",0,IF(D1132="kg",E1132*INDEX(Chemical_Emission_Factors,MATCH(C1132,Chemicals,0))/(D1116*1000),IF(D1132="tonnes",E1132*INDEX(Chemical_Emission_Factors,MATCH(C1132,Chemicals,0))*1000/(D1116*1000),IF(D1132="kg/tonne(output)",E1132*INDEX(Chemical_Emission_Factors,MATCH(C1132,Chemicals,0))/1000,IF(D1132="tonnes/tonne(output)",E1132*INDEX(Chemical_Emission_Factors,MATCH(C1132,Chemicals,0))*1000/1000,"Insert unit")))))),""),"Insert data")</f>
        <v/>
      </c>
      <c r="K1132" s="44"/>
      <c r="L1132" s="54"/>
    </row>
    <row r="1133" spans="1:12" s="4" customFormat="1" outlineLevel="1" x14ac:dyDescent="0.4">
      <c r="A1133" s="765"/>
      <c r="B1133" s="51"/>
      <c r="C1133" s="134"/>
      <c r="D1133" s="141"/>
      <c r="E1133" s="144"/>
      <c r="F1133" s="21"/>
      <c r="G1133" s="1"/>
      <c r="H1133" s="43"/>
      <c r="I1133" s="27" t="str">
        <f t="shared" si="22"/>
        <v/>
      </c>
      <c r="J1133" s="31" t="str">
        <f>IFERROR(IF(C1133&gt;0,IF(ISBLANK(E1133),"Insert data",IF(E1113="No",0,IF(D1133="kg",E1133*INDEX(Chemical_Emission_Factors,MATCH(C1133,Chemicals,0))/(D1116*1000),IF(D1133="tonnes",E1133*INDEX(Chemical_Emission_Factors,MATCH(C1133,Chemicals,0))*1000/(D1116*1000),IF(D1133="kg/tonne(output)",E1133*INDEX(Chemical_Emission_Factors,MATCH(C1133,Chemicals,0))/1000,IF(D1133="tonnes/tonne(output)",E1133*INDEX(Chemical_Emission_Factors,MATCH(C1133,Chemicals,0))*1000/1000,"Insert unit")))))),""),"Insert data")</f>
        <v/>
      </c>
      <c r="K1133" s="44"/>
      <c r="L1133" s="54"/>
    </row>
    <row r="1134" spans="1:12" s="4" customFormat="1" outlineLevel="1" x14ac:dyDescent="0.4">
      <c r="A1134" s="765"/>
      <c r="B1134" s="51"/>
      <c r="C1134" s="134"/>
      <c r="D1134" s="141"/>
      <c r="E1134" s="144"/>
      <c r="F1134" s="21"/>
      <c r="G1134" s="1"/>
      <c r="H1134" s="43"/>
      <c r="I1134" s="27" t="str">
        <f t="shared" si="22"/>
        <v/>
      </c>
      <c r="J1134" s="31" t="str">
        <f>IFERROR(IF(C1134&gt;0,IF(ISBLANK(E1134),"Insert data",IF(E1113="No",0,IF(D1134="kg",E1134*INDEX(Chemical_Emission_Factors,MATCH(C1134,Chemicals,0))/(D1116*1000),IF(D1134="tonnes",E1134*INDEX(Chemical_Emission_Factors,MATCH(C1134,Chemicals,0))*1000/(D1116*1000),IF(D1134="kg/tonne(output)",E1134*INDEX(Chemical_Emission_Factors,MATCH(C1134,Chemicals,0))/1000,IF(D1134="tonnes/tonne(output)",E1134*INDEX(Chemical_Emission_Factors,MATCH(C1134,Chemicals,0))*1000/1000,"Insert unit")))))),""),"Insert data")</f>
        <v/>
      </c>
      <c r="K1134" s="44"/>
      <c r="L1134" s="54"/>
    </row>
    <row r="1135" spans="1:12" s="4" customFormat="1" outlineLevel="1" x14ac:dyDescent="0.4">
      <c r="A1135" s="765"/>
      <c r="B1135" s="51"/>
      <c r="C1135" s="134"/>
      <c r="D1135" s="141"/>
      <c r="E1135" s="144"/>
      <c r="F1135" s="21"/>
      <c r="G1135" s="1"/>
      <c r="H1135" s="43"/>
      <c r="I1135" s="27" t="str">
        <f t="shared" si="22"/>
        <v/>
      </c>
      <c r="J1135" s="31" t="str">
        <f>IFERROR(IF(C1135&gt;0,IF(ISBLANK(E1135),"Insert data",IF(E1113="No",0,IF(D1135="kg",E1135*INDEX(Chemical_Emission_Factors,MATCH(C1135,Chemicals,0))/(D1116*1000),IF(D1135="tonnes",E1135*INDEX(Chemical_Emission_Factors,MATCH(C1135,Chemicals,0))*1000/(D1116*1000),IF(D1135="kg/tonne(output)",E1135*INDEX(Chemical_Emission_Factors,MATCH(C1135,Chemicals,0))/1000,IF(D1135="tonnes/tonne(output)",E1135*INDEX(Chemical_Emission_Factors,MATCH(C1135,Chemicals,0))*1000/1000,"Insert unit")))))),""),"Insert data")</f>
        <v/>
      </c>
      <c r="K1135" s="44"/>
      <c r="L1135" s="54"/>
    </row>
    <row r="1136" spans="1:12" s="4" customFormat="1" outlineLevel="1" x14ac:dyDescent="0.4">
      <c r="A1136" s="765"/>
      <c r="B1136" s="51"/>
      <c r="C1136" s="134"/>
      <c r="D1136" s="141"/>
      <c r="E1136" s="144"/>
      <c r="F1136" s="21"/>
      <c r="G1136" s="1"/>
      <c r="H1136" s="43"/>
      <c r="I1136" s="27" t="str">
        <f t="shared" si="22"/>
        <v/>
      </c>
      <c r="J1136" s="31" t="str">
        <f>IFERROR(IF(C1136&gt;0,IF(ISBLANK(E1136),"Insert data",IF(E1113="No",0,IF(D1136="kg",E1136*INDEX(Chemical_Emission_Factors,MATCH(C1136,Chemicals,0))/(D1116*1000),IF(D1136="tonnes",E1136*INDEX(Chemical_Emission_Factors,MATCH(C1136,Chemicals,0))*1000/(D1116*1000),IF(D1136="kg/tonne(output)",E1136*INDEX(Chemical_Emission_Factors,MATCH(C1136,Chemicals,0))/1000,IF(D1136="tonnes/tonne(output)",E1136*INDEX(Chemical_Emission_Factors,MATCH(C1136,Chemicals,0))*1000/1000,"Insert unit")))))),""),"Insert data")</f>
        <v/>
      </c>
      <c r="K1136" s="44"/>
      <c r="L1136" s="54"/>
    </row>
    <row r="1137" spans="1:12" s="4" customFormat="1" outlineLevel="1" x14ac:dyDescent="0.4">
      <c r="A1137" s="765"/>
      <c r="B1137" s="51"/>
      <c r="C1137" s="134"/>
      <c r="D1137" s="141"/>
      <c r="E1137" s="144"/>
      <c r="F1137" s="21"/>
      <c r="G1137" s="1"/>
      <c r="H1137" s="43"/>
      <c r="I1137" s="27" t="str">
        <f t="shared" si="22"/>
        <v/>
      </c>
      <c r="J1137" s="31" t="str">
        <f>IFERROR(IF(C1137&gt;0,IF(ISBLANK(E1137),"Insert data",IF(E1113="No",0,IF(D1137="kg",E1137*INDEX(Chemical_Emission_Factors,MATCH(C1137,Chemicals,0))/(D1116*1000),IF(D1137="tonnes",E1137*INDEX(Chemical_Emission_Factors,MATCH(C1137,Chemicals,0))*1000/(D1116*1000),IF(D1137="kg/tonne(output)",E1137*INDEX(Chemical_Emission_Factors,MATCH(C1137,Chemicals,0))/1000,IF(D1137="tonnes/tonne(output)",E1137*INDEX(Chemical_Emission_Factors,MATCH(C1137,Chemicals,0))*1000/1000,"Insert unit")))))),""),"Insert data")</f>
        <v/>
      </c>
      <c r="K1137" s="44"/>
      <c r="L1137" s="54"/>
    </row>
    <row r="1138" spans="1:12" s="4" customFormat="1" outlineLevel="1" x14ac:dyDescent="0.4">
      <c r="A1138" s="765"/>
      <c r="B1138" s="51"/>
      <c r="C1138" s="134"/>
      <c r="D1138" s="141"/>
      <c r="E1138" s="144"/>
      <c r="F1138" s="21"/>
      <c r="G1138" s="1"/>
      <c r="H1138" s="43"/>
      <c r="I1138" s="27" t="str">
        <f t="shared" si="22"/>
        <v/>
      </c>
      <c r="J1138" s="31" t="str">
        <f>IFERROR(IF(C1138&gt;0,IF(ISBLANK(E1138),"Insert data",IF(E1113="No",0,IF(D1138="kg",E1138*INDEX(Chemical_Emission_Factors,MATCH(C1138,Chemicals,0))/(D1116*1000),IF(D1138="tonnes",E1138*INDEX(Chemical_Emission_Factors,MATCH(C1138,Chemicals,0))*1000/(D1116*1000),IF(D1138="kg/tonne(output)",E1138*INDEX(Chemical_Emission_Factors,MATCH(C1138,Chemicals,0))/1000,IF(D1138="tonnes/tonne(output)",E1138*INDEX(Chemical_Emission_Factors,MATCH(C1138,Chemicals,0))*1000/1000,"Insert unit")))))),""),"Insert data")</f>
        <v/>
      </c>
      <c r="K1138" s="44"/>
      <c r="L1138" s="54"/>
    </row>
    <row r="1139" spans="1:12" s="4" customFormat="1" outlineLevel="1" x14ac:dyDescent="0.4">
      <c r="A1139" s="765"/>
      <c r="B1139" s="51"/>
      <c r="C1139" s="134"/>
      <c r="D1139" s="141"/>
      <c r="E1139" s="144"/>
      <c r="F1139" s="21"/>
      <c r="G1139" s="1"/>
      <c r="H1139" s="43"/>
      <c r="I1139" s="27" t="str">
        <f t="shared" si="22"/>
        <v/>
      </c>
      <c r="J1139" s="31" t="str">
        <f>IFERROR(IF(C1139&gt;0,IF(ISBLANK(E1139),"Insert data",IF(E1113="No",0,IF(D1139="kg",E1139*INDEX(Chemical_Emission_Factors,MATCH(C1139,Chemicals,0))/(D1116*1000),IF(D1139="tonnes",E1139*INDEX(Chemical_Emission_Factors,MATCH(C1139,Chemicals,0))*1000/(D1116*1000),IF(D1139="kg/tonne(output)",E1139*INDEX(Chemical_Emission_Factors,MATCH(C1139,Chemicals,0))/1000,IF(D1139="tonnes/tonne(output)",E1139*INDEX(Chemical_Emission_Factors,MATCH(C1139,Chemicals,0))*1000/1000,"Insert unit")))))),""),"Insert data")</f>
        <v/>
      </c>
      <c r="K1139" s="44"/>
      <c r="L1139" s="54"/>
    </row>
    <row r="1140" spans="1:12" s="4" customFormat="1" ht="12.75" customHeight="1" outlineLevel="1" x14ac:dyDescent="0.4">
      <c r="B1140" s="20"/>
      <c r="C1140" s="21"/>
      <c r="D1140" s="21"/>
      <c r="E1140" s="21"/>
      <c r="F1140" s="21"/>
      <c r="G1140" s="21"/>
      <c r="H1140" s="46"/>
      <c r="I1140" s="58"/>
      <c r="J1140" s="58"/>
      <c r="K1140" s="59"/>
      <c r="L1140" s="35"/>
    </row>
    <row r="1141" spans="1:12" s="4" customFormat="1" outlineLevel="1" x14ac:dyDescent="0.4">
      <c r="B1141" s="20"/>
      <c r="C1141" s="243" t="s">
        <v>193</v>
      </c>
      <c r="D1141" s="21"/>
      <c r="E1141" s="21"/>
      <c r="F1141" s="21"/>
      <c r="G1141" s="21"/>
      <c r="H1141" s="21"/>
      <c r="I1141" s="21"/>
      <c r="J1141" s="21"/>
      <c r="K1141" s="21"/>
      <c r="L1141" s="35"/>
    </row>
    <row r="1142" spans="1:12" s="4" customFormat="1" outlineLevel="1" x14ac:dyDescent="0.4">
      <c r="B1142" s="20"/>
      <c r="C1142" s="766" t="s">
        <v>194</v>
      </c>
      <c r="D1142" s="767"/>
      <c r="E1142" s="299" t="s">
        <v>178</v>
      </c>
      <c r="F1142" s="21"/>
      <c r="G1142" s="21"/>
      <c r="H1142" s="302"/>
      <c r="I1142" s="47"/>
      <c r="J1142" s="47"/>
      <c r="K1142" s="45"/>
      <c r="L1142" s="35"/>
    </row>
    <row r="1143" spans="1:12" s="4" customFormat="1" ht="6.75" customHeight="1" outlineLevel="1" x14ac:dyDescent="0.4">
      <c r="B1143" s="20"/>
      <c r="C1143" s="21"/>
      <c r="D1143" s="21"/>
      <c r="E1143" s="21"/>
      <c r="F1143" s="21"/>
      <c r="G1143" s="21"/>
      <c r="H1143" s="41"/>
      <c r="I1143" s="36"/>
      <c r="J1143" s="301"/>
      <c r="K1143" s="37"/>
      <c r="L1143" s="35"/>
    </row>
    <row r="1144" spans="1:12" s="4" customFormat="1" outlineLevel="1" x14ac:dyDescent="0.4">
      <c r="B1144" s="20"/>
      <c r="C1144" s="21"/>
      <c r="D1144" s="164" t="s">
        <v>151</v>
      </c>
      <c r="E1144" s="164" t="s">
        <v>140</v>
      </c>
      <c r="F1144" s="21"/>
      <c r="G1144" s="21"/>
      <c r="H1144" s="41"/>
      <c r="I1144" s="36"/>
      <c r="J1144" s="164" t="s">
        <v>195</v>
      </c>
      <c r="K1144" s="37"/>
      <c r="L1144" s="35"/>
    </row>
    <row r="1145" spans="1:12" s="4" customFormat="1" outlineLevel="1" x14ac:dyDescent="0.4">
      <c r="B1145" s="20"/>
      <c r="C1145" s="164" t="s">
        <v>196</v>
      </c>
      <c r="D1145" s="297" t="s">
        <v>197</v>
      </c>
      <c r="E1145" s="299"/>
      <c r="F1145" s="21"/>
      <c r="G1145" s="21"/>
      <c r="H1145" s="41"/>
      <c r="I1145" s="164" t="s">
        <v>198</v>
      </c>
      <c r="J1145" s="309" t="str">
        <f>IFERROR(IF(E1142="No", "", IF(AND(E1142="yes",OR(ISBLANK(E1145),ISBLANK(E1146),ISBLANK(E1147))),"Insert data",E1146/(E1146+E1147*E1145))), "")</f>
        <v/>
      </c>
      <c r="K1145" s="37"/>
      <c r="L1145" s="35"/>
    </row>
    <row r="1146" spans="1:12" s="4" customFormat="1" outlineLevel="1" x14ac:dyDescent="0.4">
      <c r="B1146" s="20"/>
      <c r="C1146" s="164" t="s">
        <v>199</v>
      </c>
      <c r="D1146" s="296" t="s">
        <v>200</v>
      </c>
      <c r="E1146" s="299"/>
      <c r="F1146" s="21"/>
      <c r="G1146" s="21"/>
      <c r="H1146" s="41"/>
      <c r="I1146" s="164" t="s">
        <v>201</v>
      </c>
      <c r="J1146" s="309" t="str">
        <f>IFERROR(IF(E1142="No", "", IF(AND(E1142="yes",OR(ISBLANK(E1145),ISBLANK(E1146),ISBLANK(E1147))),"Insert data",(E1147*E1145)/(E1147*E1145+E1146))),"")</f>
        <v/>
      </c>
      <c r="K1146" s="37"/>
      <c r="L1146" s="35"/>
    </row>
    <row r="1147" spans="1:12" s="4" customFormat="1" outlineLevel="1" x14ac:dyDescent="0.4">
      <c r="B1147" s="20"/>
      <c r="C1147" s="164" t="s">
        <v>202</v>
      </c>
      <c r="D1147" s="296" t="s">
        <v>200</v>
      </c>
      <c r="E1147" s="299"/>
      <c r="F1147" s="21"/>
      <c r="G1147" s="21"/>
      <c r="H1147" s="46"/>
      <c r="I1147" s="58"/>
      <c r="J1147" s="58"/>
      <c r="K1147" s="59"/>
      <c r="L1147" s="35"/>
    </row>
    <row r="1148" spans="1:12" s="4" customFormat="1" ht="6.75" customHeight="1" outlineLevel="1" x14ac:dyDescent="0.4">
      <c r="B1148" s="20"/>
      <c r="C1148" s="21"/>
      <c r="D1148" s="21"/>
      <c r="E1148" s="21"/>
      <c r="F1148" s="21"/>
      <c r="G1148" s="21"/>
      <c r="H1148" s="21"/>
      <c r="I1148" s="21"/>
      <c r="J1148" s="21"/>
      <c r="K1148" s="21"/>
      <c r="L1148" s="35"/>
    </row>
    <row r="1149" spans="1:12" s="4" customFormat="1" ht="12.75" customHeight="1" outlineLevel="1" x14ac:dyDescent="0.4">
      <c r="B1149" s="20"/>
      <c r="C1149" s="300" t="s">
        <v>203</v>
      </c>
      <c r="D1149" s="21"/>
      <c r="E1149" s="21"/>
      <c r="F1149" s="21"/>
      <c r="G1149" s="21"/>
      <c r="H1149" s="21"/>
      <c r="I1149" s="21"/>
      <c r="J1149" s="21"/>
      <c r="K1149" s="21"/>
      <c r="L1149" s="35"/>
    </row>
    <row r="1150" spans="1:12" s="4" customFormat="1" ht="12.75" customHeight="1" outlineLevel="1" x14ac:dyDescent="0.4">
      <c r="B1150" s="20"/>
      <c r="C1150" s="300" t="s">
        <v>204</v>
      </c>
      <c r="D1150" s="21"/>
      <c r="E1150" s="21"/>
      <c r="F1150" s="21"/>
      <c r="G1150" s="21"/>
      <c r="H1150" s="21"/>
      <c r="I1150" s="21"/>
      <c r="J1150" s="21"/>
      <c r="K1150" s="21"/>
      <c r="L1150" s="35"/>
    </row>
    <row r="1151" spans="1:12" s="4" customFormat="1" ht="6.75" customHeight="1" outlineLevel="1" x14ac:dyDescent="0.4">
      <c r="B1151" s="28"/>
      <c r="C1151" s="298"/>
      <c r="D1151" s="29"/>
      <c r="E1151" s="29"/>
      <c r="F1151" s="29"/>
      <c r="G1151" s="29"/>
      <c r="H1151" s="29"/>
      <c r="I1151" s="29"/>
      <c r="J1151" s="29"/>
      <c r="K1151" s="29"/>
      <c r="L1151" s="60"/>
    </row>
    <row r="1152" spans="1:12" s="4" customFormat="1" x14ac:dyDescent="0.4"/>
    <row r="1153" spans="1:12" s="4" customFormat="1" hidden="1" x14ac:dyDescent="0.4"/>
    <row r="1154" spans="1:12" s="4" customFormat="1" hidden="1" x14ac:dyDescent="0.4"/>
    <row r="1155" spans="1:12" s="4" customFormat="1" hidden="1" x14ac:dyDescent="0.4"/>
    <row r="1156" spans="1:12" s="4" customFormat="1" hidden="1" x14ac:dyDescent="0.4"/>
    <row r="1157" spans="1:12" s="4" customFormat="1" hidden="1" x14ac:dyDescent="0.4"/>
    <row r="1158" spans="1:12" s="4" customFormat="1" ht="19.2" x14ac:dyDescent="0.45">
      <c r="B1158" s="754" t="str">
        <f>"Feedstock Conversion"&amp;" - "&amp;Feedstocks!C37</f>
        <v xml:space="preserve">Feedstock Conversion - </v>
      </c>
      <c r="C1158" s="755"/>
      <c r="D1158" s="755"/>
      <c r="E1158" s="755"/>
      <c r="F1158" s="755"/>
      <c r="G1158" s="755"/>
      <c r="H1158" s="755"/>
      <c r="I1158" s="755"/>
      <c r="J1158" s="755"/>
      <c r="K1158" s="755"/>
      <c r="L1158" s="756"/>
    </row>
    <row r="1159" spans="1:12" s="4" customFormat="1" outlineLevel="1" x14ac:dyDescent="0.4">
      <c r="B1159" s="17"/>
      <c r="C1159" s="19"/>
      <c r="D1159" s="19"/>
      <c r="E1159" s="19"/>
      <c r="F1159" s="19"/>
      <c r="G1159" s="19"/>
      <c r="H1159" s="19"/>
      <c r="I1159" s="19"/>
      <c r="J1159" s="19"/>
      <c r="K1159" s="19"/>
      <c r="L1159" s="50"/>
    </row>
    <row r="1160" spans="1:12" s="4" customFormat="1" outlineLevel="1" x14ac:dyDescent="0.4">
      <c r="B1160" s="20"/>
      <c r="C1160" s="1"/>
      <c r="D1160" s="1"/>
      <c r="E1160" s="1"/>
      <c r="F1160" s="1"/>
      <c r="G1160" s="1"/>
      <c r="H1160" s="69" t="s">
        <v>122</v>
      </c>
      <c r="I1160" s="47"/>
      <c r="J1160" s="47"/>
      <c r="K1160" s="45"/>
      <c r="L1160" s="35"/>
    </row>
    <row r="1161" spans="1:12" s="4" customFormat="1" outlineLevel="1" x14ac:dyDescent="0.4">
      <c r="B1161" s="20"/>
      <c r="C1161" s="1"/>
      <c r="D1161" s="1"/>
      <c r="E1161" s="1"/>
      <c r="F1161" s="1"/>
      <c r="G1161" s="76"/>
      <c r="H1161" s="41"/>
      <c r="I1161" s="36"/>
      <c r="J1161" s="164" t="s">
        <v>124</v>
      </c>
      <c r="K1161" s="37"/>
      <c r="L1161" s="35"/>
    </row>
    <row r="1162" spans="1:12" s="4" customFormat="1" outlineLevel="1" x14ac:dyDescent="0.4">
      <c r="B1162" s="20"/>
      <c r="C1162" s="21"/>
      <c r="D1162" s="21"/>
      <c r="E1162" s="21"/>
      <c r="F1162" s="1"/>
      <c r="G1162" s="21"/>
      <c r="H1162" s="41"/>
      <c r="I1162" s="164" t="s">
        <v>125</v>
      </c>
      <c r="J1162" s="52" t="str">
        <f>IFERROR((J1166/('Transport 2'!F2935*('Digestion &amp; outputs'!$G$35/1000)))*'Digestion &amp; outputs'!$K$23,"")</f>
        <v/>
      </c>
      <c r="K1162" s="37"/>
      <c r="L1162" s="35"/>
    </row>
    <row r="1163" spans="1:12" s="4" customFormat="1" ht="16.5" customHeight="1" outlineLevel="1" x14ac:dyDescent="0.4">
      <c r="B1163" s="20"/>
      <c r="C1163" s="759" t="s">
        <v>183</v>
      </c>
      <c r="D1163" s="759"/>
      <c r="E1163" s="134" t="s">
        <v>178</v>
      </c>
      <c r="F1163" s="1"/>
      <c r="G1163" s="21"/>
      <c r="H1163" s="41"/>
      <c r="I1163" s="36"/>
      <c r="J1163" s="36"/>
      <c r="K1163" s="37"/>
      <c r="L1163" s="35"/>
    </row>
    <row r="1164" spans="1:12" s="4" customFormat="1" outlineLevel="1" x14ac:dyDescent="0.4">
      <c r="B1164" s="20"/>
      <c r="C1164" s="763" t="s">
        <v>184</v>
      </c>
      <c r="D1164" s="764"/>
      <c r="E1164" s="134" t="s">
        <v>96</v>
      </c>
      <c r="F1164" s="1"/>
      <c r="G1164" s="21"/>
      <c r="H1164" s="41"/>
      <c r="I1164" s="36"/>
      <c r="J1164" s="36"/>
      <c r="K1164" s="37"/>
      <c r="L1164" s="35"/>
    </row>
    <row r="1165" spans="1:12" s="4" customFormat="1" outlineLevel="1" x14ac:dyDescent="0.4">
      <c r="B1165" s="20"/>
      <c r="C1165" s="21"/>
      <c r="D1165" s="21"/>
      <c r="E1165" s="21"/>
      <c r="F1165" s="1"/>
      <c r="G1165" s="21"/>
      <c r="H1165" s="43"/>
      <c r="I1165" s="34"/>
      <c r="J1165" s="164" t="s">
        <v>141</v>
      </c>
      <c r="K1165" s="44"/>
      <c r="L1165" s="35"/>
    </row>
    <row r="1166" spans="1:12" s="4" customFormat="1" outlineLevel="1" x14ac:dyDescent="0.4">
      <c r="A1166" s="765"/>
      <c r="B1166" s="51"/>
      <c r="C1166" s="164" t="s">
        <v>185</v>
      </c>
      <c r="D1166" s="70">
        <f>IFERROR(Feedstocks!D37/'Transport 2'!F1169,"Insert data")</f>
        <v>0</v>
      </c>
      <c r="E1166" s="21"/>
      <c r="F1166" s="1"/>
      <c r="G1166" s="21"/>
      <c r="H1166" s="43"/>
      <c r="I1166" s="164" t="s">
        <v>167</v>
      </c>
      <c r="J1166" s="52">
        <f>IFERROR(IF(AND(E1163="YES",ISBLANK(F1167)),"Insert yield",SUM(J1182:J1189,J1175:J1178,J1171)*IF(E1192="Yes",J1195,1)),"Insert data")</f>
        <v>0</v>
      </c>
      <c r="K1166" s="44"/>
      <c r="L1166" s="35"/>
    </row>
    <row r="1167" spans="1:12" s="4" customFormat="1" outlineLevel="1" x14ac:dyDescent="0.4">
      <c r="A1167" s="765"/>
      <c r="B1167" s="51"/>
      <c r="C1167" s="164" t="s">
        <v>186</v>
      </c>
      <c r="D1167" s="680">
        <v>0.9</v>
      </c>
      <c r="E1167" s="134"/>
      <c r="F1167" s="623">
        <f>IF(E1163="No", 1, IF(E1164="Default",D1167, IF(E1164="Actual", IF(E1167&gt;0, E1167, "insert data"), "error")))</f>
        <v>1</v>
      </c>
      <c r="G1167" s="21"/>
      <c r="H1167" s="49"/>
      <c r="I1167" s="65"/>
      <c r="J1167" s="65"/>
      <c r="K1167" s="66"/>
      <c r="L1167" s="35"/>
    </row>
    <row r="1168" spans="1:12" s="4" customFormat="1" outlineLevel="1" x14ac:dyDescent="0.4">
      <c r="A1168" s="765"/>
      <c r="B1168" s="51"/>
      <c r="C1168" s="21"/>
      <c r="D1168" s="21"/>
      <c r="E1168" s="21"/>
      <c r="F1168" s="1"/>
      <c r="G1168" s="21"/>
      <c r="H1168" s="29"/>
      <c r="I1168" s="29"/>
      <c r="J1168" s="29"/>
      <c r="K1168" s="29"/>
      <c r="L1168" s="35"/>
    </row>
    <row r="1169" spans="1:14" s="4" customFormat="1" outlineLevel="1" x14ac:dyDescent="0.4">
      <c r="A1169" s="765"/>
      <c r="B1169" s="51"/>
      <c r="C1169" s="25" t="s">
        <v>187</v>
      </c>
      <c r="D1169" s="1"/>
      <c r="E1169" s="1"/>
      <c r="F1169" s="1"/>
      <c r="G1169" s="1"/>
      <c r="H1169" s="69" t="s">
        <v>136</v>
      </c>
      <c r="I1169" s="79"/>
      <c r="J1169" s="79"/>
      <c r="K1169" s="61"/>
      <c r="L1169" s="54"/>
      <c r="M1169" s="12"/>
      <c r="N1169" s="12"/>
    </row>
    <row r="1170" spans="1:14" s="4" customFormat="1" outlineLevel="1" x14ac:dyDescent="0.4">
      <c r="A1170" s="765"/>
      <c r="B1170" s="51"/>
      <c r="C1170" s="166" t="s">
        <v>188</v>
      </c>
      <c r="D1170" s="164" t="s">
        <v>151</v>
      </c>
      <c r="E1170" s="164" t="s">
        <v>140</v>
      </c>
      <c r="F1170" s="1"/>
      <c r="G1170" s="1"/>
      <c r="H1170" s="43"/>
      <c r="I1170" s="34"/>
      <c r="J1170" s="164" t="s">
        <v>141</v>
      </c>
      <c r="K1170" s="44"/>
      <c r="L1170" s="54"/>
    </row>
    <row r="1171" spans="1:14" s="4" customFormat="1" outlineLevel="1" x14ac:dyDescent="0.4">
      <c r="A1171" s="765"/>
      <c r="B1171" s="51"/>
      <c r="C1171" s="145"/>
      <c r="D1171" s="141"/>
      <c r="E1171" s="144"/>
      <c r="F1171" s="1"/>
      <c r="G1171" s="1"/>
      <c r="H1171" s="43"/>
      <c r="I1171" s="164" t="s">
        <v>189</v>
      </c>
      <c r="J1171" s="31">
        <f>IFERROR(IF(E1163="No",0,IF(D1171="MWh",(E1171*'Reference values'!$D$47*INDEX(Electricity_Emission_Factors,MATCH(C1171,Electricity_Source,0)))/(D1166*1000),IF(D1171="kWh",(E1171*'Reference values'!$D$47*INDEX(Electricity_Emission_Factors,MATCH(C1171,Electricity_Source,0))/1000)/(D1166*1000),IF(D1171="MWh/tonne(output)",(E1171*'Reference values'!$D$47*INDEX(Electricity_Emission_Factors,MATCH(C1171,Electricity_Source,0)))/1000,IF(D1171="kWh/tonne(output)",(E1171*'Reference values'!$D$47*INDEX(Electricity_Emission_Factors,MATCH(C1171,Electricity_Source,0))/1000)/1000,""))))),"")</f>
        <v>0</v>
      </c>
      <c r="K1171" s="44"/>
      <c r="L1171" s="54"/>
    </row>
    <row r="1172" spans="1:14" s="4" customFormat="1" outlineLevel="1" x14ac:dyDescent="0.4">
      <c r="A1172" s="765"/>
      <c r="B1172" s="51"/>
      <c r="C1172" s="1"/>
      <c r="D1172" s="1"/>
      <c r="E1172" s="1"/>
      <c r="F1172" s="1"/>
      <c r="G1172" s="1"/>
      <c r="H1172" s="43"/>
      <c r="I1172" s="34"/>
      <c r="J1172" s="34"/>
      <c r="K1172" s="44"/>
      <c r="L1172" s="54"/>
    </row>
    <row r="1173" spans="1:14" s="4" customFormat="1" outlineLevel="1" x14ac:dyDescent="0.4">
      <c r="A1173" s="765"/>
      <c r="B1173" s="51"/>
      <c r="C1173" s="25" t="s">
        <v>190</v>
      </c>
      <c r="D1173" s="1"/>
      <c r="E1173" s="1"/>
      <c r="F1173" s="1"/>
      <c r="G1173" s="1"/>
      <c r="H1173" s="43"/>
      <c r="I1173" s="34"/>
      <c r="J1173" s="34"/>
      <c r="K1173" s="44"/>
      <c r="L1173" s="54"/>
    </row>
    <row r="1174" spans="1:14" s="4" customFormat="1" outlineLevel="1" x14ac:dyDescent="0.4">
      <c r="A1174" s="765"/>
      <c r="B1174" s="51"/>
      <c r="C1174" s="164" t="s">
        <v>160</v>
      </c>
      <c r="D1174" s="164" t="s">
        <v>151</v>
      </c>
      <c r="E1174" s="164" t="s">
        <v>140</v>
      </c>
      <c r="F1174" s="1"/>
      <c r="G1174" s="1"/>
      <c r="H1174" s="43"/>
      <c r="I1174" s="164" t="s">
        <v>160</v>
      </c>
      <c r="J1174" s="182" t="s">
        <v>141</v>
      </c>
      <c r="K1174" s="44"/>
      <c r="L1174" s="54"/>
    </row>
    <row r="1175" spans="1:14" s="4" customFormat="1" outlineLevel="1" x14ac:dyDescent="0.4">
      <c r="A1175" s="765"/>
      <c r="B1175" s="51"/>
      <c r="C1175" s="27" t="str">
        <f>IF(E1164="Default", "Diesel", "")</f>
        <v>Diesel</v>
      </c>
      <c r="D1175" s="74" t="str">
        <f>IF(E1164="Default", "kWh/tonne(output)", "")</f>
        <v>kWh/tonne(output)</v>
      </c>
      <c r="E1175" s="74">
        <f>IF(E1164="Default", 3.881, "")</f>
        <v>3.8809999999999998</v>
      </c>
      <c r="F1175" s="1"/>
      <c r="G1175" s="1"/>
      <c r="H1175" s="43"/>
      <c r="I1175" s="27" t="str">
        <f>IF(C1175&gt;0,C1175,"")</f>
        <v>Diesel</v>
      </c>
      <c r="J1175" s="31">
        <f>IF(E1164="Actual","",IFERROR(IF(C1175&gt;0,IF(ISBLANK(E1175),"Insert data",IF(E1163="No",0,(IF(D1175="litres",(E1175*(INDEX(Fuel_Densities,MATCH(C1175,Fuels_for_Densities,0))/1000)*INDEX(Fuel_LHV,MATCH(C1175,Fuels_for_LHV,0))*INDEX(Fuel_EFs,MATCH(C1175,Fuels_for_EF,0)))/(D1166*1000),(IF(D1175="m3",(E1175*(INDEX(Fuel_Densities,MATCH(C1175,Fuels_for_Densities,0)))*INDEX(Fuel_LHV,MATCH(C1175,Fuels_for_LHV,0))*INDEX(Fuel_EFs,MATCH(C1175,Fuels_for_EF,0)))/(D1166*1000),IF(D1175="kg",(E1175*INDEX(Fuel_LHV,MATCH(C1175,Fuels_for_LHV,0))*INDEX(Fuel_EFs,MATCH(C1175,Fuels_for_EF,0)))/(D1166*1000),IF(D1175="tonnes",(E1175*INDEX(Fuel_LHV,MATCH(C1175,Fuels_for_LHV,0))*1000*INDEX(Fuel_EFs,MATCH(C1175,Fuels_for_EF,0)))/(D1166*1000),IF(D1175="MWh",(E1175*'Reference values'!$D$47*INDEX(Fuel_EFs,MATCH(C1175,Fuels_for_EF,0)))/(D1166*1000),IF(D1175="kWh",(E1175*'Reference values'!$D$47*INDEX(Fuel_EFs,MATCH(C1175,Fuels_for_EF,0))/1000)/(D1166*1000),(IF(D1175="litres/tonne(output)",(E1175*(INDEX(Fuel_Densities,MATCH(C1175,Fuels_for_Densities,0))/1000)*INDEX(Fuel_LHV,MATCH(C1175,Fuels_for_LHV,0))*INDEX(Fuel_EFs,MATCH(C1175,Fuels_for_EF,0)))/1000,(IF(D1175="m3/tonne(output)",(E1175*(INDEX(Fuel_Densities,MATCH(C1175,Fuels_for_Densities,0)))*INDEX(Fuel_LHV,MATCH(C1175,Fuels_for_LHV,0))*INDEX(Fuel_EFs,MATCH(C1175,Fuels_for_EF,0)))/1000,IF(D1175="kg/tonne(output)",(E1175*INDEX(Fuel_LHV,MATCH(C1175,Fuels_for_LHV,0))*INDEX(Fuel_EFs,MATCH(C1175,Fuels_for_EF,0)))/1000,IF(D1175="tonnes/tonne(output)",(E1175*INDEX(Fuel_LHV,MATCH(C1175,Fuels_for_LHV,0))*1000*INDEX(Fuel_EFs,MATCH(C1175,Fuels_for_EF,0)))/1000,IF(D1175="MWh/tonne(output)",(E1175*'Reference values'!$D$47*INDEX(Fuel_EFs,MATCH(C1175,Fuels_for_EF,0)))/1000,IF(D1175="kWh/tonne(output)",(E1175*'Reference values'!$D$47*INDEX(Fuel_EFs,MATCH(C1175,Fuels_for_EF,0))/1000)/1000,"Insert unit")))))))))))))))))),""),"Insert data"))</f>
        <v>0</v>
      </c>
      <c r="K1175" s="44"/>
      <c r="L1175" s="54"/>
    </row>
    <row r="1176" spans="1:14" s="4" customFormat="1" outlineLevel="1" x14ac:dyDescent="0.4">
      <c r="A1176" s="765"/>
      <c r="B1176" s="51"/>
      <c r="C1176" s="134"/>
      <c r="D1176" s="141"/>
      <c r="E1176" s="144"/>
      <c r="F1176" s="1"/>
      <c r="G1176" s="1"/>
      <c r="H1176" s="43"/>
      <c r="I1176" s="27" t="str">
        <f>IF(C1176&gt;0,C1176,"")</f>
        <v/>
      </c>
      <c r="J1176" s="31" t="str">
        <f>IFERROR(IF(C1176&gt;0,IF(ISBLANK(E1176),"Insert data",IF(E1163="No",0,(IF(D1176="litres",(E1176*(INDEX(Fuel_Densities,MATCH(C1176,Fuels_for_Densities,0))/1000)*INDEX(Fuel_LHV,MATCH(C1176,Fuels_for_LHV,0))*INDEX(Fuel_EFs,MATCH(C1176,Fuels_for_EF,0)))/(D1166*1000),(IF(D1176="m3",(E1176*(INDEX(Fuel_Densities,MATCH(C1176,Fuels_for_Densities,0)))*INDEX(Fuel_LHV,MATCH(C1176,Fuels_for_LHV,0))*INDEX(Fuel_EFs,MATCH(C1176,Fuels_for_EF,0)))/(D1166*1000),IF(D1176="kg",(E1176*INDEX(Fuel_LHV,MATCH(C1176,Fuels_for_LHV,0))*INDEX(Fuel_EFs,MATCH(C1176,Fuels_for_EF,0)))/(D1166*1000),IF(D1176="tonnes",(E1176*INDEX(Fuel_LHV,MATCH(C1176,Fuels_for_LHV,0))*1000*INDEX(Fuel_EFs,MATCH(C1176,Fuels_for_EF,0)))/(D1166*1000),IF(D1176="MWh",(E1176*'Reference values'!$D$47*INDEX(Fuel_EFs,MATCH(C1176,Fuels_for_EF,0)))/(D1166*1000),IF(D1176="kWh",(E1176*'Reference values'!$D$47*INDEX(Fuel_EFs,MATCH(C1176,Fuels_for_EF,0))/1000)/(D1166*1000),(IF(D1176="litres/tonne(output)",(E1176*(INDEX(Fuel_Densities,MATCH(C1176,Fuels_for_Densities,0))/1000)*INDEX(Fuel_LHV,MATCH(C1176,Fuels_for_LHV,0))*INDEX(Fuel_EFs,MATCH(C1176,Fuels_for_EF,0)))/1000,(IF(D1176="m3/tonne(output)",(E1176*(INDEX(Fuel_Densities,MATCH(C1176,Fuels_for_Densities,0)))*INDEX(Fuel_LHV,MATCH(C1176,Fuels_for_LHV,0))*INDEX(Fuel_EFs,MATCH(C1176,Fuels_for_EF,0)))/1000,IF(D1176="kg/tonne(output)",(E1176*INDEX(Fuel_LHV,MATCH(C1176,Fuels_for_LHV,0))*INDEX(Fuel_EFs,MATCH(C1176,Fuels_for_EF,0)))/1000,IF(D1176="tonnes/tonne(output)",(E1176*INDEX(Fuel_LHV,MATCH(C1176,Fuels_for_LHV,0))*1000*INDEX(Fuel_EFs,MATCH(C1176,Fuels_for_EF,0)))/1000,IF(D1176="MWh/tonne(output)",(E1176*'Reference values'!$D$47*INDEX(Fuel_EFs,MATCH(C1176,Fuels_for_EF,0)))/1000,IF(D1176="kWh/tonne(output)",(E1176*'Reference values'!$D$47*INDEX(Fuel_EFs,MATCH(C1176,Fuels_for_EF,0))/1000)/1000,"Insert unit")))))))))))))))))),""),"Insert data")</f>
        <v/>
      </c>
      <c r="K1176" s="44"/>
      <c r="L1176" s="54"/>
    </row>
    <row r="1177" spans="1:14" s="4" customFormat="1" outlineLevel="1" x14ac:dyDescent="0.4">
      <c r="A1177" s="765"/>
      <c r="B1177" s="51"/>
      <c r="C1177" s="134"/>
      <c r="D1177" s="141"/>
      <c r="E1177" s="144"/>
      <c r="F1177" s="1"/>
      <c r="G1177" s="1"/>
      <c r="H1177" s="43"/>
      <c r="I1177" s="27" t="str">
        <f>IF(C1177&gt;0,C1177,"")</f>
        <v/>
      </c>
      <c r="J1177" s="31" t="str">
        <f>IFERROR(IF(C1177&gt;0,IF(ISBLANK(E1177),"Insert data",IF(E1163="No",0,(IF(D1177="litres",(E1177*(INDEX(Fuel_Densities,MATCH(C1177,Fuels_for_Densities,0))/1000)*INDEX(Fuel_LHV,MATCH(C1177,Fuels_for_LHV,0))*INDEX(Fuel_EFs,MATCH(C1177,Fuels_for_EF,0)))/(D1166*1000),(IF(D1177="m3",(E1177*(INDEX(Fuel_Densities,MATCH(C1177,Fuels_for_Densities,0)))*INDEX(Fuel_LHV,MATCH(C1177,Fuels_for_LHV,0))*INDEX(Fuel_EFs,MATCH(C1177,Fuels_for_EF,0)))/(D1166*1000),IF(D1177="kg",(E1177*INDEX(Fuel_LHV,MATCH(C1177,Fuels_for_LHV,0))*INDEX(Fuel_EFs,MATCH(C1177,Fuels_for_EF,0)))/(D1166*1000),IF(D1177="tonnes",(E1177*INDEX(Fuel_LHV,MATCH(C1177,Fuels_for_LHV,0))*1000*INDEX(Fuel_EFs,MATCH(C1177,Fuels_for_EF,0)))/(D1166*1000),IF(D1177="MWh",(E1177*'Reference values'!$D$47*INDEX(Fuel_EFs,MATCH(C1177,Fuels_for_EF,0)))/(D1166*1000),IF(D1177="kWh",(E1177*'Reference values'!$D$47*INDEX(Fuel_EFs,MATCH(C1177,Fuels_for_EF,0))/1000)/(D1166*1000),(IF(D1177="litres/tonne(output)",(E1177*(INDEX(Fuel_Densities,MATCH(C1177,Fuels_for_Densities,0))/1000)*INDEX(Fuel_LHV,MATCH(C1177,Fuels_for_LHV,0))*INDEX(Fuel_EFs,MATCH(C1177,Fuels_for_EF,0)))/1000,(IF(D1177="m3/tonne(output)",(E1177*(INDEX(Fuel_Densities,MATCH(C1177,Fuels_for_Densities,0)))*INDEX(Fuel_LHV,MATCH(C1177,Fuels_for_LHV,0))*INDEX(Fuel_EFs,MATCH(C1177,Fuels_for_EF,0)))/1000,IF(D1177="kg/tonne(output)",(E1177*INDEX(Fuel_LHV,MATCH(C1177,Fuels_for_LHV,0))*INDEX(Fuel_EFs,MATCH(C1177,Fuels_for_EF,0)))/1000,IF(D1177="tonnes/tonne(output)",(E1177*INDEX(Fuel_LHV,MATCH(C1177,Fuels_for_LHV,0))*1000*INDEX(Fuel_EFs,MATCH(C1177,Fuels_for_EF,0)))/1000,IF(D1177="MWh/tonne(output)",(E1177*'Reference values'!$D$47*INDEX(Fuel_EFs,MATCH(C1177,Fuels_for_EF,0)))/1000,IF(D1177="kWh/tonne(output)",(E1177*'Reference values'!$D$47*INDEX(Fuel_EFs,MATCH(C1177,Fuels_for_EF,0))/1000)/1000,"Insert unit")))))))))))))))))),""),"Insert data")</f>
        <v/>
      </c>
      <c r="K1177" s="44"/>
      <c r="L1177" s="54"/>
    </row>
    <row r="1178" spans="1:14" s="4" customFormat="1" outlineLevel="1" x14ac:dyDescent="0.4">
      <c r="A1178" s="765"/>
      <c r="B1178" s="51"/>
      <c r="C1178" s="134"/>
      <c r="D1178" s="141"/>
      <c r="E1178" s="144"/>
      <c r="F1178" s="1"/>
      <c r="G1178" s="1"/>
      <c r="H1178" s="43"/>
      <c r="I1178" s="27" t="str">
        <f>IF(C1178&gt;0,C1178,"")</f>
        <v/>
      </c>
      <c r="J1178" s="31" t="str">
        <f>IFERROR(IF(C1178&gt;0,IF(ISBLANK(E1178),"Insert data",IF(E1163="No",0,(IF(D1178="litres",(E1178*(INDEX(Fuel_Densities,MATCH(C1178,Fuels_for_Densities,0))/1000)*INDEX(Fuel_LHV,MATCH(C1178,Fuels_for_LHV,0))*INDEX(Fuel_EFs,MATCH(C1178,Fuels_for_EF,0)))/(D1166*1000),(IF(D1178="m3",(E1178*(INDEX(Fuel_Densities,MATCH(C1178,Fuels_for_Densities,0)))*INDEX(Fuel_LHV,MATCH(C1178,Fuels_for_LHV,0))*INDEX(Fuel_EFs,MATCH(C1178,Fuels_for_EF,0)))/(D1166*1000),IF(D1178="kg",(E1178*INDEX(Fuel_LHV,MATCH(C1178,Fuels_for_LHV,0))*INDEX(Fuel_EFs,MATCH(C1178,Fuels_for_EF,0)))/(D1166*1000),IF(D1178="tonnes",(E1178*INDEX(Fuel_LHV,MATCH(C1178,Fuels_for_LHV,0))*1000*INDEX(Fuel_EFs,MATCH(C1178,Fuels_for_EF,0)))/(D1166*1000),IF(D1178="MWh",(E1178*'Reference values'!$D$47*INDEX(Fuel_EFs,MATCH(C1178,Fuels_for_EF,0)))/(D1166*1000),IF(D1178="kWh",(E1178*'Reference values'!$D$47*INDEX(Fuel_EFs,MATCH(C1178,Fuels_for_EF,0))/1000)/(D1166*1000),(IF(D1178="litres/tonne(output)",(E1178*(INDEX(Fuel_Densities,MATCH(C1178,Fuels_for_Densities,0))/1000)*INDEX(Fuel_LHV,MATCH(C1178,Fuels_for_LHV,0))*INDEX(Fuel_EFs,MATCH(C1178,Fuels_for_EF,0)))/1000,(IF(D1178="m3/tonne(output)",(E1178*(INDEX(Fuel_Densities,MATCH(C1178,Fuels_for_Densities,0)))*INDEX(Fuel_LHV,MATCH(C1178,Fuels_for_LHV,0))*INDEX(Fuel_EFs,MATCH(C1178,Fuels_for_EF,0)))/1000,IF(D1178="kg/tonne(output)",(E1178*INDEX(Fuel_LHV,MATCH(C1178,Fuels_for_LHV,0))*INDEX(Fuel_EFs,MATCH(C1178,Fuels_for_EF,0)))/1000,IF(D1178="tonnes/tonne(output)",(E1178*INDEX(Fuel_LHV,MATCH(C1178,Fuels_for_LHV,0))*1000*INDEX(Fuel_EFs,MATCH(C1178,Fuels_for_EF,0)))/1000,IF(D1178="MWh/tonne(output)",(E1178*'Reference values'!$D$47*INDEX(Fuel_EFs,MATCH(C1178,Fuels_for_EF,0)))/1000,IF(D1178="kWh/tonne(output)",(E1178*'Reference values'!$D$47*INDEX(Fuel_EFs,MATCH(C1178,Fuels_for_EF,0))/1000)/1000,"Insert unit")))))))))))))))))),""),"Insert data")</f>
        <v/>
      </c>
      <c r="K1178" s="44"/>
      <c r="L1178" s="54"/>
    </row>
    <row r="1179" spans="1:14" s="4" customFormat="1" outlineLevel="1" x14ac:dyDescent="0.4">
      <c r="A1179" s="765"/>
      <c r="B1179" s="51"/>
      <c r="C1179" s="1"/>
      <c r="D1179" s="1"/>
      <c r="E1179" s="1"/>
      <c r="F1179" s="1"/>
      <c r="G1179" s="53"/>
      <c r="H1179" s="56"/>
      <c r="I1179" s="57"/>
      <c r="J1179" s="34"/>
      <c r="K1179" s="44"/>
      <c r="L1179" s="54"/>
    </row>
    <row r="1180" spans="1:14" s="4" customFormat="1" outlineLevel="1" x14ac:dyDescent="0.4">
      <c r="A1180" s="765"/>
      <c r="B1180" s="51"/>
      <c r="C1180" s="25" t="s">
        <v>191</v>
      </c>
      <c r="D1180" s="1"/>
      <c r="E1180" s="1"/>
      <c r="F1180" s="1"/>
      <c r="G1180" s="53"/>
      <c r="H1180" s="56"/>
      <c r="I1180" s="34"/>
      <c r="J1180" s="34"/>
      <c r="K1180" s="44"/>
      <c r="L1180" s="54"/>
    </row>
    <row r="1181" spans="1:14" s="4" customFormat="1" outlineLevel="1" x14ac:dyDescent="0.4">
      <c r="A1181" s="765"/>
      <c r="B1181" s="51"/>
      <c r="C1181" s="164" t="s">
        <v>192</v>
      </c>
      <c r="D1181" s="164" t="s">
        <v>151</v>
      </c>
      <c r="E1181" s="164" t="s">
        <v>140</v>
      </c>
      <c r="F1181" s="1"/>
      <c r="G1181" s="1"/>
      <c r="H1181" s="43"/>
      <c r="I1181" s="164" t="s">
        <v>192</v>
      </c>
      <c r="J1181" s="182" t="s">
        <v>141</v>
      </c>
      <c r="K1181" s="44"/>
      <c r="L1181" s="54"/>
    </row>
    <row r="1182" spans="1:14" s="4" customFormat="1" outlineLevel="1" x14ac:dyDescent="0.4">
      <c r="A1182" s="765"/>
      <c r="B1182" s="51"/>
      <c r="C1182" s="134"/>
      <c r="D1182" s="141"/>
      <c r="E1182" s="144"/>
      <c r="F1182" s="1"/>
      <c r="G1182" s="1"/>
      <c r="H1182" s="43"/>
      <c r="I1182" s="27" t="str">
        <f t="shared" ref="I1182:I1189" si="23">IF(C1182&gt;0,C1182,"")</f>
        <v/>
      </c>
      <c r="J1182" s="31" t="str">
        <f>IFERROR(IF(C1182&gt;0,IF(ISBLANK(E1182),"Insert data",IF(E1163="No",0,IF(D1182="kg",E1182*INDEX(Chemical_Emission_Factors,MATCH(C1182,Chemicals,0))/(D1166*1000),IF(D1182="tonnes",E1182*INDEX(Chemical_Emission_Factors,MATCH(C1182,Chemicals,0))*1000/(D1166*1000),IF(D1182="kg/tonne(output)",E1182*INDEX(Chemical_Emission_Factors,MATCH(C1182,Chemicals,0))/1000,IF(D1182="tonnes/tonne(output)",E1182*INDEX(Chemical_Emission_Factors,MATCH(C1182,Chemicals,0))*1000/1000,"Insert unit")))))),""),"Insert data")</f>
        <v/>
      </c>
      <c r="K1182" s="44"/>
      <c r="L1182" s="54"/>
    </row>
    <row r="1183" spans="1:14" s="4" customFormat="1" outlineLevel="1" x14ac:dyDescent="0.4">
      <c r="A1183" s="765"/>
      <c r="B1183" s="51"/>
      <c r="C1183" s="134"/>
      <c r="D1183" s="141"/>
      <c r="E1183" s="144"/>
      <c r="F1183" s="1"/>
      <c r="G1183" s="1"/>
      <c r="H1183" s="43"/>
      <c r="I1183" s="27" t="str">
        <f t="shared" si="23"/>
        <v/>
      </c>
      <c r="J1183" s="31" t="str">
        <f>IFERROR(IF(C1183&gt;0,IF(ISBLANK(E1183),"Insert data",IF(E1163="No",0,IF(D1183="kg",E1183*INDEX(Chemical_Emission_Factors,MATCH(C1183,Chemicals,0))/(D1166*1000),IF(D1183="tonnes",E1183*INDEX(Chemical_Emission_Factors,MATCH(C1183,Chemicals,0))*1000/(D1166*1000),IF(D1183="kg/tonne(output)",E1183*INDEX(Chemical_Emission_Factors,MATCH(C1183,Chemicals,0))/1000,IF(D1183="tonnes/tonne(output)",E1183*INDEX(Chemical_Emission_Factors,MATCH(C1183,Chemicals,0))*1000/1000,"Insert unit")))))),""),"Insert data")</f>
        <v/>
      </c>
      <c r="K1183" s="44"/>
      <c r="L1183" s="54"/>
    </row>
    <row r="1184" spans="1:14" s="4" customFormat="1" outlineLevel="1" x14ac:dyDescent="0.4">
      <c r="A1184" s="765"/>
      <c r="B1184" s="51"/>
      <c r="C1184" s="134"/>
      <c r="D1184" s="141"/>
      <c r="E1184" s="144"/>
      <c r="F1184" s="1"/>
      <c r="G1184" s="1"/>
      <c r="H1184" s="43"/>
      <c r="I1184" s="27" t="str">
        <f t="shared" si="23"/>
        <v/>
      </c>
      <c r="J1184" s="31" t="str">
        <f>IFERROR(IF(C1184&gt;0,IF(ISBLANK(E1184),"Insert data",IF(E1163="No",0,IF(D1184="kg",E1184*INDEX(Chemical_Emission_Factors,MATCH(C1184,Chemicals,0))/(D1166*1000),IF(D1184="tonnes",E1184*INDEX(Chemical_Emission_Factors,MATCH(C1184,Chemicals,0))*1000/(D1166*1000),IF(D1184="kg/tonne(output)",E1184*INDEX(Chemical_Emission_Factors,MATCH(C1184,Chemicals,0))/1000,IF(D1184="tonnes/tonne(output)",E1184*INDEX(Chemical_Emission_Factors,MATCH(C1184,Chemicals,0))*1000/1000,"Insert unit")))))),""),"Insert data")</f>
        <v/>
      </c>
      <c r="K1184" s="44"/>
      <c r="L1184" s="54"/>
    </row>
    <row r="1185" spans="1:12" s="4" customFormat="1" outlineLevel="1" x14ac:dyDescent="0.4">
      <c r="A1185" s="765"/>
      <c r="B1185" s="51"/>
      <c r="C1185" s="134"/>
      <c r="D1185" s="141"/>
      <c r="E1185" s="144"/>
      <c r="F1185" s="1"/>
      <c r="G1185" s="1"/>
      <c r="H1185" s="43"/>
      <c r="I1185" s="27" t="str">
        <f t="shared" si="23"/>
        <v/>
      </c>
      <c r="J1185" s="31" t="str">
        <f>IFERROR(IF(C1185&gt;0,IF(ISBLANK(E1185),"Insert data",IF(E1163="No",0,IF(D1185="kg",E1185*INDEX(Chemical_Emission_Factors,MATCH(C1185,Chemicals,0))/(D1166*1000),IF(D1185="tonnes",E1185*INDEX(Chemical_Emission_Factors,MATCH(C1185,Chemicals,0))*1000/(D1166*1000),IF(D1185="kg/tonne(output)",E1185*INDEX(Chemical_Emission_Factors,MATCH(C1185,Chemicals,0))/1000,IF(D1185="tonnes/tonne(output)",E1185*INDEX(Chemical_Emission_Factors,MATCH(C1185,Chemicals,0))*1000/1000,"Insert unit")))))),""),"Insert data")</f>
        <v/>
      </c>
      <c r="K1185" s="44"/>
      <c r="L1185" s="54"/>
    </row>
    <row r="1186" spans="1:12" s="4" customFormat="1" outlineLevel="1" x14ac:dyDescent="0.4">
      <c r="A1186" s="765"/>
      <c r="B1186" s="51"/>
      <c r="C1186" s="134"/>
      <c r="D1186" s="141"/>
      <c r="E1186" s="144"/>
      <c r="F1186" s="1"/>
      <c r="G1186" s="1"/>
      <c r="H1186" s="43"/>
      <c r="I1186" s="27" t="str">
        <f t="shared" si="23"/>
        <v/>
      </c>
      <c r="J1186" s="31" t="str">
        <f>IFERROR(IF(C1186&gt;0,IF(ISBLANK(E1186),"Insert data",IF(E1163="No",0,IF(D1186="kg",E1186*INDEX(Chemical_Emission_Factors,MATCH(C1186,Chemicals,0))/(D1166*1000),IF(D1186="tonnes",E1186*INDEX(Chemical_Emission_Factors,MATCH(C1186,Chemicals,0))*1000/(D1166*1000),IF(D1186="kg/tonne(output)",E1186*INDEX(Chemical_Emission_Factors,MATCH(C1186,Chemicals,0))/1000,IF(D1186="tonnes/tonne(output)",E1186*INDEX(Chemical_Emission_Factors,MATCH(C1186,Chemicals,0))*1000/1000,"Insert unit")))))),""),"Insert data")</f>
        <v/>
      </c>
      <c r="K1186" s="44"/>
      <c r="L1186" s="54"/>
    </row>
    <row r="1187" spans="1:12" s="4" customFormat="1" outlineLevel="1" x14ac:dyDescent="0.4">
      <c r="A1187" s="765"/>
      <c r="B1187" s="51"/>
      <c r="C1187" s="134"/>
      <c r="D1187" s="141"/>
      <c r="E1187" s="144"/>
      <c r="F1187" s="1"/>
      <c r="G1187" s="1"/>
      <c r="H1187" s="43"/>
      <c r="I1187" s="27" t="str">
        <f t="shared" si="23"/>
        <v/>
      </c>
      <c r="J1187" s="31" t="str">
        <f>IFERROR(IF(C1187&gt;0,IF(ISBLANK(E1187),"Insert data",IF(E1163="No",0,IF(D1187="kg",E1187*INDEX(Chemical_Emission_Factors,MATCH(C1187,Chemicals,0))/(D1166*1000),IF(D1187="tonnes",E1187*INDEX(Chemical_Emission_Factors,MATCH(C1187,Chemicals,0))*1000/(D1166*1000),IF(D1187="kg/tonne(output)",E1187*INDEX(Chemical_Emission_Factors,MATCH(C1187,Chemicals,0))/1000,IF(D1187="tonnes/tonne(output)",E1187*INDEX(Chemical_Emission_Factors,MATCH(C1187,Chemicals,0))*1000/1000,"Insert unit")))))),""),"Insert data")</f>
        <v/>
      </c>
      <c r="K1187" s="44"/>
      <c r="L1187" s="54"/>
    </row>
    <row r="1188" spans="1:12" s="4" customFormat="1" outlineLevel="1" x14ac:dyDescent="0.4">
      <c r="A1188" s="765"/>
      <c r="B1188" s="51"/>
      <c r="C1188" s="134"/>
      <c r="D1188" s="141"/>
      <c r="E1188" s="144"/>
      <c r="F1188" s="1"/>
      <c r="G1188" s="1"/>
      <c r="H1188" s="43"/>
      <c r="I1188" s="27" t="str">
        <f t="shared" si="23"/>
        <v/>
      </c>
      <c r="J1188" s="31" t="str">
        <f>IFERROR(IF(C1188&gt;0,IF(ISBLANK(E1188),"Insert data",IF(E1163="No",0,IF(D1188="kg",E1188*INDEX(Chemical_Emission_Factors,MATCH(C1188,Chemicals,0))/(D1166*1000),IF(D1188="tonnes",E1188*INDEX(Chemical_Emission_Factors,MATCH(C1188,Chemicals,0))*1000/(D1166*1000),IF(D1188="kg/tonne(output)",E1188*INDEX(Chemical_Emission_Factors,MATCH(C1188,Chemicals,0))/1000,IF(D1188="tonnes/tonne(output)",E1188*INDEX(Chemical_Emission_Factors,MATCH(C1188,Chemicals,0))*1000/1000,"Insert unit")))))),""),"Insert data")</f>
        <v/>
      </c>
      <c r="K1188" s="44"/>
      <c r="L1188" s="54"/>
    </row>
    <row r="1189" spans="1:12" s="4" customFormat="1" outlineLevel="1" x14ac:dyDescent="0.4">
      <c r="A1189" s="765"/>
      <c r="B1189" s="51"/>
      <c r="C1189" s="134"/>
      <c r="D1189" s="141"/>
      <c r="E1189" s="144"/>
      <c r="F1189" s="1"/>
      <c r="G1189" s="1"/>
      <c r="H1189" s="43"/>
      <c r="I1189" s="27" t="str">
        <f t="shared" si="23"/>
        <v/>
      </c>
      <c r="J1189" s="31" t="str">
        <f>IFERROR(IF(C1189&gt;0,IF(ISBLANK(E1189),"Insert data",IF(E1163="No",0,IF(D1189="kg",E1189*INDEX(Chemical_Emission_Factors,MATCH(C1189,Chemicals,0))/(D1166*1000),IF(D1189="tonnes",E1189*INDEX(Chemical_Emission_Factors,MATCH(C1189,Chemicals,0))*1000/(D1166*1000),IF(D1189="kg/tonne(output)",E1189*INDEX(Chemical_Emission_Factors,MATCH(C1189,Chemicals,0))/1000,IF(D1189="tonnes/tonne(output)",E1189*INDEX(Chemical_Emission_Factors,MATCH(C1189,Chemicals,0))*1000/1000,"Insert unit")))))),""),"Insert data")</f>
        <v/>
      </c>
      <c r="K1189" s="44"/>
      <c r="L1189" s="54"/>
    </row>
    <row r="1190" spans="1:12" s="4" customFormat="1" ht="12.75" customHeight="1" outlineLevel="1" x14ac:dyDescent="0.4">
      <c r="B1190" s="20"/>
      <c r="C1190" s="21"/>
      <c r="D1190" s="21"/>
      <c r="E1190" s="21"/>
      <c r="F1190" s="1"/>
      <c r="G1190" s="21"/>
      <c r="H1190" s="46"/>
      <c r="I1190" s="58"/>
      <c r="J1190" s="58"/>
      <c r="K1190" s="59"/>
      <c r="L1190" s="35"/>
    </row>
    <row r="1191" spans="1:12" s="4" customFormat="1" outlineLevel="1" x14ac:dyDescent="0.4">
      <c r="B1191" s="20"/>
      <c r="C1191" s="243" t="s">
        <v>193</v>
      </c>
      <c r="D1191" s="21"/>
      <c r="E1191" s="21"/>
      <c r="F1191" s="1"/>
      <c r="G1191" s="21"/>
      <c r="H1191" s="21"/>
      <c r="I1191" s="21"/>
      <c r="J1191" s="21"/>
      <c r="K1191" s="21"/>
      <c r="L1191" s="35"/>
    </row>
    <row r="1192" spans="1:12" s="4" customFormat="1" outlineLevel="1" x14ac:dyDescent="0.4">
      <c r="B1192" s="20"/>
      <c r="C1192" s="766" t="s">
        <v>194</v>
      </c>
      <c r="D1192" s="767"/>
      <c r="E1192" s="299" t="s">
        <v>178</v>
      </c>
      <c r="F1192" s="1"/>
      <c r="G1192" s="21"/>
      <c r="H1192" s="302"/>
      <c r="I1192" s="47"/>
      <c r="J1192" s="47"/>
      <c r="K1192" s="45"/>
      <c r="L1192" s="35"/>
    </row>
    <row r="1193" spans="1:12" s="4" customFormat="1" ht="6.75" customHeight="1" outlineLevel="1" x14ac:dyDescent="0.4">
      <c r="B1193" s="20"/>
      <c r="C1193" s="21"/>
      <c r="D1193" s="21"/>
      <c r="E1193" s="21"/>
      <c r="F1193" s="1"/>
      <c r="G1193" s="21"/>
      <c r="H1193" s="41"/>
      <c r="I1193" s="36"/>
      <c r="J1193" s="301"/>
      <c r="K1193" s="37"/>
      <c r="L1193" s="35"/>
    </row>
    <row r="1194" spans="1:12" s="4" customFormat="1" outlineLevel="1" x14ac:dyDescent="0.4">
      <c r="B1194" s="20"/>
      <c r="C1194" s="21"/>
      <c r="D1194" s="164" t="s">
        <v>151</v>
      </c>
      <c r="E1194" s="164" t="s">
        <v>140</v>
      </c>
      <c r="F1194" s="1"/>
      <c r="G1194" s="21"/>
      <c r="H1194" s="41"/>
      <c r="I1194" s="36"/>
      <c r="J1194" s="164" t="s">
        <v>195</v>
      </c>
      <c r="K1194" s="37"/>
      <c r="L1194" s="35"/>
    </row>
    <row r="1195" spans="1:12" s="4" customFormat="1" outlineLevel="1" x14ac:dyDescent="0.4">
      <c r="B1195" s="20"/>
      <c r="C1195" s="164" t="s">
        <v>196</v>
      </c>
      <c r="D1195" s="297" t="s">
        <v>197</v>
      </c>
      <c r="E1195" s="299"/>
      <c r="F1195" s="1"/>
      <c r="G1195" s="21"/>
      <c r="H1195" s="41"/>
      <c r="I1195" s="164" t="s">
        <v>198</v>
      </c>
      <c r="J1195" s="309" t="str">
        <f>IFERROR(IF(E1192="No", "", IF(AND(E1192="yes",OR(ISBLANK(E1195),ISBLANK(E1196),ISBLANK(E1197))),"Insert data",E1196/(E1196+E1197*E1195))), "")</f>
        <v/>
      </c>
      <c r="K1195" s="37"/>
      <c r="L1195" s="35"/>
    </row>
    <row r="1196" spans="1:12" s="4" customFormat="1" outlineLevel="1" x14ac:dyDescent="0.4">
      <c r="B1196" s="20"/>
      <c r="C1196" s="164" t="s">
        <v>199</v>
      </c>
      <c r="D1196" s="296" t="s">
        <v>200</v>
      </c>
      <c r="E1196" s="299"/>
      <c r="F1196" s="1"/>
      <c r="G1196" s="21"/>
      <c r="H1196" s="41"/>
      <c r="I1196" s="164" t="s">
        <v>201</v>
      </c>
      <c r="J1196" s="309" t="str">
        <f>IFERROR(IF(E1192="No", "", IF(AND(E1192="yes",OR(ISBLANK(E1195),ISBLANK(E1196),ISBLANK(E1197))),"Insert data",(E1197*E1195)/(E1197*E1195+E1196))),"")</f>
        <v/>
      </c>
      <c r="K1196" s="37"/>
      <c r="L1196" s="35"/>
    </row>
    <row r="1197" spans="1:12" s="4" customFormat="1" outlineLevel="1" x14ac:dyDescent="0.4">
      <c r="B1197" s="20"/>
      <c r="C1197" s="164" t="s">
        <v>202</v>
      </c>
      <c r="D1197" s="296" t="s">
        <v>200</v>
      </c>
      <c r="E1197" s="299"/>
      <c r="F1197" s="1"/>
      <c r="G1197" s="21"/>
      <c r="H1197" s="46"/>
      <c r="I1197" s="58"/>
      <c r="J1197" s="58"/>
      <c r="K1197" s="59"/>
      <c r="L1197" s="35"/>
    </row>
    <row r="1198" spans="1:12" s="4" customFormat="1" ht="6.75" customHeight="1" outlineLevel="1" x14ac:dyDescent="0.4">
      <c r="B1198" s="20"/>
      <c r="C1198" s="21"/>
      <c r="D1198" s="21"/>
      <c r="E1198" s="21"/>
      <c r="F1198" s="21"/>
      <c r="G1198" s="21"/>
      <c r="H1198" s="21"/>
      <c r="I1198" s="21"/>
      <c r="J1198" s="21"/>
      <c r="K1198" s="21"/>
      <c r="L1198" s="35"/>
    </row>
    <row r="1199" spans="1:12" s="4" customFormat="1" ht="12.75" customHeight="1" outlineLevel="1" x14ac:dyDescent="0.4">
      <c r="B1199" s="20"/>
      <c r="C1199" s="300" t="s">
        <v>203</v>
      </c>
      <c r="D1199" s="21"/>
      <c r="E1199" s="21"/>
      <c r="F1199" s="21"/>
      <c r="G1199" s="21"/>
      <c r="H1199" s="21"/>
      <c r="I1199" s="21"/>
      <c r="J1199" s="21"/>
      <c r="K1199" s="21"/>
      <c r="L1199" s="35"/>
    </row>
    <row r="1200" spans="1:12" s="4" customFormat="1" ht="12.75" customHeight="1" outlineLevel="1" x14ac:dyDescent="0.4">
      <c r="B1200" s="20"/>
      <c r="C1200" s="300" t="s">
        <v>204</v>
      </c>
      <c r="D1200" s="21"/>
      <c r="E1200" s="21"/>
      <c r="F1200" s="21"/>
      <c r="G1200" s="21"/>
      <c r="H1200" s="21"/>
      <c r="I1200" s="21"/>
      <c r="J1200" s="21"/>
      <c r="K1200" s="21"/>
      <c r="L1200" s="35"/>
    </row>
    <row r="1201" spans="1:12" s="4" customFormat="1" ht="6.75" customHeight="1" outlineLevel="1" x14ac:dyDescent="0.4">
      <c r="B1201" s="28"/>
      <c r="C1201" s="298"/>
      <c r="D1201" s="29"/>
      <c r="E1201" s="29"/>
      <c r="F1201" s="29"/>
      <c r="G1201" s="29"/>
      <c r="H1201" s="29"/>
      <c r="I1201" s="29"/>
      <c r="J1201" s="29"/>
      <c r="K1201" s="29"/>
      <c r="L1201" s="60"/>
    </row>
    <row r="1202" spans="1:12" s="4" customFormat="1" x14ac:dyDescent="0.4"/>
    <row r="1203" spans="1:12" s="4" customFormat="1" hidden="1" x14ac:dyDescent="0.4"/>
    <row r="1204" spans="1:12" s="4" customFormat="1" hidden="1" x14ac:dyDescent="0.4"/>
    <row r="1205" spans="1:12" s="4" customFormat="1" hidden="1" x14ac:dyDescent="0.4"/>
    <row r="1206" spans="1:12" s="4" customFormat="1" hidden="1" x14ac:dyDescent="0.4"/>
    <row r="1207" spans="1:12" s="4" customFormat="1" hidden="1" x14ac:dyDescent="0.4"/>
    <row r="1208" spans="1:12" s="4" customFormat="1" ht="19.2" x14ac:dyDescent="0.45">
      <c r="B1208" s="754" t="str">
        <f>"Feedstock Conversion"&amp;" - "&amp;Feedstocks!C38</f>
        <v xml:space="preserve">Feedstock Conversion - </v>
      </c>
      <c r="C1208" s="755"/>
      <c r="D1208" s="755"/>
      <c r="E1208" s="755"/>
      <c r="F1208" s="755"/>
      <c r="G1208" s="755"/>
      <c r="H1208" s="755"/>
      <c r="I1208" s="755"/>
      <c r="J1208" s="755"/>
      <c r="K1208" s="755"/>
      <c r="L1208" s="756"/>
    </row>
    <row r="1209" spans="1:12" s="4" customFormat="1" outlineLevel="1" x14ac:dyDescent="0.4">
      <c r="B1209" s="17"/>
      <c r="C1209" s="19"/>
      <c r="D1209" s="19"/>
      <c r="E1209" s="19"/>
      <c r="F1209" s="19"/>
      <c r="G1209" s="19"/>
      <c r="H1209" s="19"/>
      <c r="I1209" s="19"/>
      <c r="J1209" s="19"/>
      <c r="K1209" s="19"/>
      <c r="L1209" s="50"/>
    </row>
    <row r="1210" spans="1:12" s="4" customFormat="1" outlineLevel="1" x14ac:dyDescent="0.4">
      <c r="B1210" s="20"/>
      <c r="C1210" s="21"/>
      <c r="D1210" s="21"/>
      <c r="E1210" s="21"/>
      <c r="F1210" s="21"/>
      <c r="G1210" s="1"/>
      <c r="H1210" s="69" t="s">
        <v>122</v>
      </c>
      <c r="I1210" s="47"/>
      <c r="J1210" s="47"/>
      <c r="K1210" s="45"/>
      <c r="L1210" s="35"/>
    </row>
    <row r="1211" spans="1:12" s="4" customFormat="1" outlineLevel="1" x14ac:dyDescent="0.4">
      <c r="B1211" s="20"/>
      <c r="C1211" s="21"/>
      <c r="D1211" s="21"/>
      <c r="E1211" s="21"/>
      <c r="F1211" s="21"/>
      <c r="G1211" s="76"/>
      <c r="H1211" s="41"/>
      <c r="I1211" s="36"/>
      <c r="J1211" s="164" t="s">
        <v>124</v>
      </c>
      <c r="K1211" s="37"/>
      <c r="L1211" s="35"/>
    </row>
    <row r="1212" spans="1:12" s="4" customFormat="1" outlineLevel="1" x14ac:dyDescent="0.4">
      <c r="B1212" s="20"/>
      <c r="C1212" s="21"/>
      <c r="D1212" s="21"/>
      <c r="E1212" s="21"/>
      <c r="F1212" s="21"/>
      <c r="G1212" s="21"/>
      <c r="H1212" s="41"/>
      <c r="I1212" s="164" t="s">
        <v>125</v>
      </c>
      <c r="J1212" s="52" t="str">
        <f>IFERROR((J1216/('Transport 2'!F2985*('Digestion &amp; outputs'!$G$36/1000)))*'Digestion &amp; outputs'!$K$23,"")</f>
        <v/>
      </c>
      <c r="K1212" s="37"/>
      <c r="L1212" s="35"/>
    </row>
    <row r="1213" spans="1:12" s="4" customFormat="1" ht="16.5" customHeight="1" outlineLevel="1" x14ac:dyDescent="0.4">
      <c r="B1213" s="20"/>
      <c r="C1213" s="759" t="s">
        <v>183</v>
      </c>
      <c r="D1213" s="759"/>
      <c r="E1213" s="134" t="s">
        <v>178</v>
      </c>
      <c r="F1213" s="21"/>
      <c r="G1213" s="21"/>
      <c r="H1213" s="41"/>
      <c r="I1213" s="36"/>
      <c r="J1213" s="36"/>
      <c r="K1213" s="37"/>
      <c r="L1213" s="35"/>
    </row>
    <row r="1214" spans="1:12" s="4" customFormat="1" outlineLevel="1" x14ac:dyDescent="0.4">
      <c r="B1214" s="20"/>
      <c r="C1214" s="763" t="s">
        <v>184</v>
      </c>
      <c r="D1214" s="764"/>
      <c r="E1214" s="134" t="s">
        <v>96</v>
      </c>
      <c r="F1214" s="21"/>
      <c r="G1214" s="21"/>
      <c r="H1214" s="41"/>
      <c r="I1214" s="36"/>
      <c r="J1214" s="36"/>
      <c r="K1214" s="37"/>
      <c r="L1214" s="35"/>
    </row>
    <row r="1215" spans="1:12" s="4" customFormat="1" outlineLevel="1" x14ac:dyDescent="0.4">
      <c r="B1215" s="20"/>
      <c r="C1215" s="21"/>
      <c r="D1215" s="21"/>
      <c r="E1215" s="21"/>
      <c r="F1215" s="21"/>
      <c r="G1215" s="21"/>
      <c r="H1215" s="43"/>
      <c r="I1215" s="34"/>
      <c r="J1215" s="164" t="s">
        <v>141</v>
      </c>
      <c r="K1215" s="44"/>
      <c r="L1215" s="35"/>
    </row>
    <row r="1216" spans="1:12" s="4" customFormat="1" outlineLevel="1" x14ac:dyDescent="0.4">
      <c r="A1216" s="765"/>
      <c r="B1216" s="51"/>
      <c r="C1216" s="164" t="s">
        <v>185</v>
      </c>
      <c r="D1216" s="70">
        <f>IFERROR(Feedstocks!D38/'Transport 2'!F1219,"Insert data")</f>
        <v>0</v>
      </c>
      <c r="E1216" s="21"/>
      <c r="F1216" s="21"/>
      <c r="G1216" s="21"/>
      <c r="H1216" s="43"/>
      <c r="I1216" s="164" t="s">
        <v>167</v>
      </c>
      <c r="J1216" s="52">
        <f>IFERROR(IF(AND(E1213="YES",ISBLANK(F1217)),"Insert yield",SUM(J1232:J1239,J1225:J1228,J1221)*IF(E1242="Yes",J1245,1)),"Insert data")</f>
        <v>0</v>
      </c>
      <c r="K1216" s="44"/>
      <c r="L1216" s="35"/>
    </row>
    <row r="1217" spans="1:14" s="4" customFormat="1" outlineLevel="1" x14ac:dyDescent="0.4">
      <c r="A1217" s="765"/>
      <c r="B1217" s="51"/>
      <c r="C1217" s="164" t="s">
        <v>186</v>
      </c>
      <c r="D1217" s="680">
        <v>0.9</v>
      </c>
      <c r="E1217" s="134"/>
      <c r="F1217" s="623">
        <f>IF(E1213="No", 1, IF(E1214="Default",D1217, IF(E1214="Actual", IF(E1217&gt;0, E1217, "insert data"), "error")))</f>
        <v>1</v>
      </c>
      <c r="G1217" s="21"/>
      <c r="H1217" s="49"/>
      <c r="I1217" s="65"/>
      <c r="J1217" s="65"/>
      <c r="K1217" s="66"/>
      <c r="L1217" s="35"/>
    </row>
    <row r="1218" spans="1:14" s="4" customFormat="1" outlineLevel="1" x14ac:dyDescent="0.4">
      <c r="A1218" s="765"/>
      <c r="B1218" s="51"/>
      <c r="C1218" s="21"/>
      <c r="D1218" s="21"/>
      <c r="E1218" s="21"/>
      <c r="F1218" s="21"/>
      <c r="G1218" s="21"/>
      <c r="H1218" s="29"/>
      <c r="I1218" s="29"/>
      <c r="J1218" s="29"/>
      <c r="K1218" s="29"/>
      <c r="L1218" s="35"/>
    </row>
    <row r="1219" spans="1:14" s="4" customFormat="1" outlineLevel="1" x14ac:dyDescent="0.4">
      <c r="A1219" s="765"/>
      <c r="B1219" s="51"/>
      <c r="C1219" s="25" t="s">
        <v>187</v>
      </c>
      <c r="D1219" s="1"/>
      <c r="E1219" s="1"/>
      <c r="F1219" s="21"/>
      <c r="G1219" s="1"/>
      <c r="H1219" s="69" t="s">
        <v>136</v>
      </c>
      <c r="I1219" s="79"/>
      <c r="J1219" s="79"/>
      <c r="K1219" s="61"/>
      <c r="L1219" s="54"/>
      <c r="M1219" s="12"/>
      <c r="N1219" s="12"/>
    </row>
    <row r="1220" spans="1:14" s="4" customFormat="1" outlineLevel="1" x14ac:dyDescent="0.4">
      <c r="A1220" s="765"/>
      <c r="B1220" s="51"/>
      <c r="C1220" s="166" t="s">
        <v>188</v>
      </c>
      <c r="D1220" s="164" t="s">
        <v>151</v>
      </c>
      <c r="E1220" s="164" t="s">
        <v>140</v>
      </c>
      <c r="F1220" s="21"/>
      <c r="G1220" s="1"/>
      <c r="H1220" s="43"/>
      <c r="I1220" s="34"/>
      <c r="J1220" s="164" t="s">
        <v>141</v>
      </c>
      <c r="K1220" s="44"/>
      <c r="L1220" s="54"/>
    </row>
    <row r="1221" spans="1:14" s="4" customFormat="1" outlineLevel="1" x14ac:dyDescent="0.4">
      <c r="A1221" s="765"/>
      <c r="B1221" s="51"/>
      <c r="C1221" s="145"/>
      <c r="D1221" s="141"/>
      <c r="E1221" s="144"/>
      <c r="F1221" s="21"/>
      <c r="G1221" s="1"/>
      <c r="H1221" s="43"/>
      <c r="I1221" s="164" t="s">
        <v>189</v>
      </c>
      <c r="J1221" s="31">
        <f>IFERROR(IF(E1213="No",0,IF(D1221="MWh",(E1221*'Reference values'!$D$47*INDEX(Electricity_Emission_Factors,MATCH(C1221,Electricity_Source,0)))/(D1216*1000),IF(D1221="kWh",(E1221*'Reference values'!$D$47*INDEX(Electricity_Emission_Factors,MATCH(C1221,Electricity_Source,0))/1000)/(D1216*1000),IF(D1221="MWh/tonne(output)",(E1221*'Reference values'!$D$47*INDEX(Electricity_Emission_Factors,MATCH(C1221,Electricity_Source,0)))/1000,IF(D1221="kWh/tonne(output)",(E1221*'Reference values'!$D$47*INDEX(Electricity_Emission_Factors,MATCH(C1221,Electricity_Source,0))/1000)/1000,""))))),"")</f>
        <v>0</v>
      </c>
      <c r="K1221" s="44"/>
      <c r="L1221" s="54"/>
    </row>
    <row r="1222" spans="1:14" s="4" customFormat="1" outlineLevel="1" x14ac:dyDescent="0.4">
      <c r="A1222" s="765"/>
      <c r="B1222" s="51"/>
      <c r="C1222" s="1"/>
      <c r="D1222" s="1"/>
      <c r="E1222" s="1"/>
      <c r="F1222" s="21"/>
      <c r="G1222" s="1"/>
      <c r="H1222" s="43"/>
      <c r="I1222" s="34"/>
      <c r="J1222" s="34"/>
      <c r="K1222" s="44"/>
      <c r="L1222" s="54"/>
    </row>
    <row r="1223" spans="1:14" s="4" customFormat="1" outlineLevel="1" x14ac:dyDescent="0.4">
      <c r="A1223" s="765"/>
      <c r="B1223" s="51"/>
      <c r="C1223" s="25" t="s">
        <v>190</v>
      </c>
      <c r="D1223" s="1"/>
      <c r="E1223" s="1"/>
      <c r="F1223" s="21"/>
      <c r="G1223" s="1"/>
      <c r="H1223" s="43"/>
      <c r="I1223" s="34"/>
      <c r="J1223" s="34"/>
      <c r="K1223" s="44"/>
      <c r="L1223" s="54"/>
    </row>
    <row r="1224" spans="1:14" s="4" customFormat="1" outlineLevel="1" x14ac:dyDescent="0.4">
      <c r="A1224" s="765"/>
      <c r="B1224" s="51"/>
      <c r="C1224" s="164" t="s">
        <v>160</v>
      </c>
      <c r="D1224" s="164" t="s">
        <v>151</v>
      </c>
      <c r="E1224" s="164" t="s">
        <v>140</v>
      </c>
      <c r="F1224" s="21"/>
      <c r="G1224" s="1"/>
      <c r="H1224" s="43"/>
      <c r="I1224" s="164" t="s">
        <v>160</v>
      </c>
      <c r="J1224" s="182" t="s">
        <v>141</v>
      </c>
      <c r="K1224" s="44"/>
      <c r="L1224" s="54"/>
    </row>
    <row r="1225" spans="1:14" s="4" customFormat="1" outlineLevel="1" x14ac:dyDescent="0.4">
      <c r="A1225" s="765"/>
      <c r="B1225" s="51"/>
      <c r="C1225" s="27" t="str">
        <f>IF(E1214="Default", "Diesel", "")</f>
        <v>Diesel</v>
      </c>
      <c r="D1225" s="74" t="str">
        <f>IF(E1214="Default", "kWh/tonne(output)", "")</f>
        <v>kWh/tonne(output)</v>
      </c>
      <c r="E1225" s="74">
        <f>IF(E1214="Default", 3.881, "")</f>
        <v>3.8809999999999998</v>
      </c>
      <c r="F1225" s="21"/>
      <c r="G1225" s="1"/>
      <c r="H1225" s="43"/>
      <c r="I1225" s="27" t="str">
        <f>IF(C1225&gt;0,C1225,"")</f>
        <v>Diesel</v>
      </c>
      <c r="J1225" s="31">
        <f>IF(E1214="Actual","",IFERROR(IF(C1225&gt;0,IF(ISBLANK(E1225),"Insert data",IF(E1213="No",0,(IF(D1225="litres",(E1225*(INDEX(Fuel_Densities,MATCH(C1225,Fuels_for_Densities,0))/1000)*INDEX(Fuel_LHV,MATCH(C1225,Fuels_for_LHV,0))*INDEX(Fuel_EFs,MATCH(C1225,Fuels_for_EF,0)))/(D1216*1000),(IF(D1225="m3",(E1225*(INDEX(Fuel_Densities,MATCH(C1225,Fuels_for_Densities,0)))*INDEX(Fuel_LHV,MATCH(C1225,Fuels_for_LHV,0))*INDEX(Fuel_EFs,MATCH(C1225,Fuels_for_EF,0)))/(D1216*1000),IF(D1225="kg",(E1225*INDEX(Fuel_LHV,MATCH(C1225,Fuels_for_LHV,0))*INDEX(Fuel_EFs,MATCH(C1225,Fuels_for_EF,0)))/(D1216*1000),IF(D1225="tonnes",(E1225*INDEX(Fuel_LHV,MATCH(C1225,Fuels_for_LHV,0))*1000*INDEX(Fuel_EFs,MATCH(C1225,Fuels_for_EF,0)))/(D1216*1000),IF(D1225="MWh",(E1225*'Reference values'!$D$47*INDEX(Fuel_EFs,MATCH(C1225,Fuels_for_EF,0)))/(D1216*1000),IF(D1225="kWh",(E1225*'Reference values'!$D$47*INDEX(Fuel_EFs,MATCH(C1225,Fuels_for_EF,0))/1000)/(D1216*1000),(IF(D1225="litres/tonne(output)",(E1225*(INDEX(Fuel_Densities,MATCH(C1225,Fuels_for_Densities,0))/1000)*INDEX(Fuel_LHV,MATCH(C1225,Fuels_for_LHV,0))*INDEX(Fuel_EFs,MATCH(C1225,Fuels_for_EF,0)))/1000,(IF(D1225="m3/tonne(output)",(E1225*(INDEX(Fuel_Densities,MATCH(C1225,Fuels_for_Densities,0)))*INDEX(Fuel_LHV,MATCH(C1225,Fuels_for_LHV,0))*INDEX(Fuel_EFs,MATCH(C1225,Fuels_for_EF,0)))/1000,IF(D1225="kg/tonne(output)",(E1225*INDEX(Fuel_LHV,MATCH(C1225,Fuels_for_LHV,0))*INDEX(Fuel_EFs,MATCH(C1225,Fuels_for_EF,0)))/1000,IF(D1225="tonnes/tonne(output)",(E1225*INDEX(Fuel_LHV,MATCH(C1225,Fuels_for_LHV,0))*1000*INDEX(Fuel_EFs,MATCH(C1225,Fuels_for_EF,0)))/1000,IF(D1225="MWh/tonne(output)",(E1225*'Reference values'!$D$47*INDEX(Fuel_EFs,MATCH(C1225,Fuels_for_EF,0)))/1000,IF(D1225="kWh/tonne(output)",(E1225*'Reference values'!$D$47*INDEX(Fuel_EFs,MATCH(C1225,Fuels_for_EF,0))/1000)/1000,"Insert unit")))))))))))))))))),""),"Insert data"))</f>
        <v>0</v>
      </c>
      <c r="K1225" s="44"/>
      <c r="L1225" s="54"/>
    </row>
    <row r="1226" spans="1:14" s="4" customFormat="1" outlineLevel="1" x14ac:dyDescent="0.4">
      <c r="A1226" s="765"/>
      <c r="B1226" s="51"/>
      <c r="C1226" s="134"/>
      <c r="D1226" s="141"/>
      <c r="E1226" s="144"/>
      <c r="F1226" s="21"/>
      <c r="G1226" s="1"/>
      <c r="H1226" s="43"/>
      <c r="I1226" s="27" t="str">
        <f>IF(C1226&gt;0,C1226,"")</f>
        <v/>
      </c>
      <c r="J1226" s="31" t="str">
        <f>IFERROR(IF(C1226&gt;0,IF(ISBLANK(E1226),"Insert data",IF(E1213="No",0,(IF(D1226="litres",(E1226*(INDEX(Fuel_Densities,MATCH(C1226,Fuels_for_Densities,0))/1000)*INDEX(Fuel_LHV,MATCH(C1226,Fuels_for_LHV,0))*INDEX(Fuel_EFs,MATCH(C1226,Fuels_for_EF,0)))/(D1216*1000),(IF(D1226="m3",(E1226*(INDEX(Fuel_Densities,MATCH(C1226,Fuels_for_Densities,0)))*INDEX(Fuel_LHV,MATCH(C1226,Fuels_for_LHV,0))*INDEX(Fuel_EFs,MATCH(C1226,Fuels_for_EF,0)))/(D1216*1000),IF(D1226="kg",(E1226*INDEX(Fuel_LHV,MATCH(C1226,Fuels_for_LHV,0))*INDEX(Fuel_EFs,MATCH(C1226,Fuels_for_EF,0)))/(D1216*1000),IF(D1226="tonnes",(E1226*INDEX(Fuel_LHV,MATCH(C1226,Fuels_for_LHV,0))*1000*INDEX(Fuel_EFs,MATCH(C1226,Fuels_for_EF,0)))/(D1216*1000),IF(D1226="MWh",(E1226*'Reference values'!$D$47*INDEX(Fuel_EFs,MATCH(C1226,Fuels_for_EF,0)))/(D1216*1000),IF(D1226="kWh",(E1226*'Reference values'!$D$47*INDEX(Fuel_EFs,MATCH(C1226,Fuels_for_EF,0))/1000)/(D1216*1000),(IF(D1226="litres/tonne(output)",(E1226*(INDEX(Fuel_Densities,MATCH(C1226,Fuels_for_Densities,0))/1000)*INDEX(Fuel_LHV,MATCH(C1226,Fuels_for_LHV,0))*INDEX(Fuel_EFs,MATCH(C1226,Fuels_for_EF,0)))/1000,(IF(D1226="m3/tonne(output)",(E1226*(INDEX(Fuel_Densities,MATCH(C1226,Fuels_for_Densities,0)))*INDEX(Fuel_LHV,MATCH(C1226,Fuels_for_LHV,0))*INDEX(Fuel_EFs,MATCH(C1226,Fuels_for_EF,0)))/1000,IF(D1226="kg/tonne(output)",(E1226*INDEX(Fuel_LHV,MATCH(C1226,Fuels_for_LHV,0))*INDEX(Fuel_EFs,MATCH(C1226,Fuels_for_EF,0)))/1000,IF(D1226="tonnes/tonne(output)",(E1226*INDEX(Fuel_LHV,MATCH(C1226,Fuels_for_LHV,0))*1000*INDEX(Fuel_EFs,MATCH(C1226,Fuels_for_EF,0)))/1000,IF(D1226="MWh/tonne(output)",(E1226*'Reference values'!$D$47*INDEX(Fuel_EFs,MATCH(C1226,Fuels_for_EF,0)))/1000,IF(D1226="kWh/tonne(output)",(E1226*'Reference values'!$D$47*INDEX(Fuel_EFs,MATCH(C1226,Fuels_for_EF,0))/1000)/1000,"Insert unit")))))))))))))))))),""),"Insert data")</f>
        <v/>
      </c>
      <c r="K1226" s="44"/>
      <c r="L1226" s="54"/>
    </row>
    <row r="1227" spans="1:14" s="4" customFormat="1" outlineLevel="1" x14ac:dyDescent="0.4">
      <c r="A1227" s="765"/>
      <c r="B1227" s="51"/>
      <c r="C1227" s="134"/>
      <c r="D1227" s="141"/>
      <c r="E1227" s="144"/>
      <c r="F1227" s="21"/>
      <c r="G1227" s="1"/>
      <c r="H1227" s="43"/>
      <c r="I1227" s="27" t="str">
        <f>IF(C1227&gt;0,C1227,"")</f>
        <v/>
      </c>
      <c r="J1227" s="31" t="str">
        <f>IFERROR(IF(C1227&gt;0,IF(ISBLANK(E1227),"Insert data",IF(E1213="No",0,(IF(D1227="litres",(E1227*(INDEX(Fuel_Densities,MATCH(C1227,Fuels_for_Densities,0))/1000)*INDEX(Fuel_LHV,MATCH(C1227,Fuels_for_LHV,0))*INDEX(Fuel_EFs,MATCH(C1227,Fuels_for_EF,0)))/(D1216*1000),(IF(D1227="m3",(E1227*(INDEX(Fuel_Densities,MATCH(C1227,Fuels_for_Densities,0)))*INDEX(Fuel_LHV,MATCH(C1227,Fuels_for_LHV,0))*INDEX(Fuel_EFs,MATCH(C1227,Fuels_for_EF,0)))/(D1216*1000),IF(D1227="kg",(E1227*INDEX(Fuel_LHV,MATCH(C1227,Fuels_for_LHV,0))*INDEX(Fuel_EFs,MATCH(C1227,Fuels_for_EF,0)))/(D1216*1000),IF(D1227="tonnes",(E1227*INDEX(Fuel_LHV,MATCH(C1227,Fuels_for_LHV,0))*1000*INDEX(Fuel_EFs,MATCH(C1227,Fuels_for_EF,0)))/(D1216*1000),IF(D1227="MWh",(E1227*'Reference values'!$D$47*INDEX(Fuel_EFs,MATCH(C1227,Fuels_for_EF,0)))/(D1216*1000),IF(D1227="kWh",(E1227*'Reference values'!$D$47*INDEX(Fuel_EFs,MATCH(C1227,Fuels_for_EF,0))/1000)/(D1216*1000),(IF(D1227="litres/tonne(output)",(E1227*(INDEX(Fuel_Densities,MATCH(C1227,Fuels_for_Densities,0))/1000)*INDEX(Fuel_LHV,MATCH(C1227,Fuels_for_LHV,0))*INDEX(Fuel_EFs,MATCH(C1227,Fuels_for_EF,0)))/1000,(IF(D1227="m3/tonne(output)",(E1227*(INDEX(Fuel_Densities,MATCH(C1227,Fuels_for_Densities,0)))*INDEX(Fuel_LHV,MATCH(C1227,Fuels_for_LHV,0))*INDEX(Fuel_EFs,MATCH(C1227,Fuels_for_EF,0)))/1000,IF(D1227="kg/tonne(output)",(E1227*INDEX(Fuel_LHV,MATCH(C1227,Fuels_for_LHV,0))*INDEX(Fuel_EFs,MATCH(C1227,Fuels_for_EF,0)))/1000,IF(D1227="tonnes/tonne(output)",(E1227*INDEX(Fuel_LHV,MATCH(C1227,Fuels_for_LHV,0))*1000*INDEX(Fuel_EFs,MATCH(C1227,Fuels_for_EF,0)))/1000,IF(D1227="MWh/tonne(output)",(E1227*'Reference values'!$D$47*INDEX(Fuel_EFs,MATCH(C1227,Fuels_for_EF,0)))/1000,IF(D1227="kWh/tonne(output)",(E1227*'Reference values'!$D$47*INDEX(Fuel_EFs,MATCH(C1227,Fuels_for_EF,0))/1000)/1000,"Insert unit")))))))))))))))))),""),"Insert data")</f>
        <v/>
      </c>
      <c r="K1227" s="44"/>
      <c r="L1227" s="54"/>
    </row>
    <row r="1228" spans="1:14" s="4" customFormat="1" outlineLevel="1" x14ac:dyDescent="0.4">
      <c r="A1228" s="765"/>
      <c r="B1228" s="51"/>
      <c r="C1228" s="134"/>
      <c r="D1228" s="141"/>
      <c r="E1228" s="144"/>
      <c r="F1228" s="21"/>
      <c r="G1228" s="1"/>
      <c r="H1228" s="43"/>
      <c r="I1228" s="27" t="str">
        <f>IF(C1228&gt;0,C1228,"")</f>
        <v/>
      </c>
      <c r="J1228" s="31" t="str">
        <f>IFERROR(IF(C1228&gt;0,IF(ISBLANK(E1228),"Insert data",IF(E1213="No",0,(IF(D1228="litres",(E1228*(INDEX(Fuel_Densities,MATCH(C1228,Fuels_for_Densities,0))/1000)*INDEX(Fuel_LHV,MATCH(C1228,Fuels_for_LHV,0))*INDEX(Fuel_EFs,MATCH(C1228,Fuels_for_EF,0)))/(D1216*1000),(IF(D1228="m3",(E1228*(INDEX(Fuel_Densities,MATCH(C1228,Fuels_for_Densities,0)))*INDEX(Fuel_LHV,MATCH(C1228,Fuels_for_LHV,0))*INDEX(Fuel_EFs,MATCH(C1228,Fuels_for_EF,0)))/(D1216*1000),IF(D1228="kg",(E1228*INDEX(Fuel_LHV,MATCH(C1228,Fuels_for_LHV,0))*INDEX(Fuel_EFs,MATCH(C1228,Fuels_for_EF,0)))/(D1216*1000),IF(D1228="tonnes",(E1228*INDEX(Fuel_LHV,MATCH(C1228,Fuels_for_LHV,0))*1000*INDEX(Fuel_EFs,MATCH(C1228,Fuels_for_EF,0)))/(D1216*1000),IF(D1228="MWh",(E1228*'Reference values'!$D$47*INDEX(Fuel_EFs,MATCH(C1228,Fuels_for_EF,0)))/(D1216*1000),IF(D1228="kWh",(E1228*'Reference values'!$D$47*INDEX(Fuel_EFs,MATCH(C1228,Fuels_for_EF,0))/1000)/(D1216*1000),(IF(D1228="litres/tonne(output)",(E1228*(INDEX(Fuel_Densities,MATCH(C1228,Fuels_for_Densities,0))/1000)*INDEX(Fuel_LHV,MATCH(C1228,Fuels_for_LHV,0))*INDEX(Fuel_EFs,MATCH(C1228,Fuels_for_EF,0)))/1000,(IF(D1228="m3/tonne(output)",(E1228*(INDEX(Fuel_Densities,MATCH(C1228,Fuels_for_Densities,0)))*INDEX(Fuel_LHV,MATCH(C1228,Fuels_for_LHV,0))*INDEX(Fuel_EFs,MATCH(C1228,Fuels_for_EF,0)))/1000,IF(D1228="kg/tonne(output)",(E1228*INDEX(Fuel_LHV,MATCH(C1228,Fuels_for_LHV,0))*INDEX(Fuel_EFs,MATCH(C1228,Fuels_for_EF,0)))/1000,IF(D1228="tonnes/tonne(output)",(E1228*INDEX(Fuel_LHV,MATCH(C1228,Fuels_for_LHV,0))*1000*INDEX(Fuel_EFs,MATCH(C1228,Fuels_for_EF,0)))/1000,IF(D1228="MWh/tonne(output)",(E1228*'Reference values'!$D$47*INDEX(Fuel_EFs,MATCH(C1228,Fuels_for_EF,0)))/1000,IF(D1228="kWh/tonne(output)",(E1228*'Reference values'!$D$47*INDEX(Fuel_EFs,MATCH(C1228,Fuels_for_EF,0))/1000)/1000,"Insert unit")))))))))))))))))),""),"Insert data")</f>
        <v/>
      </c>
      <c r="K1228" s="44"/>
      <c r="L1228" s="54"/>
    </row>
    <row r="1229" spans="1:14" s="4" customFormat="1" outlineLevel="1" x14ac:dyDescent="0.4">
      <c r="A1229" s="765"/>
      <c r="B1229" s="51"/>
      <c r="C1229" s="1"/>
      <c r="D1229" s="1"/>
      <c r="E1229" s="1"/>
      <c r="F1229" s="21"/>
      <c r="G1229" s="53"/>
      <c r="H1229" s="56"/>
      <c r="I1229" s="57"/>
      <c r="J1229" s="34"/>
      <c r="K1229" s="44"/>
      <c r="L1229" s="54"/>
    </row>
    <row r="1230" spans="1:14" s="4" customFormat="1" outlineLevel="1" x14ac:dyDescent="0.4">
      <c r="A1230" s="765"/>
      <c r="B1230" s="51"/>
      <c r="C1230" s="25" t="s">
        <v>191</v>
      </c>
      <c r="D1230" s="1"/>
      <c r="E1230" s="1"/>
      <c r="F1230" s="21"/>
      <c r="G1230" s="53"/>
      <c r="H1230" s="56"/>
      <c r="I1230" s="34"/>
      <c r="J1230" s="34"/>
      <c r="K1230" s="44"/>
      <c r="L1230" s="54"/>
    </row>
    <row r="1231" spans="1:14" s="4" customFormat="1" outlineLevel="1" x14ac:dyDescent="0.4">
      <c r="A1231" s="765"/>
      <c r="B1231" s="51"/>
      <c r="C1231" s="164" t="s">
        <v>192</v>
      </c>
      <c r="D1231" s="164" t="s">
        <v>151</v>
      </c>
      <c r="E1231" s="164" t="s">
        <v>140</v>
      </c>
      <c r="F1231" s="21"/>
      <c r="G1231" s="1"/>
      <c r="H1231" s="43"/>
      <c r="I1231" s="164" t="s">
        <v>192</v>
      </c>
      <c r="J1231" s="182" t="s">
        <v>141</v>
      </c>
      <c r="K1231" s="44"/>
      <c r="L1231" s="54"/>
    </row>
    <row r="1232" spans="1:14" s="4" customFormat="1" outlineLevel="1" x14ac:dyDescent="0.4">
      <c r="A1232" s="765"/>
      <c r="B1232" s="51"/>
      <c r="C1232" s="134"/>
      <c r="D1232" s="141"/>
      <c r="E1232" s="144"/>
      <c r="F1232" s="21"/>
      <c r="G1232" s="1"/>
      <c r="H1232" s="43"/>
      <c r="I1232" s="27" t="str">
        <f t="shared" ref="I1232:I1239" si="24">IF(C1232&gt;0,C1232,"")</f>
        <v/>
      </c>
      <c r="J1232" s="31" t="str">
        <f>IFERROR(IF(C1232&gt;0,IF(ISBLANK(E1232),"Insert data",IF(E1213="No",0,IF(D1232="kg",E1232*INDEX(Chemical_Emission_Factors,MATCH(C1232,Chemicals,0))/(D1216*1000),IF(D1232="tonnes",E1232*INDEX(Chemical_Emission_Factors,MATCH(C1232,Chemicals,0))*1000/(D1216*1000),IF(D1232="kg/tonne(output)",E1232*INDEX(Chemical_Emission_Factors,MATCH(C1232,Chemicals,0))/1000,IF(D1232="tonnes/tonne(output)",E1232*INDEX(Chemical_Emission_Factors,MATCH(C1232,Chemicals,0))*1000/1000,"Insert unit")))))),""),"Insert data")</f>
        <v/>
      </c>
      <c r="K1232" s="44"/>
      <c r="L1232" s="54"/>
    </row>
    <row r="1233" spans="1:12" s="4" customFormat="1" outlineLevel="1" x14ac:dyDescent="0.4">
      <c r="A1233" s="765"/>
      <c r="B1233" s="51"/>
      <c r="C1233" s="134"/>
      <c r="D1233" s="141"/>
      <c r="E1233" s="144"/>
      <c r="F1233" s="21"/>
      <c r="G1233" s="1"/>
      <c r="H1233" s="43"/>
      <c r="I1233" s="27" t="str">
        <f t="shared" si="24"/>
        <v/>
      </c>
      <c r="J1233" s="31" t="str">
        <f>IFERROR(IF(C1233&gt;0,IF(ISBLANK(E1233),"Insert data",IF(E1213="No",0,IF(D1233="kg",E1233*INDEX(Chemical_Emission_Factors,MATCH(C1233,Chemicals,0))/(D1216*1000),IF(D1233="tonnes",E1233*INDEX(Chemical_Emission_Factors,MATCH(C1233,Chemicals,0))*1000/(D1216*1000),IF(D1233="kg/tonne(output)",E1233*INDEX(Chemical_Emission_Factors,MATCH(C1233,Chemicals,0))/1000,IF(D1233="tonnes/tonne(output)",E1233*INDEX(Chemical_Emission_Factors,MATCH(C1233,Chemicals,0))*1000/1000,"Insert unit")))))),""),"Insert data")</f>
        <v/>
      </c>
      <c r="K1233" s="44"/>
      <c r="L1233" s="54"/>
    </row>
    <row r="1234" spans="1:12" s="4" customFormat="1" outlineLevel="1" x14ac:dyDescent="0.4">
      <c r="A1234" s="765"/>
      <c r="B1234" s="51"/>
      <c r="C1234" s="134"/>
      <c r="D1234" s="141"/>
      <c r="E1234" s="144"/>
      <c r="F1234" s="21"/>
      <c r="G1234" s="1"/>
      <c r="H1234" s="43"/>
      <c r="I1234" s="27" t="str">
        <f t="shared" si="24"/>
        <v/>
      </c>
      <c r="J1234" s="31" t="str">
        <f>IFERROR(IF(C1234&gt;0,IF(ISBLANK(E1234),"Insert data",IF(E1213="No",0,IF(D1234="kg",E1234*INDEX(Chemical_Emission_Factors,MATCH(C1234,Chemicals,0))/(D1216*1000),IF(D1234="tonnes",E1234*INDEX(Chemical_Emission_Factors,MATCH(C1234,Chemicals,0))*1000/(D1216*1000),IF(D1234="kg/tonne(output)",E1234*INDEX(Chemical_Emission_Factors,MATCH(C1234,Chemicals,0))/1000,IF(D1234="tonnes/tonne(output)",E1234*INDEX(Chemical_Emission_Factors,MATCH(C1234,Chemicals,0))*1000/1000,"Insert unit")))))),""),"Insert data")</f>
        <v/>
      </c>
      <c r="K1234" s="44"/>
      <c r="L1234" s="54"/>
    </row>
    <row r="1235" spans="1:12" s="4" customFormat="1" outlineLevel="1" x14ac:dyDescent="0.4">
      <c r="A1235" s="765"/>
      <c r="B1235" s="51"/>
      <c r="C1235" s="134"/>
      <c r="D1235" s="141"/>
      <c r="E1235" s="144"/>
      <c r="F1235" s="21"/>
      <c r="G1235" s="1"/>
      <c r="H1235" s="43"/>
      <c r="I1235" s="27" t="str">
        <f t="shared" si="24"/>
        <v/>
      </c>
      <c r="J1235" s="31" t="str">
        <f>IFERROR(IF(C1235&gt;0,IF(ISBLANK(E1235),"Insert data",IF(E1213="No",0,IF(D1235="kg",E1235*INDEX(Chemical_Emission_Factors,MATCH(C1235,Chemicals,0))/(D1216*1000),IF(D1235="tonnes",E1235*INDEX(Chemical_Emission_Factors,MATCH(C1235,Chemicals,0))*1000/(D1216*1000),IF(D1235="kg/tonne(output)",E1235*INDEX(Chemical_Emission_Factors,MATCH(C1235,Chemicals,0))/1000,IF(D1235="tonnes/tonne(output)",E1235*INDEX(Chemical_Emission_Factors,MATCH(C1235,Chemicals,0))*1000/1000,"Insert unit")))))),""),"Insert data")</f>
        <v/>
      </c>
      <c r="K1235" s="44"/>
      <c r="L1235" s="54"/>
    </row>
    <row r="1236" spans="1:12" s="4" customFormat="1" outlineLevel="1" x14ac:dyDescent="0.4">
      <c r="A1236" s="765"/>
      <c r="B1236" s="51"/>
      <c r="C1236" s="134"/>
      <c r="D1236" s="141"/>
      <c r="E1236" s="144"/>
      <c r="F1236" s="21"/>
      <c r="G1236" s="1"/>
      <c r="H1236" s="43"/>
      <c r="I1236" s="27" t="str">
        <f t="shared" si="24"/>
        <v/>
      </c>
      <c r="J1236" s="31" t="str">
        <f>IFERROR(IF(C1236&gt;0,IF(ISBLANK(E1236),"Insert data",IF(E1213="No",0,IF(D1236="kg",E1236*INDEX(Chemical_Emission_Factors,MATCH(C1236,Chemicals,0))/(D1216*1000),IF(D1236="tonnes",E1236*INDEX(Chemical_Emission_Factors,MATCH(C1236,Chemicals,0))*1000/(D1216*1000),IF(D1236="kg/tonne(output)",E1236*INDEX(Chemical_Emission_Factors,MATCH(C1236,Chemicals,0))/1000,IF(D1236="tonnes/tonne(output)",E1236*INDEX(Chemical_Emission_Factors,MATCH(C1236,Chemicals,0))*1000/1000,"Insert unit")))))),""),"Insert data")</f>
        <v/>
      </c>
      <c r="K1236" s="44"/>
      <c r="L1236" s="54"/>
    </row>
    <row r="1237" spans="1:12" s="4" customFormat="1" outlineLevel="1" x14ac:dyDescent="0.4">
      <c r="A1237" s="765"/>
      <c r="B1237" s="51"/>
      <c r="C1237" s="134"/>
      <c r="D1237" s="141"/>
      <c r="E1237" s="144"/>
      <c r="F1237" s="21"/>
      <c r="G1237" s="1"/>
      <c r="H1237" s="43"/>
      <c r="I1237" s="27" t="str">
        <f t="shared" si="24"/>
        <v/>
      </c>
      <c r="J1237" s="31" t="str">
        <f>IFERROR(IF(C1237&gt;0,IF(ISBLANK(E1237),"Insert data",IF(E1213="No",0,IF(D1237="kg",E1237*INDEX(Chemical_Emission_Factors,MATCH(C1237,Chemicals,0))/(D1216*1000),IF(D1237="tonnes",E1237*INDEX(Chemical_Emission_Factors,MATCH(C1237,Chemicals,0))*1000/(D1216*1000),IF(D1237="kg/tonne(output)",E1237*INDEX(Chemical_Emission_Factors,MATCH(C1237,Chemicals,0))/1000,IF(D1237="tonnes/tonne(output)",E1237*INDEX(Chemical_Emission_Factors,MATCH(C1237,Chemicals,0))*1000/1000,"Insert unit")))))),""),"Insert data")</f>
        <v/>
      </c>
      <c r="K1237" s="44"/>
      <c r="L1237" s="54"/>
    </row>
    <row r="1238" spans="1:12" s="4" customFormat="1" outlineLevel="1" x14ac:dyDescent="0.4">
      <c r="A1238" s="765"/>
      <c r="B1238" s="51"/>
      <c r="C1238" s="134"/>
      <c r="D1238" s="141"/>
      <c r="E1238" s="144"/>
      <c r="F1238" s="21"/>
      <c r="G1238" s="1"/>
      <c r="H1238" s="43"/>
      <c r="I1238" s="27" t="str">
        <f t="shared" si="24"/>
        <v/>
      </c>
      <c r="J1238" s="31" t="str">
        <f>IFERROR(IF(C1238&gt;0,IF(ISBLANK(E1238),"Insert data",IF(E1213="No",0,IF(D1238="kg",E1238*INDEX(Chemical_Emission_Factors,MATCH(C1238,Chemicals,0))/(D1216*1000),IF(D1238="tonnes",E1238*INDEX(Chemical_Emission_Factors,MATCH(C1238,Chemicals,0))*1000/(D1216*1000),IF(D1238="kg/tonne(output)",E1238*INDEX(Chemical_Emission_Factors,MATCH(C1238,Chemicals,0))/1000,IF(D1238="tonnes/tonne(output)",E1238*INDEX(Chemical_Emission_Factors,MATCH(C1238,Chemicals,0))*1000/1000,"Insert unit")))))),""),"Insert data")</f>
        <v/>
      </c>
      <c r="K1238" s="44"/>
      <c r="L1238" s="54"/>
    </row>
    <row r="1239" spans="1:12" s="4" customFormat="1" outlineLevel="1" x14ac:dyDescent="0.4">
      <c r="A1239" s="765"/>
      <c r="B1239" s="51"/>
      <c r="C1239" s="134"/>
      <c r="D1239" s="141"/>
      <c r="E1239" s="144"/>
      <c r="F1239" s="21"/>
      <c r="G1239" s="1"/>
      <c r="H1239" s="43"/>
      <c r="I1239" s="27" t="str">
        <f t="shared" si="24"/>
        <v/>
      </c>
      <c r="J1239" s="31" t="str">
        <f>IFERROR(IF(C1239&gt;0,IF(ISBLANK(E1239),"Insert data",IF(E1213="No",0,IF(D1239="kg",E1239*INDEX(Chemical_Emission_Factors,MATCH(C1239,Chemicals,0))/(D1216*1000),IF(D1239="tonnes",E1239*INDEX(Chemical_Emission_Factors,MATCH(C1239,Chemicals,0))*1000/(D1216*1000),IF(D1239="kg/tonne(output)",E1239*INDEX(Chemical_Emission_Factors,MATCH(C1239,Chemicals,0))/1000,IF(D1239="tonnes/tonne(output)",E1239*INDEX(Chemical_Emission_Factors,MATCH(C1239,Chemicals,0))*1000/1000,"Insert unit")))))),""),"Insert data")</f>
        <v/>
      </c>
      <c r="K1239" s="44"/>
      <c r="L1239" s="54"/>
    </row>
    <row r="1240" spans="1:12" s="4" customFormat="1" ht="12" customHeight="1" outlineLevel="1" x14ac:dyDescent="0.4">
      <c r="A1240" s="293"/>
      <c r="B1240" s="51"/>
      <c r="C1240" s="307"/>
      <c r="D1240" s="306"/>
      <c r="E1240" s="306"/>
      <c r="F1240" s="21"/>
      <c r="G1240" s="1"/>
      <c r="H1240" s="49"/>
      <c r="I1240" s="65"/>
      <c r="J1240" s="308"/>
      <c r="K1240" s="66"/>
      <c r="L1240" s="54"/>
    </row>
    <row r="1241" spans="1:12" s="4" customFormat="1" outlineLevel="1" x14ac:dyDescent="0.4">
      <c r="B1241" s="20"/>
      <c r="C1241" s="243" t="s">
        <v>193</v>
      </c>
      <c r="D1241" s="21"/>
      <c r="E1241" s="21"/>
      <c r="F1241" s="21"/>
      <c r="G1241" s="21"/>
      <c r="H1241" s="21"/>
      <c r="I1241" s="21"/>
      <c r="J1241" s="21"/>
      <c r="K1241" s="21"/>
      <c r="L1241" s="35"/>
    </row>
    <row r="1242" spans="1:12" s="4" customFormat="1" outlineLevel="1" x14ac:dyDescent="0.4">
      <c r="B1242" s="20"/>
      <c r="C1242" s="766" t="s">
        <v>194</v>
      </c>
      <c r="D1242" s="767"/>
      <c r="E1242" s="299" t="s">
        <v>178</v>
      </c>
      <c r="F1242" s="21"/>
      <c r="G1242" s="21"/>
      <c r="H1242" s="302"/>
      <c r="I1242" s="47"/>
      <c r="J1242" s="47"/>
      <c r="K1242" s="45"/>
      <c r="L1242" s="35"/>
    </row>
    <row r="1243" spans="1:12" s="4" customFormat="1" ht="6.75" customHeight="1" outlineLevel="1" x14ac:dyDescent="0.4">
      <c r="B1243" s="20"/>
      <c r="C1243" s="21"/>
      <c r="D1243" s="21"/>
      <c r="E1243" s="21"/>
      <c r="F1243" s="21"/>
      <c r="G1243" s="21"/>
      <c r="H1243" s="41"/>
      <c r="I1243" s="36"/>
      <c r="J1243" s="301"/>
      <c r="K1243" s="37"/>
      <c r="L1243" s="35"/>
    </row>
    <row r="1244" spans="1:12" s="4" customFormat="1" outlineLevel="1" x14ac:dyDescent="0.4">
      <c r="B1244" s="20"/>
      <c r="C1244" s="21"/>
      <c r="D1244" s="164" t="s">
        <v>151</v>
      </c>
      <c r="E1244" s="164" t="s">
        <v>140</v>
      </c>
      <c r="F1244" s="21"/>
      <c r="G1244" s="21"/>
      <c r="H1244" s="41"/>
      <c r="I1244" s="36"/>
      <c r="J1244" s="164" t="s">
        <v>195</v>
      </c>
      <c r="K1244" s="37"/>
      <c r="L1244" s="35"/>
    </row>
    <row r="1245" spans="1:12" s="4" customFormat="1" outlineLevel="1" x14ac:dyDescent="0.4">
      <c r="B1245" s="20"/>
      <c r="C1245" s="164" t="s">
        <v>196</v>
      </c>
      <c r="D1245" s="297" t="s">
        <v>197</v>
      </c>
      <c r="E1245" s="299"/>
      <c r="F1245" s="21"/>
      <c r="G1245" s="21"/>
      <c r="H1245" s="41"/>
      <c r="I1245" s="164" t="s">
        <v>198</v>
      </c>
      <c r="J1245" s="309" t="str">
        <f>IFERROR(IF(E1242="No", "", IF(AND(E1242="yes",OR(ISBLANK(E1245),ISBLANK(E1246),ISBLANK(E1247))),"Insert data",E1246/(E1246+E1247*E1245))), "")</f>
        <v/>
      </c>
      <c r="K1245" s="37"/>
      <c r="L1245" s="35"/>
    </row>
    <row r="1246" spans="1:12" s="4" customFormat="1" outlineLevel="1" x14ac:dyDescent="0.4">
      <c r="B1246" s="20"/>
      <c r="C1246" s="164" t="s">
        <v>199</v>
      </c>
      <c r="D1246" s="296" t="s">
        <v>200</v>
      </c>
      <c r="E1246" s="299"/>
      <c r="F1246" s="21"/>
      <c r="G1246" s="21"/>
      <c r="H1246" s="41"/>
      <c r="I1246" s="164" t="s">
        <v>201</v>
      </c>
      <c r="J1246" s="309" t="str">
        <f>IFERROR(IF(E1242="No", "", IF(AND(E1242="yes",OR(ISBLANK(E1245),ISBLANK(E1246),ISBLANK(E1247))),"Insert data",(E1247*E1245)/(E1247*E1245+E1246))),"")</f>
        <v/>
      </c>
      <c r="K1246" s="37"/>
      <c r="L1246" s="35"/>
    </row>
    <row r="1247" spans="1:12" s="4" customFormat="1" outlineLevel="1" x14ac:dyDescent="0.4">
      <c r="B1247" s="20"/>
      <c r="C1247" s="164" t="s">
        <v>202</v>
      </c>
      <c r="D1247" s="296" t="s">
        <v>200</v>
      </c>
      <c r="E1247" s="299"/>
      <c r="F1247" s="21"/>
      <c r="G1247" s="21"/>
      <c r="H1247" s="46"/>
      <c r="I1247" s="58"/>
      <c r="J1247" s="58"/>
      <c r="K1247" s="59"/>
      <c r="L1247" s="35"/>
    </row>
    <row r="1248" spans="1:12" s="4" customFormat="1" ht="6.75" customHeight="1" outlineLevel="1" x14ac:dyDescent="0.4">
      <c r="B1248" s="20"/>
      <c r="C1248" s="21"/>
      <c r="D1248" s="21"/>
      <c r="E1248" s="21"/>
      <c r="F1248" s="21"/>
      <c r="G1248" s="21"/>
      <c r="H1248" s="21"/>
      <c r="I1248" s="21"/>
      <c r="J1248" s="21"/>
      <c r="K1248" s="21"/>
      <c r="L1248" s="35"/>
    </row>
    <row r="1249" spans="2:12" s="4" customFormat="1" ht="12.75" customHeight="1" outlineLevel="1" x14ac:dyDescent="0.4">
      <c r="B1249" s="20"/>
      <c r="C1249" s="300" t="s">
        <v>203</v>
      </c>
      <c r="D1249" s="21"/>
      <c r="E1249" s="21"/>
      <c r="F1249" s="21"/>
      <c r="G1249" s="21"/>
      <c r="H1249" s="21"/>
      <c r="I1249" s="21"/>
      <c r="J1249" s="21"/>
      <c r="K1249" s="21"/>
      <c r="L1249" s="35"/>
    </row>
    <row r="1250" spans="2:12" s="4" customFormat="1" ht="12.75" customHeight="1" outlineLevel="1" x14ac:dyDescent="0.4">
      <c r="B1250" s="20"/>
      <c r="C1250" s="300" t="s">
        <v>204</v>
      </c>
      <c r="D1250" s="21"/>
      <c r="E1250" s="21"/>
      <c r="F1250" s="21"/>
      <c r="G1250" s="21"/>
      <c r="H1250" s="21"/>
      <c r="I1250" s="21"/>
      <c r="J1250" s="21"/>
      <c r="K1250" s="21"/>
      <c r="L1250" s="35"/>
    </row>
    <row r="1251" spans="2:12" s="4" customFormat="1" ht="6.75" customHeight="1" outlineLevel="1" x14ac:dyDescent="0.4">
      <c r="B1251" s="28"/>
      <c r="C1251" s="298"/>
      <c r="D1251" s="29"/>
      <c r="E1251" s="29"/>
      <c r="F1251" s="29"/>
      <c r="G1251" s="29"/>
      <c r="H1251" s="29"/>
      <c r="I1251" s="29"/>
      <c r="J1251" s="29"/>
      <c r="K1251" s="29"/>
      <c r="L1251" s="60"/>
    </row>
    <row r="1252" spans="2:12" s="4" customFormat="1" x14ac:dyDescent="0.4"/>
    <row r="1253" spans="2:12" s="1" customFormat="1" ht="11.25" customHeight="1" x14ac:dyDescent="0.35">
      <c r="B1253" s="2"/>
      <c r="C1253" s="3"/>
      <c r="E1253" s="2"/>
      <c r="F1253" s="2"/>
    </row>
    <row r="1254" spans="2:12" s="200" customFormat="1" ht="3.75" customHeight="1" thickBot="1" x14ac:dyDescent="0.45"/>
  </sheetData>
  <sheetProtection algorithmName="SHA-512" hashValue="WRDKFkjMamA+KXpq0AsxM8hLBUjBZKqh3KkeTvDYP5F2QCH+9pkQG4edS4Kqs7UGpH2ozMtf0KGLk1043Kb3bg==" saltValue="aWoFAA1dS0xQpULNtOktPQ==" spinCount="100000" sheet="1" objects="1" scenarios="1"/>
  <mergeCells count="146">
    <mergeCell ref="B6:L6"/>
    <mergeCell ref="B1108:L1108"/>
    <mergeCell ref="C1113:D1113"/>
    <mergeCell ref="A1116:A1139"/>
    <mergeCell ref="C1142:D1142"/>
    <mergeCell ref="C1064:D1064"/>
    <mergeCell ref="C1114:D1114"/>
    <mergeCell ref="C1213:D1213"/>
    <mergeCell ref="A1216:A1239"/>
    <mergeCell ref="A16:A39"/>
    <mergeCell ref="B8:L8"/>
    <mergeCell ref="C13:D13"/>
    <mergeCell ref="D10:E10"/>
    <mergeCell ref="D11:E11"/>
    <mergeCell ref="C492:D492"/>
    <mergeCell ref="C42:D42"/>
    <mergeCell ref="C92:D92"/>
    <mergeCell ref="C142:D142"/>
    <mergeCell ref="C192:D192"/>
    <mergeCell ref="C242:D242"/>
    <mergeCell ref="B58:L58"/>
    <mergeCell ref="D60:E60"/>
    <mergeCell ref="D61:E61"/>
    <mergeCell ref="C63:D63"/>
    <mergeCell ref="C1242:D1242"/>
    <mergeCell ref="B1158:L1158"/>
    <mergeCell ref="C1163:D1163"/>
    <mergeCell ref="A1166:A1189"/>
    <mergeCell ref="C1192:D1192"/>
    <mergeCell ref="B1208:L1208"/>
    <mergeCell ref="C1164:D1164"/>
    <mergeCell ref="C1214:D1214"/>
    <mergeCell ref="B1008:L1008"/>
    <mergeCell ref="C1013:D1013"/>
    <mergeCell ref="A1016:A1039"/>
    <mergeCell ref="C1042:D1042"/>
    <mergeCell ref="B1058:L1058"/>
    <mergeCell ref="C1014:D1014"/>
    <mergeCell ref="C1063:D1063"/>
    <mergeCell ref="A1066:A1089"/>
    <mergeCell ref="C1092:D1092"/>
    <mergeCell ref="A116:A139"/>
    <mergeCell ref="B158:L158"/>
    <mergeCell ref="D160:E160"/>
    <mergeCell ref="D161:E161"/>
    <mergeCell ref="C163:D163"/>
    <mergeCell ref="A66:A89"/>
    <mergeCell ref="B108:L108"/>
    <mergeCell ref="D110:E110"/>
    <mergeCell ref="D111:E111"/>
    <mergeCell ref="A216:A239"/>
    <mergeCell ref="B258:L258"/>
    <mergeCell ref="D260:E260"/>
    <mergeCell ref="D261:E261"/>
    <mergeCell ref="C263:D263"/>
    <mergeCell ref="A166:A189"/>
    <mergeCell ref="B208:L208"/>
    <mergeCell ref="D210:E210"/>
    <mergeCell ref="D211:E211"/>
    <mergeCell ref="C213:D213"/>
    <mergeCell ref="A316:A339"/>
    <mergeCell ref="B358:L358"/>
    <mergeCell ref="D360:E360"/>
    <mergeCell ref="D361:E361"/>
    <mergeCell ref="C363:D363"/>
    <mergeCell ref="C342:D342"/>
    <mergeCell ref="A266:A289"/>
    <mergeCell ref="B308:L308"/>
    <mergeCell ref="D310:E310"/>
    <mergeCell ref="D311:E311"/>
    <mergeCell ref="C313:D313"/>
    <mergeCell ref="C292:D292"/>
    <mergeCell ref="A466:A489"/>
    <mergeCell ref="A416:A439"/>
    <mergeCell ref="B458:L458"/>
    <mergeCell ref="D460:E460"/>
    <mergeCell ref="D461:E461"/>
    <mergeCell ref="C463:D463"/>
    <mergeCell ref="C442:D442"/>
    <mergeCell ref="A366:A389"/>
    <mergeCell ref="B408:L408"/>
    <mergeCell ref="D410:E410"/>
    <mergeCell ref="D411:E411"/>
    <mergeCell ref="C413:D413"/>
    <mergeCell ref="C392:D392"/>
    <mergeCell ref="C464:D464"/>
    <mergeCell ref="C542:D542"/>
    <mergeCell ref="B558:L558"/>
    <mergeCell ref="C563:D563"/>
    <mergeCell ref="B508:L508"/>
    <mergeCell ref="C513:D513"/>
    <mergeCell ref="C514:D514"/>
    <mergeCell ref="A516:A539"/>
    <mergeCell ref="A616:A639"/>
    <mergeCell ref="C642:D642"/>
    <mergeCell ref="C564:D564"/>
    <mergeCell ref="B658:L658"/>
    <mergeCell ref="A566:A589"/>
    <mergeCell ref="C592:D592"/>
    <mergeCell ref="B608:L608"/>
    <mergeCell ref="A766:A789"/>
    <mergeCell ref="C713:D713"/>
    <mergeCell ref="A716:A739"/>
    <mergeCell ref="C742:D742"/>
    <mergeCell ref="C663:D663"/>
    <mergeCell ref="A666:A689"/>
    <mergeCell ref="C692:D692"/>
    <mergeCell ref="B708:L708"/>
    <mergeCell ref="C614:D614"/>
    <mergeCell ref="C664:D664"/>
    <mergeCell ref="C714:D714"/>
    <mergeCell ref="C764:D764"/>
    <mergeCell ref="B758:L758"/>
    <mergeCell ref="C763:D763"/>
    <mergeCell ref="C613:D613"/>
    <mergeCell ref="A816:A839"/>
    <mergeCell ref="C842:D842"/>
    <mergeCell ref="B858:L858"/>
    <mergeCell ref="C792:D792"/>
    <mergeCell ref="B808:L808"/>
    <mergeCell ref="C813:D813"/>
    <mergeCell ref="A966:A989"/>
    <mergeCell ref="C992:D992"/>
    <mergeCell ref="C913:D913"/>
    <mergeCell ref="A916:A939"/>
    <mergeCell ref="C942:D942"/>
    <mergeCell ref="B958:L958"/>
    <mergeCell ref="C863:D863"/>
    <mergeCell ref="A866:A889"/>
    <mergeCell ref="C892:D892"/>
    <mergeCell ref="B908:L908"/>
    <mergeCell ref="C814:D814"/>
    <mergeCell ref="C864:D864"/>
    <mergeCell ref="C914:D914"/>
    <mergeCell ref="C964:D964"/>
    <mergeCell ref="C963:D963"/>
    <mergeCell ref="C14:D14"/>
    <mergeCell ref="C64:D64"/>
    <mergeCell ref="C114:D114"/>
    <mergeCell ref="C164:D164"/>
    <mergeCell ref="C214:D214"/>
    <mergeCell ref="C264:D264"/>
    <mergeCell ref="C314:D314"/>
    <mergeCell ref="C364:D364"/>
    <mergeCell ref="C414:D414"/>
    <mergeCell ref="C113:D113"/>
  </mergeCells>
  <conditionalFormatting sqref="A70:E91 A92:C92 E92 A98:XFD101 G91:XFD97">
    <cfRule type="cellIs" dxfId="1859" priority="806" operator="equal">
      <formula>"Insert unit"</formula>
    </cfRule>
    <cfRule type="cellIs" dxfId="1858" priority="807" operator="equal">
      <formula>"Insert data"</formula>
    </cfRule>
  </conditionalFormatting>
  <conditionalFormatting sqref="A93:E97">
    <cfRule type="cellIs" dxfId="1857" priority="711" operator="equal">
      <formula>"Insert unit"</formula>
    </cfRule>
    <cfRule type="cellIs" dxfId="1856" priority="712" operator="equal">
      <formula>"Insert data"</formula>
    </cfRule>
  </conditionalFormatting>
  <conditionalFormatting sqref="A641:E641 A642:C642 E642 A643:E647 A648:XFD651 G641:XFD647">
    <cfRule type="cellIs" dxfId="1855" priority="735" operator="equal">
      <formula>"Insert unit"</formula>
    </cfRule>
    <cfRule type="cellIs" dxfId="1854" priority="736" operator="equal">
      <formula>"Insert data"</formula>
    </cfRule>
  </conditionalFormatting>
  <conditionalFormatting sqref="A691:E691 A692:C692 E692 A693:E697 A698:XFD701 G691:XFD697">
    <cfRule type="cellIs" dxfId="1853" priority="733" operator="equal">
      <formula>"Insert data"</formula>
    </cfRule>
    <cfRule type="cellIs" dxfId="1852" priority="732" operator="equal">
      <formula>"Insert unit"</formula>
    </cfRule>
  </conditionalFormatting>
  <conditionalFormatting sqref="A7:XFD10 F10:F12 A11:I11 A12:XFD13 A14:C14 E14:XFD14 A15:XFD41 A42:C42 E42:XFD42 F42:F47 A43:XFD60 A65:XFD69 G70:XFD90 A115:XFD140 A165:XFD190 A215:XFD240 A265:XFD290 A315:XFD340 A365:XFD390 A415:XFD440 F415:F448 E464 F60:F63 A64:C64 E64:XFD64 F70:F97 A114:C114 E114:XFD114 F121:F142 A164:C164 E164:XFD164 F176:F192 A214:C214 E214:XFD214 F225:F247 A264:C264 E264:XFD264 F271:F297 A314:C314 E314:XFD314 F320:F347 A364:C364 E364:XFD364 F371:F397 A414:C414 E414:XFD414 A463:E463 F463:XFD466 A464:C464 A465:E466 F471:F498 A513:E513 F513:XFD516 A514:C514 E514 A515:E516 A517:XFD563 A565:XFD608 F609:XFD616 A617:XFD658 F660:XFD666 A667:XFD713 A765:XFD813 A815:XFD863 A865:XFD913 A915:XFD962 A967:XFD1012 A715:XFD763 A564:C564 E564:XFD564 A609:E613 A614:C614 E614 A615:E616 D659:XFD659 A659:C662 D660:E662 A663:E663 A664:C664 E664 A665:E666 A714:C714 E714:XFD714 A764:C764 E764:XFD764 A814:C814 E814:XFD814 A864:C864 E864:XFD864 A914:C914 E914:XFD914 A963:E963 F963:XFD966 A964:C964 E964 A965:E966 A1017:XFD1061 A1067:XFD1111 A1117:XFD1163 A1165:XFD1213 A1215:XFD1252 A1013:E1013 F1013:XFD1016 A1014:C1014 E1014 A1015:E1016 A1062:E1063 F1062:XFD1066 A1064:C1064 E1064 A1065:E1066 A1112:E1113 F1112:XFD1116 A1114:C1114 E1114 A1115:E1116 A1164:C1164 E1164:XFD1164 A1214:C1214 E1214:XFD1214 A1:XFD5 A6:B6 M6:XFD6 A1256:XFD1048576">
    <cfRule type="cellIs" dxfId="1851" priority="924" operator="equal">
      <formula>"Insert unit"</formula>
    </cfRule>
    <cfRule type="cellIs" dxfId="1850" priority="926" operator="equal">
      <formula>"Insert data"</formula>
    </cfRule>
  </conditionalFormatting>
  <conditionalFormatting sqref="A61:XFD63">
    <cfRule type="cellIs" dxfId="1849" priority="837" operator="equal">
      <formula>"Insert data"</formula>
    </cfRule>
    <cfRule type="cellIs" dxfId="1848" priority="836" operator="equal">
      <formula>"Insert unit"</formula>
    </cfRule>
  </conditionalFormatting>
  <conditionalFormatting sqref="A102:XFD113">
    <cfRule type="cellIs" dxfId="1847" priority="833" operator="equal">
      <formula>"Insert unit"</formula>
    </cfRule>
    <cfRule type="cellIs" dxfId="1846" priority="834" operator="equal">
      <formula>"Insert data"</formula>
    </cfRule>
  </conditionalFormatting>
  <conditionalFormatting sqref="A141:XFD141 A142:C142 E142:XFD142 A143:XFD151">
    <cfRule type="cellIs" dxfId="1845" priority="804" operator="equal">
      <formula>"Insert data"</formula>
    </cfRule>
    <cfRule type="cellIs" dxfId="1844" priority="803" operator="equal">
      <formula>"Insert unit"</formula>
    </cfRule>
  </conditionalFormatting>
  <conditionalFormatting sqref="A152:XFD163">
    <cfRule type="cellIs" dxfId="1843" priority="830" operator="equal">
      <formula>"Insert unit"</formula>
    </cfRule>
    <cfRule type="cellIs" dxfId="1842" priority="831" operator="equal">
      <formula>"Insert data"</formula>
    </cfRule>
  </conditionalFormatting>
  <conditionalFormatting sqref="A191:XFD191 A192:C192 E192:XFD192 A193:XFD201">
    <cfRule type="cellIs" dxfId="1841" priority="801" operator="equal">
      <formula>"Insert data"</formula>
    </cfRule>
    <cfRule type="cellIs" dxfId="1840" priority="800" operator="equal">
      <formula>"Insert unit"</formula>
    </cfRule>
  </conditionalFormatting>
  <conditionalFormatting sqref="A202:XFD213">
    <cfRule type="cellIs" dxfId="1839" priority="827" operator="equal">
      <formula>"Insert unit"</formula>
    </cfRule>
    <cfRule type="cellIs" dxfId="1838" priority="828" operator="equal">
      <formula>"Insert data"</formula>
    </cfRule>
  </conditionalFormatting>
  <conditionalFormatting sqref="A241:XFD241 A242:C242 E242:XFD242 A243:XFD251">
    <cfRule type="cellIs" dxfId="1837" priority="798" operator="equal">
      <formula>"Insert data"</formula>
    </cfRule>
    <cfRule type="cellIs" dxfId="1836" priority="797" operator="equal">
      <formula>"Insert unit"</formula>
    </cfRule>
  </conditionalFormatting>
  <conditionalFormatting sqref="A252:XFD263">
    <cfRule type="cellIs" dxfId="1835" priority="824" operator="equal">
      <formula>"Insert unit"</formula>
    </cfRule>
    <cfRule type="cellIs" dxfId="1834" priority="825" operator="equal">
      <formula>"Insert data"</formula>
    </cfRule>
  </conditionalFormatting>
  <conditionalFormatting sqref="A291:XFD291 A292:C292 E292:XFD292 A293:XFD301">
    <cfRule type="cellIs" dxfId="1833" priority="795" operator="equal">
      <formula>"Insert data"</formula>
    </cfRule>
    <cfRule type="cellIs" dxfId="1832" priority="794" operator="equal">
      <formula>"Insert unit"</formula>
    </cfRule>
  </conditionalFormatting>
  <conditionalFormatting sqref="A302:XFD313">
    <cfRule type="cellIs" dxfId="1831" priority="822" operator="equal">
      <formula>"Insert data"</formula>
    </cfRule>
    <cfRule type="cellIs" dxfId="1830" priority="821" operator="equal">
      <formula>"Insert unit"</formula>
    </cfRule>
  </conditionalFormatting>
  <conditionalFormatting sqref="A341:XFD341 A342:C342 E342:XFD342 A343:XFD351">
    <cfRule type="cellIs" dxfId="1829" priority="792" operator="equal">
      <formula>"Insert data"</formula>
    </cfRule>
    <cfRule type="cellIs" dxfId="1828" priority="791" operator="equal">
      <formula>"Insert unit"</formula>
    </cfRule>
  </conditionalFormatting>
  <conditionalFormatting sqref="A352:XFD363">
    <cfRule type="cellIs" dxfId="1827" priority="819" operator="equal">
      <formula>"Insert data"</formula>
    </cfRule>
    <cfRule type="cellIs" dxfId="1826" priority="818" operator="equal">
      <formula>"Insert unit"</formula>
    </cfRule>
  </conditionalFormatting>
  <conditionalFormatting sqref="A391:XFD391 A392:C392 E392:XFD392 A393:XFD401">
    <cfRule type="cellIs" dxfId="1825" priority="789" operator="equal">
      <formula>"Insert data"</formula>
    </cfRule>
    <cfRule type="cellIs" dxfId="1824" priority="788" operator="equal">
      <formula>"Insert unit"</formula>
    </cfRule>
  </conditionalFormatting>
  <conditionalFormatting sqref="A402:XFD413">
    <cfRule type="cellIs" dxfId="1823" priority="813" operator="equal">
      <formula>"Insert data"</formula>
    </cfRule>
    <cfRule type="cellIs" dxfId="1822" priority="812" operator="equal">
      <formula>"Insert unit"</formula>
    </cfRule>
  </conditionalFormatting>
  <conditionalFormatting sqref="A441:XFD441 A442:C442 E442:XFD442 A443:XFD462">
    <cfRule type="cellIs" dxfId="1821" priority="786" operator="equal">
      <formula>"Insert data"</formula>
    </cfRule>
    <cfRule type="cellIs" dxfId="1820" priority="785" operator="equal">
      <formula>"Insert unit"</formula>
    </cfRule>
  </conditionalFormatting>
  <conditionalFormatting sqref="A467:XFD491 A492:C492 E492:XFD492 A493:XFD512">
    <cfRule type="cellIs" dxfId="1819" priority="783" operator="equal">
      <formula>"Insert data"</formula>
    </cfRule>
    <cfRule type="cellIs" dxfId="1818" priority="782" operator="equal">
      <formula>"Insert unit"</formula>
    </cfRule>
  </conditionalFormatting>
  <conditionalFormatting sqref="A591:XFD591 A592:C592 E592:XFD592 A593:XFD601">
    <cfRule type="cellIs" dxfId="1817" priority="738" operator="equal">
      <formula>"Insert unit"</formula>
    </cfRule>
    <cfRule type="cellIs" dxfId="1816" priority="739" operator="equal">
      <formula>"Insert data"</formula>
    </cfRule>
  </conditionalFormatting>
  <conditionalFormatting sqref="A741:XFD741 A742:C742 E742:XFD742 F742:F747 A743:XFD751">
    <cfRule type="cellIs" dxfId="1815" priority="730" operator="equal">
      <formula>"Insert data"</formula>
    </cfRule>
    <cfRule type="cellIs" dxfId="1814" priority="729" operator="equal">
      <formula>"Insert unit"</formula>
    </cfRule>
  </conditionalFormatting>
  <conditionalFormatting sqref="A791:XFD791 A792:C792 E792:XFD792 A793:XFD801">
    <cfRule type="cellIs" dxfId="1813" priority="727" operator="equal">
      <formula>"Insert data"</formula>
    </cfRule>
    <cfRule type="cellIs" dxfId="1812" priority="726" operator="equal">
      <formula>"Insert unit"</formula>
    </cfRule>
  </conditionalFormatting>
  <conditionalFormatting sqref="A841:XFD841 A842:C842 E842:XFD842 A843:XFD851">
    <cfRule type="cellIs" dxfId="1811" priority="724" operator="equal">
      <formula>"Insert data"</formula>
    </cfRule>
    <cfRule type="cellIs" dxfId="1810" priority="723" operator="equal">
      <formula>"Insert unit"</formula>
    </cfRule>
  </conditionalFormatting>
  <conditionalFormatting sqref="A891:XFD891 A892:C892 E892:XFD892 A893:XFD901">
    <cfRule type="cellIs" dxfId="1809" priority="721" operator="equal">
      <formula>"Insert data"</formula>
    </cfRule>
    <cfRule type="cellIs" dxfId="1808" priority="720" operator="equal">
      <formula>"Insert unit"</formula>
    </cfRule>
  </conditionalFormatting>
  <conditionalFormatting sqref="A941:XFD941 A942:C942 E942:XFD942 A943:XFD951">
    <cfRule type="cellIs" dxfId="1807" priority="718" operator="equal">
      <formula>"Insert data"</formula>
    </cfRule>
    <cfRule type="cellIs" dxfId="1806" priority="717" operator="equal">
      <formula>"Insert unit"</formula>
    </cfRule>
  </conditionalFormatting>
  <conditionalFormatting sqref="A991:XFD991 A992:C992 E992:XFD992 A993:XFD1001">
    <cfRule type="cellIs" dxfId="1805" priority="715" operator="equal">
      <formula>"Insert data"</formula>
    </cfRule>
    <cfRule type="cellIs" dxfId="1804" priority="714" operator="equal">
      <formula>"Insert unit"</formula>
    </cfRule>
  </conditionalFormatting>
  <conditionalFormatting sqref="A1041:XFD1041 A1042:C1042 E1042:XFD1042 A1043:XFD1051">
    <cfRule type="cellIs" dxfId="1803" priority="687" operator="equal">
      <formula>"Insert unit"</formula>
    </cfRule>
    <cfRule type="cellIs" dxfId="1802" priority="688" operator="equal">
      <formula>"Insert data"</formula>
    </cfRule>
  </conditionalFormatting>
  <conditionalFormatting sqref="A1091:XFD1091 A1092:C1092 E1092:XFD1092 A1093:XFD1101">
    <cfRule type="cellIs" dxfId="1801" priority="685" operator="equal">
      <formula>"Insert data"</formula>
    </cfRule>
    <cfRule type="cellIs" dxfId="1800" priority="684" operator="equal">
      <formula>"Insert unit"</formula>
    </cfRule>
  </conditionalFormatting>
  <conditionalFormatting sqref="A1141:XFD1141 A1142:C1142 E1142:XFD1142 A1143:XFD1151">
    <cfRule type="cellIs" dxfId="1799" priority="682" operator="equal">
      <formula>"Insert data"</formula>
    </cfRule>
    <cfRule type="cellIs" dxfId="1798" priority="681" operator="equal">
      <formula>"Insert unit"</formula>
    </cfRule>
  </conditionalFormatting>
  <conditionalFormatting sqref="A1191:XFD1191 A1192:C1192 E1192:XFD1192 A1193:XFD1201">
    <cfRule type="cellIs" dxfId="1797" priority="679" operator="equal">
      <formula>"Insert data"</formula>
    </cfRule>
    <cfRule type="cellIs" dxfId="1796" priority="678" operator="equal">
      <formula>"Insert unit"</formula>
    </cfRule>
  </conditionalFormatting>
  <conditionalFormatting sqref="A1241:XFD1241 A1242:C1242 E1242:XFD1242 A1243:XFD1251">
    <cfRule type="cellIs" dxfId="1795" priority="676" operator="equal">
      <formula>"Insert data"</formula>
    </cfRule>
    <cfRule type="cellIs" dxfId="1794" priority="675" operator="equal">
      <formula>"Insert unit"</formula>
    </cfRule>
  </conditionalFormatting>
  <conditionalFormatting sqref="B93:E94 B95:D97 B59:L59 B60:B61 D60:D61 B62:F62 G62:L63 B63:B64 E64 B65:F65 B66:B67 D66:F67 B68:F69 B70 F70:F97 B71:E73 B74 B75:E80 B81 B82:E91 B92:C92 E92 B98:F101">
    <cfRule type="expression" dxfId="1793" priority="805">
      <formula>$E$63="No"</formula>
    </cfRule>
  </conditionalFormatting>
  <conditionalFormatting sqref="B609:E609 F609:F647 B610:B611 D610:E612 C611:D611 B612:E612 B613:B614 E614 B615:E615 B616:B617 D616:E617 B618:E619 B620 B621:E623 B624 B625:E630 B631 B632:E641 B642:C642 E642 B643:E647 B648:F651">
    <cfRule type="expression" dxfId="1792" priority="734">
      <formula>$E$613="No"</formula>
    </cfRule>
  </conditionalFormatting>
  <conditionalFormatting sqref="B459:L459">
    <cfRule type="expression" dxfId="1791" priority="2">
      <formula>$E$463="No"</formula>
    </cfRule>
  </conditionalFormatting>
  <conditionalFormatting sqref="B509:L509 C510:F510 B510:B511 D510:D511 G510:G512 C511:E511 B512:F512 B513:B514 F513:G517 E514 B515:E515 B516:B517 D516:E517 B518:F519 G518:L551 B520 B521:F523 B524 B525:F530 B531 B532:F541 B542:C542 E542:F542 B543:F551">
    <cfRule type="expression" dxfId="1790" priority="779">
      <formula>$E$513="No"</formula>
    </cfRule>
  </conditionalFormatting>
  <conditionalFormatting sqref="B559:L559 B560:B561 D560:E562 C561:D561 B562:F562 B563:B564 E564:L564 B565:F565 B566:B567 D566:F567 B568:F569 B570 F570:F597 B571:F573 B574 B575:F580 B581 B582:F591 B592:C592 E592:F592 B593:F601">
    <cfRule type="expression" dxfId="1789" priority="737">
      <formula>$E$563="No"</formula>
    </cfRule>
  </conditionalFormatting>
  <conditionalFormatting sqref="B709:L709">
    <cfRule type="expression" dxfId="1788" priority="1">
      <formula>$E$713="No"</formula>
    </cfRule>
  </conditionalFormatting>
  <conditionalFormatting sqref="B759:L759 C759:C760 F759:F763 B760:B761 D760:E762 C761:D761 B762:F762 B763:B764 E764:L764 B765:F765 G765:L801 B766:B767 D766:F767 B768:F769 B770 B771:F773 B774 B775:F780 B781 B782:F791 B792:C792 E792:F792 B793:F801">
    <cfRule type="expression" dxfId="1787" priority="725">
      <formula>$E$763="No"</formula>
    </cfRule>
  </conditionalFormatting>
  <conditionalFormatting sqref="B809:L809 C809:C810 B810:B811 D810:E812 C811:D811 B812:F812 B813:B814 E814:L814 B815:F815 G815:L851 B816:B817 D816:F817 B818:F819 B820 B821:F823 B824 B825:F830 B831 B832:F841 B842:C842 E842:F842 B843:F851">
    <cfRule type="expression" dxfId="1786" priority="722">
      <formula>$E$813="No"</formula>
    </cfRule>
  </conditionalFormatting>
  <conditionalFormatting sqref="B859:L859 C859:C860 B860:B861 D860:E862 C861:D861 B862:F862 B863:B864 E864:L864 B865:F865 G865:L901 B866:B867 D866:F867 B868:F869 B870 B871:F873 B874 B875:F880 B881 B882:F891 B892:C892 E892:F892 B893:F901">
    <cfRule type="expression" dxfId="1785" priority="719">
      <formula>$E$863="No"</formula>
    </cfRule>
  </conditionalFormatting>
  <conditionalFormatting sqref="B909:L909 C909:C910 F909:F913 C910:L910 B910:B911 D910:D911 C911:E911 B912:F912 B913:B914 E914:L914 B915:F915 G915:L951 B916:B917 D916:F917 B918:F919 B920 B921:F923 B924 B925:F930 B931 B932:F941 B942:C942 E942:F942 B943:F951">
    <cfRule type="expression" dxfId="1784" priority="716">
      <formula>$E$913="No"</formula>
    </cfRule>
  </conditionalFormatting>
  <conditionalFormatting sqref="B959:L959 C959:C960 C960:L960 B960:B961 D960:D961 C961:E961 F961:F962 B962:L962 H963:L963 B963:B964 F963:G966 E964 B965:E965 H965:L968 D966:E966 B966:B967 D967:G967 B968:G968 B969:F969 G969:L1001 B970 B971:F973 B974 B975:F980 B981 B982:F991 B992:C992 E992:F992 B993:F1001">
    <cfRule type="expression" dxfId="1783" priority="713">
      <formula>$E$963="No"</formula>
    </cfRule>
  </conditionalFormatting>
  <conditionalFormatting sqref="B1009:L1009 C1009:C1010 C1010:L1010 B1010:B1011 D1010:D1011 C1011:E1011 G1011:I1011 K1011:L1011 F1011:F1012 B1012:L1012 H1013:L1013 B1013:B1014 F1013:G1016 E1014 B1015:E1015 H1015:L1017 D1016:E1016 B1016:B1017 D1017:G1017 B1018:F1019 G1018:L1051 B1020 B1021:F1023 B1024 B1025:F1030 B1031 B1032:F1041 B1042:C1042 E1042:F1042 B1043:F1051">
    <cfRule type="expression" dxfId="1782" priority="686">
      <formula>$E$1013="No"</formula>
    </cfRule>
  </conditionalFormatting>
  <conditionalFormatting sqref="B1059:L1059 C1059:D1060 C1060:L1060 B1060:B1061 D1060:D1061 C1061:I1061 K1061:L1061 B1062:E1062 H1062:L1063 F1062:G1066 B1063:B1064 E1064 B1065:E1065 H1065:L1067 D1066:E1066 B1066:B1067 D1067:G1067 B1068:F1069 G1068:L1101 B1070 B1071:F1073 B1074 B1075:F1080 B1081 B1082:F1091 B1092:C1092 E1092:F1092 B1093:F1101">
    <cfRule type="expression" dxfId="1781" priority="683">
      <formula>$E$1063="No"</formula>
    </cfRule>
  </conditionalFormatting>
  <conditionalFormatting sqref="B1109:L1109 C1109:C1110 C1110:L1110 B1110:B1111 D1110:D1111 C1111:I1111 K1111:L1111 B1112:E1112 H1112:L1113 F1112:G1116 B1113:B1114 E1114 B1115:E1115 H1115:L1117 D1116:E1116 B1116:B1117 D1117:G1117 B1118:F1119 G1118:L1151 B1120 B1121:F1123 B1124 B1125:F1130 B1131 B1132:F1141 B1142:C1142 E1142:F1142 B1143:F1151">
    <cfRule type="expression" dxfId="1780" priority="680">
      <formula>$E$1113="No"</formula>
    </cfRule>
  </conditionalFormatting>
  <conditionalFormatting sqref="B1159:L1159 C1160:L1160 B1160:B1161 D1160:D1161 C1161:E1161 G1161:I1161 K1161:L1161 F1161:F1163 B1162:F1162 G1162:L1163 B1163:B1164 E1164:L1164 B1165:F1165 G1165:L1201 B1166:B1167 D1166:F1167 B1168:F1169 B1170 B1171:F1173 B1174 B1175:F1180 B1181 B1182:F1191 B1192:C1192 E1192:F1192 B1193:F1201">
    <cfRule type="expression" dxfId="1779" priority="677">
      <formula>$E$1163="No"</formula>
    </cfRule>
  </conditionalFormatting>
  <conditionalFormatting sqref="B1209:L1209 C1209:E1211 G1210:L1210 B1210:B1211 F1210:F1213 G1211:I1211 K1211:L1211 B1212:F1212 G1212:L1213 B1213:B1214 E1214:L1214 B1215:F1215 G1215:L1251 B1216:B1217 D1216:F1217 B1218:F1219 B1220 B1221:F1223 B1224 B1225:F1230 B1231 B1232:F1241 B1242:C1242 E1242:F1242 B1243:F1251">
    <cfRule type="expression" dxfId="1778" priority="674">
      <formula>$E$1213="No"</formula>
    </cfRule>
  </conditionalFormatting>
  <conditionalFormatting sqref="C10">
    <cfRule type="expression" dxfId="1777" priority="462">
      <formula>$E$13="No"</formula>
    </cfRule>
  </conditionalFormatting>
  <conditionalFormatting sqref="C60">
    <cfRule type="expression" dxfId="1776" priority="436">
      <formula>$E$63="No"</formula>
    </cfRule>
  </conditionalFormatting>
  <conditionalFormatting sqref="C110">
    <cfRule type="expression" dxfId="1775" priority="553">
      <formula>$E$113="No"</formula>
    </cfRule>
  </conditionalFormatting>
  <conditionalFormatting sqref="C159:C160">
    <cfRule type="expression" dxfId="1774" priority="543">
      <formula>$E$163="No"</formula>
    </cfRule>
  </conditionalFormatting>
  <conditionalFormatting sqref="C209:C210">
    <cfRule type="expression" dxfId="1773" priority="525">
      <formula>$E$213="No"</formula>
    </cfRule>
  </conditionalFormatting>
  <conditionalFormatting sqref="C259:C260">
    <cfRule type="expression" dxfId="1772" priority="515">
      <formula>$E$263="No"</formula>
    </cfRule>
  </conditionalFormatting>
  <conditionalFormatting sqref="C309:C310">
    <cfRule type="expression" dxfId="1771" priority="508">
      <formula>$E$313="No"</formula>
    </cfRule>
  </conditionalFormatting>
  <conditionalFormatting sqref="C359:C360">
    <cfRule type="expression" dxfId="1770" priority="504">
      <formula>$E$363="No"</formula>
    </cfRule>
  </conditionalFormatting>
  <conditionalFormatting sqref="C409:C410">
    <cfRule type="expression" dxfId="1769" priority="495">
      <formula>$E$413="No"</formula>
    </cfRule>
  </conditionalFormatting>
  <conditionalFormatting sqref="C459:C460">
    <cfRule type="expression" dxfId="1768" priority="493">
      <formula>$E$463="No"</formula>
    </cfRule>
  </conditionalFormatting>
  <conditionalFormatting sqref="C509:C511">
    <cfRule type="expression" dxfId="1767" priority="483">
      <formula>$E$513="No"</formula>
    </cfRule>
  </conditionalFormatting>
  <conditionalFormatting sqref="C510:C511">
    <cfRule type="expression" dxfId="1766" priority="360">
      <formula>$E$513="No"</formula>
    </cfRule>
  </conditionalFormatting>
  <conditionalFormatting sqref="C559:C561">
    <cfRule type="expression" dxfId="1765" priority="481">
      <formula>$E$563="No"</formula>
    </cfRule>
  </conditionalFormatting>
  <conditionalFormatting sqref="C609:C611">
    <cfRule type="expression" dxfId="1764" priority="476">
      <formula>$E$613="No"</formula>
    </cfRule>
  </conditionalFormatting>
  <conditionalFormatting sqref="C709:C711">
    <cfRule type="expression" dxfId="1763" priority="355">
      <formula>$E$713="No"</formula>
    </cfRule>
    <cfRule type="cellIs" dxfId="1762" priority="356" operator="equal">
      <formula>"Insert unit"</formula>
    </cfRule>
    <cfRule type="cellIs" dxfId="1761" priority="357" operator="equal">
      <formula>"Insert data"</formula>
    </cfRule>
  </conditionalFormatting>
  <conditionalFormatting sqref="C710:C711">
    <cfRule type="cellIs" dxfId="1760" priority="467" operator="equal">
      <formula>"Insert unit"</formula>
    </cfRule>
    <cfRule type="expression" dxfId="1759" priority="466">
      <formula>$E$713="No"</formula>
    </cfRule>
    <cfRule type="cellIs" dxfId="1758" priority="468" operator="equal">
      <formula>"Insert data"</formula>
    </cfRule>
  </conditionalFormatting>
  <conditionalFormatting sqref="C760:C761">
    <cfRule type="expression" dxfId="1757" priority="465">
      <formula>$E$763="No"</formula>
    </cfRule>
  </conditionalFormatting>
  <conditionalFormatting sqref="C810:C811">
    <cfRule type="expression" dxfId="1756" priority="464">
      <formula>$E$813="No"</formula>
    </cfRule>
  </conditionalFormatting>
  <conditionalFormatting sqref="C860:C861">
    <cfRule type="expression" dxfId="1755" priority="463">
      <formula>$E$863="No"</formula>
    </cfRule>
  </conditionalFormatting>
  <conditionalFormatting sqref="D17">
    <cfRule type="expression" dxfId="1754" priority="124">
      <formula>E14="Actual"</formula>
    </cfRule>
  </conditionalFormatting>
  <conditionalFormatting sqref="D67">
    <cfRule type="expression" dxfId="1753" priority="122">
      <formula>E64="Actual"</formula>
    </cfRule>
  </conditionalFormatting>
  <conditionalFormatting sqref="D117">
    <cfRule type="expression" dxfId="1752" priority="120">
      <formula>E114="Actual"</formula>
    </cfRule>
  </conditionalFormatting>
  <conditionalFormatting sqref="D167">
    <cfRule type="expression" dxfId="1751" priority="118">
      <formula>E164="Actual"</formula>
    </cfRule>
  </conditionalFormatting>
  <conditionalFormatting sqref="D217">
    <cfRule type="expression" dxfId="1750" priority="116">
      <formula>E214="Actual"</formula>
    </cfRule>
  </conditionalFormatting>
  <conditionalFormatting sqref="D267">
    <cfRule type="expression" dxfId="1749" priority="114">
      <formula>E264="Actual"</formula>
    </cfRule>
  </conditionalFormatting>
  <conditionalFormatting sqref="D317">
    <cfRule type="expression" dxfId="1748" priority="112">
      <formula>E314="Actual"</formula>
    </cfRule>
  </conditionalFormatting>
  <conditionalFormatting sqref="D367">
    <cfRule type="expression" dxfId="1747" priority="110">
      <formula>E364="Actual"</formula>
    </cfRule>
  </conditionalFormatting>
  <conditionalFormatting sqref="D417">
    <cfRule type="expression" dxfId="1746" priority="108">
      <formula>E414="Actual"</formula>
    </cfRule>
  </conditionalFormatting>
  <conditionalFormatting sqref="D467">
    <cfRule type="expression" dxfId="1745" priority="106">
      <formula>E464="Actual"</formula>
    </cfRule>
  </conditionalFormatting>
  <conditionalFormatting sqref="D517">
    <cfRule type="expression" dxfId="1744" priority="104">
      <formula>E514="Actual"</formula>
    </cfRule>
  </conditionalFormatting>
  <conditionalFormatting sqref="D567">
    <cfRule type="expression" dxfId="1743" priority="102">
      <formula>E564="Actual"</formula>
    </cfRule>
  </conditionalFormatting>
  <conditionalFormatting sqref="D617">
    <cfRule type="expression" dxfId="1742" priority="100">
      <formula>E614="Actual"</formula>
    </cfRule>
  </conditionalFormatting>
  <conditionalFormatting sqref="D667">
    <cfRule type="expression" dxfId="1741" priority="98">
      <formula>E664="Actual"</formula>
    </cfRule>
  </conditionalFormatting>
  <conditionalFormatting sqref="D717">
    <cfRule type="expression" dxfId="1740" priority="96">
      <formula>E714="Actual"</formula>
    </cfRule>
  </conditionalFormatting>
  <conditionalFormatting sqref="D767">
    <cfRule type="expression" dxfId="1739" priority="94">
      <formula>E764="Actual"</formula>
    </cfRule>
  </conditionalFormatting>
  <conditionalFormatting sqref="D817">
    <cfRule type="expression" dxfId="1738" priority="92">
      <formula>E814="Actual"</formula>
    </cfRule>
  </conditionalFormatting>
  <conditionalFormatting sqref="D867">
    <cfRule type="expression" dxfId="1737" priority="90">
      <formula>E864="Actual"</formula>
    </cfRule>
  </conditionalFormatting>
  <conditionalFormatting sqref="D917">
    <cfRule type="expression" dxfId="1736" priority="88">
      <formula>E914="Actual"</formula>
    </cfRule>
  </conditionalFormatting>
  <conditionalFormatting sqref="D967">
    <cfRule type="expression" dxfId="1735" priority="86">
      <formula>E964="Actual"</formula>
    </cfRule>
  </conditionalFormatting>
  <conditionalFormatting sqref="D1017">
    <cfRule type="expression" dxfId="1734" priority="84">
      <formula>E1014="Actual"</formula>
    </cfRule>
  </conditionalFormatting>
  <conditionalFormatting sqref="D1067">
    <cfRule type="expression" dxfId="1733" priority="82">
      <formula>E1064="Actual"</formula>
    </cfRule>
  </conditionalFormatting>
  <conditionalFormatting sqref="D1117">
    <cfRule type="expression" dxfId="1732" priority="80">
      <formula>E1114="Actual"</formula>
    </cfRule>
  </conditionalFormatting>
  <conditionalFormatting sqref="D1167">
    <cfRule type="expression" dxfId="1731" priority="78">
      <formula>E1164="Actual"</formula>
    </cfRule>
  </conditionalFormatting>
  <conditionalFormatting sqref="D1217">
    <cfRule type="expression" dxfId="1730" priority="77">
      <formula>$E$1163="No"</formula>
    </cfRule>
    <cfRule type="expression" dxfId="1729" priority="74">
      <formula>E1214="Actual"</formula>
    </cfRule>
  </conditionalFormatting>
  <conditionalFormatting sqref="D710:E712">
    <cfRule type="expression" dxfId="1728" priority="21">
      <formula>$E$713="No"</formula>
    </cfRule>
    <cfRule type="cellIs" dxfId="1727" priority="23" operator="equal">
      <formula>"Insert data"</formula>
    </cfRule>
    <cfRule type="cellIs" dxfId="1726" priority="22" operator="equal">
      <formula>"Insert unit"</formula>
    </cfRule>
  </conditionalFormatting>
  <conditionalFormatting sqref="D659:L659 B659:C662 D660:E662 F660:F697 B663:B664 E664 B665:E665 B666:B667 D666:E667 B668:E669 B670 B671:E673 B674 B675:E680 B681 B682:E691 B692:C692 E692 B693:E697 B698:F701">
    <cfRule type="expression" dxfId="1725" priority="731">
      <formula>$E$663="No"</formula>
    </cfRule>
  </conditionalFormatting>
  <conditionalFormatting sqref="E14 B9:L9 B10:B11 D10:D11 F10:F12 B12:F12 B13:B14 B15:F15 D16:F16 B16:B17 D17:E17 B18:F19 B20 F20:F39 B21:F23 B24 B25:F30 B31 B32:F41 B42:C42 E42:F42 F42:F47 B43:F51">
    <cfRule type="expression" dxfId="1724" priority="923">
      <formula>$E$13="No"</formula>
    </cfRule>
  </conditionalFormatting>
  <conditionalFormatting sqref="E14">
    <cfRule type="expression" dxfId="1723" priority="20">
      <formula>E14="Default"</formula>
    </cfRule>
    <cfRule type="expression" dxfId="1722" priority="624">
      <formula>E14="Actual"</formula>
    </cfRule>
  </conditionalFormatting>
  <conditionalFormatting sqref="E17">
    <cfRule type="expression" dxfId="1721" priority="261">
      <formula>E14="Default"</formula>
    </cfRule>
  </conditionalFormatting>
  <conditionalFormatting sqref="E45:E47">
    <cfRule type="expression" dxfId="1720" priority="649">
      <formula>$E$42="No"</formula>
    </cfRule>
  </conditionalFormatting>
  <conditionalFormatting sqref="E64">
    <cfRule type="expression" dxfId="1719" priority="19">
      <formula>E64="Default"</formula>
    </cfRule>
    <cfRule type="expression" dxfId="1718" priority="458">
      <formula>E64="Actual"</formula>
    </cfRule>
  </conditionalFormatting>
  <conditionalFormatting sqref="E67">
    <cfRule type="expression" dxfId="1717" priority="259">
      <formula>E64="Default"</formula>
    </cfRule>
  </conditionalFormatting>
  <conditionalFormatting sqref="E95:E97">
    <cfRule type="expression" dxfId="1716" priority="710">
      <formula>$E$63="No"</formula>
    </cfRule>
    <cfRule type="cellIs" dxfId="1715" priority="709" operator="equal">
      <formula>"Insert yield"</formula>
    </cfRule>
    <cfRule type="expression" dxfId="1714" priority="648">
      <formula>$E$92="No"</formula>
    </cfRule>
  </conditionalFormatting>
  <conditionalFormatting sqref="E114 B109:L109 B110:B111 D110:D111 B112:F112 G112:L113 B113:B114 B115:F115 B116:B117 D116:F117 B118:F119 B120 B121:F123 B124 B125:F130 B131 B132:F141 B142:C142 E142:F142 B143:F151">
    <cfRule type="expression" dxfId="1713" priority="802">
      <formula>$E$113="No"</formula>
    </cfRule>
  </conditionalFormatting>
  <conditionalFormatting sqref="E114">
    <cfRule type="expression" dxfId="1712" priority="18">
      <formula>E114="Actual"</formula>
    </cfRule>
    <cfRule type="expression" dxfId="1711" priority="549">
      <formula>E114="Default"</formula>
    </cfRule>
  </conditionalFormatting>
  <conditionalFormatting sqref="E117">
    <cfRule type="expression" dxfId="1710" priority="255">
      <formula>E114="Default"</formula>
    </cfRule>
  </conditionalFormatting>
  <conditionalFormatting sqref="E145:E147">
    <cfRule type="expression" dxfId="1709" priority="647">
      <formula>$E$142="No"</formula>
    </cfRule>
  </conditionalFormatting>
  <conditionalFormatting sqref="E164 B159:L159 B160:B161 D160:D161 B162:F162 G162:L163 B163:B164 B165:F165 B166:B167 D166:F167 B168:F169 B170 B171:F173 B174 B175:F180 B181 B182:F191 B192:C192 E192:F192 B193:F201">
    <cfRule type="expression" dxfId="1708" priority="799">
      <formula>$E$163="No"</formula>
    </cfRule>
  </conditionalFormatting>
  <conditionalFormatting sqref="E164">
    <cfRule type="expression" dxfId="1707" priority="545">
      <formula>E164="Default"</formula>
    </cfRule>
    <cfRule type="expression" dxfId="1706" priority="17">
      <formula>E164="Actual"</formula>
    </cfRule>
  </conditionalFormatting>
  <conditionalFormatting sqref="E167">
    <cfRule type="expression" dxfId="1705" priority="251">
      <formula>E164="Default"</formula>
    </cfRule>
  </conditionalFormatting>
  <conditionalFormatting sqref="E195:E197">
    <cfRule type="expression" dxfId="1704" priority="646">
      <formula>$E$192="No"</formula>
    </cfRule>
  </conditionalFormatting>
  <conditionalFormatting sqref="E214 B209:L209 B210:B211 D210:D211 B212:F212 G212:L213 B213:B214 B215:F215 B216:B217 D216:F217 B218:F219 B220 B221:F223 B224 B225:F230 B231 B232:F241 B242:C242 E242:F242 B243:F251">
    <cfRule type="expression" dxfId="1703" priority="796">
      <formula>$E$213="No"</formula>
    </cfRule>
  </conditionalFormatting>
  <conditionalFormatting sqref="E214">
    <cfRule type="expression" dxfId="1702" priority="526">
      <formula>E214="Default"</formula>
    </cfRule>
    <cfRule type="expression" dxfId="1701" priority="16">
      <formula>E214="Actual"</formula>
    </cfRule>
  </conditionalFormatting>
  <conditionalFormatting sqref="E217">
    <cfRule type="expression" dxfId="1700" priority="245">
      <formula>E214="Default"</formula>
    </cfRule>
  </conditionalFormatting>
  <conditionalFormatting sqref="E245:E247">
    <cfRule type="expression" dxfId="1699" priority="645">
      <formula>$E$242="No"</formula>
    </cfRule>
  </conditionalFormatting>
  <conditionalFormatting sqref="E264 B259:L259 B260:B261 D260:D261 B262:F262 G262:L263 B263:B264 B265:F265 B266:B267 D266:F267 B268:F269 B270 B271:F273 B274 B275:F280 B281 B282:F291 B292:C292 E292:F292 B293:F301">
    <cfRule type="expression" dxfId="1698" priority="793">
      <formula>$E$263="No"</formula>
    </cfRule>
  </conditionalFormatting>
  <conditionalFormatting sqref="E264">
    <cfRule type="expression" dxfId="1697" priority="521">
      <formula>E264="Default"</formula>
    </cfRule>
    <cfRule type="expression" dxfId="1696" priority="15">
      <formula>E264="Actual"</formula>
    </cfRule>
  </conditionalFormatting>
  <conditionalFormatting sqref="E267">
    <cfRule type="expression" dxfId="1695" priority="239">
      <formula>E264="Default"</formula>
    </cfRule>
  </conditionalFormatting>
  <conditionalFormatting sqref="E295:E297">
    <cfRule type="expression" dxfId="1694" priority="644">
      <formula>$E$292="No"</formula>
    </cfRule>
  </conditionalFormatting>
  <conditionalFormatting sqref="E314 B309:L309 B310:B311 D310:D311 B312:F312 G312:L313 B313:B314 B315:F315 B316:B317 D316:F317 B318:F319 B320 B321:F323 B324 B325:F330 B331 B332:F341 B342:C342 E342:F342 B343:F351">
    <cfRule type="expression" dxfId="1693" priority="790">
      <formula>$E$313="No"</formula>
    </cfRule>
  </conditionalFormatting>
  <conditionalFormatting sqref="E314">
    <cfRule type="expression" dxfId="1692" priority="509">
      <formula>E314="Default"</formula>
    </cfRule>
    <cfRule type="expression" dxfId="1691" priority="14">
      <formula>E314="Actual"</formula>
    </cfRule>
  </conditionalFormatting>
  <conditionalFormatting sqref="E317">
    <cfRule type="expression" dxfId="1690" priority="233">
      <formula>E314="Default"</formula>
    </cfRule>
  </conditionalFormatting>
  <conditionalFormatting sqref="E345:E347">
    <cfRule type="expression" dxfId="1689" priority="643">
      <formula>$E$342="No"</formula>
    </cfRule>
  </conditionalFormatting>
  <conditionalFormatting sqref="E364 B359:L359 B360:B361 D360:D361 B362:F362 G362:L363 B363:B364 B365:F365 B366:B367 D366:F367 B368:F369 B370 B371:F373 B374 B375:F380 B381 B382:F391 B392:C392 E392:F392 B393:F401">
    <cfRule type="expression" dxfId="1688" priority="787">
      <formula>$E$363="No"</formula>
    </cfRule>
  </conditionalFormatting>
  <conditionalFormatting sqref="E364">
    <cfRule type="expression" dxfId="1687" priority="503">
      <formula>E364="Default"</formula>
    </cfRule>
    <cfRule type="expression" dxfId="1686" priority="13">
      <formula>E364="Actual"</formula>
    </cfRule>
  </conditionalFormatting>
  <conditionalFormatting sqref="E367">
    <cfRule type="expression" dxfId="1685" priority="227">
      <formula>E364="Default"</formula>
    </cfRule>
  </conditionalFormatting>
  <conditionalFormatting sqref="E395:E397">
    <cfRule type="expression" dxfId="1684" priority="642">
      <formula>$E$392="No"</formula>
    </cfRule>
  </conditionalFormatting>
  <conditionalFormatting sqref="E414">
    <cfRule type="expression" dxfId="1683" priority="496">
      <formula>E414="Default"</formula>
    </cfRule>
    <cfRule type="expression" dxfId="1682" priority="12">
      <formula>E414="Actual"</formula>
    </cfRule>
  </conditionalFormatting>
  <conditionalFormatting sqref="E417">
    <cfRule type="expression" dxfId="1681" priority="221">
      <formula>E414="Default"</formula>
    </cfRule>
  </conditionalFormatting>
  <conditionalFormatting sqref="E445:E447">
    <cfRule type="expression" dxfId="1680" priority="641">
      <formula>$E$442="No"</formula>
    </cfRule>
  </conditionalFormatting>
  <conditionalFormatting sqref="E464 B460:B461 D460:D461 F460:L461 B462:L462 B463:B464 F463:G466 H463:L467 B465:E465 D466:E466 B466:B467 D467:G467 B468:F469 G468:L501 B470 B471:F473 B474 B475:F480 B481 B482:F491 B492:C492 E492:F492 B493:F501">
    <cfRule type="expression" dxfId="1679" priority="781">
      <formula>$E$463="No"</formula>
    </cfRule>
  </conditionalFormatting>
  <conditionalFormatting sqref="E464">
    <cfRule type="expression" dxfId="1678" priority="780">
      <formula>E464="Actual"</formula>
    </cfRule>
    <cfRule type="expression" dxfId="1677" priority="852">
      <formula>E464="Default"</formula>
    </cfRule>
  </conditionalFormatting>
  <conditionalFormatting sqref="E467">
    <cfRule type="expression" dxfId="1676" priority="215">
      <formula>E464="Default"</formula>
    </cfRule>
  </conditionalFormatting>
  <conditionalFormatting sqref="E495:E497">
    <cfRule type="expression" dxfId="1675" priority="640">
      <formula>$E$492="No"</formula>
    </cfRule>
  </conditionalFormatting>
  <conditionalFormatting sqref="E517">
    <cfRule type="expression" dxfId="1674" priority="209">
      <formula>E514="Default"</formula>
    </cfRule>
  </conditionalFormatting>
  <conditionalFormatting sqref="E545:E547">
    <cfRule type="expression" dxfId="1673" priority="639">
      <formula>$E$542="No"</formula>
    </cfRule>
  </conditionalFormatting>
  <conditionalFormatting sqref="E567">
    <cfRule type="expression" dxfId="1672" priority="203">
      <formula>E564="Default"</formula>
    </cfRule>
  </conditionalFormatting>
  <conditionalFormatting sqref="E595:E597">
    <cfRule type="expression" dxfId="1671" priority="638">
      <formula>$E$592="No"</formula>
    </cfRule>
  </conditionalFormatting>
  <conditionalFormatting sqref="E617">
    <cfRule type="expression" dxfId="1670" priority="197">
      <formula>E614="Default"</formula>
    </cfRule>
  </conditionalFormatting>
  <conditionalFormatting sqref="E645:E647">
    <cfRule type="expression" dxfId="1669" priority="637">
      <formula>$E$642="No"</formula>
    </cfRule>
  </conditionalFormatting>
  <conditionalFormatting sqref="E667">
    <cfRule type="expression" dxfId="1668" priority="191">
      <formula>E664="Default"</formula>
    </cfRule>
  </conditionalFormatting>
  <conditionalFormatting sqref="E695:E697">
    <cfRule type="expression" dxfId="1667" priority="636">
      <formula>$E$692="No"</formula>
    </cfRule>
  </conditionalFormatting>
  <conditionalFormatting sqref="E714">
    <cfRule type="expression" dxfId="1666" priority="470">
      <formula>$E$713="No"</formula>
    </cfRule>
  </conditionalFormatting>
  <conditionalFormatting sqref="E717">
    <cfRule type="expression" dxfId="1665" priority="185">
      <formula>E714="Default"</formula>
    </cfRule>
  </conditionalFormatting>
  <conditionalFormatting sqref="E745:E747">
    <cfRule type="expression" dxfId="1664" priority="635">
      <formula>$E$742="No"</formula>
    </cfRule>
  </conditionalFormatting>
  <conditionalFormatting sqref="E767">
    <cfRule type="expression" dxfId="1663" priority="179">
      <formula>E764="Default"</formula>
    </cfRule>
  </conditionalFormatting>
  <conditionalFormatting sqref="E795:E797">
    <cfRule type="expression" dxfId="1662" priority="634">
      <formula>$E$792="No"</formula>
    </cfRule>
  </conditionalFormatting>
  <conditionalFormatting sqref="E817">
    <cfRule type="expression" dxfId="1661" priority="173">
      <formula>E814="Default"</formula>
    </cfRule>
  </conditionalFormatting>
  <conditionalFormatting sqref="E845:E847">
    <cfRule type="expression" dxfId="1660" priority="633">
      <formula>$E$842="No"</formula>
    </cfRule>
  </conditionalFormatting>
  <conditionalFormatting sqref="E867">
    <cfRule type="expression" dxfId="1659" priority="167">
      <formula>E864="Default"</formula>
    </cfRule>
  </conditionalFormatting>
  <conditionalFormatting sqref="E895:E897">
    <cfRule type="expression" dxfId="1658" priority="632">
      <formula>$E$892="No"</formula>
    </cfRule>
  </conditionalFormatting>
  <conditionalFormatting sqref="E917">
    <cfRule type="expression" dxfId="1657" priority="161">
      <formula>E914="Default"</formula>
    </cfRule>
  </conditionalFormatting>
  <conditionalFormatting sqref="E945:E947">
    <cfRule type="expression" dxfId="1656" priority="631">
      <formula>$E$942="No"</formula>
    </cfRule>
  </conditionalFormatting>
  <conditionalFormatting sqref="E967">
    <cfRule type="expression" dxfId="1655" priority="72">
      <formula>$E$913="No"</formula>
    </cfRule>
    <cfRule type="expression" dxfId="1654" priority="71">
      <formula>E964="Default"</formula>
    </cfRule>
  </conditionalFormatting>
  <conditionalFormatting sqref="E995:E997">
    <cfRule type="expression" dxfId="1653" priority="630">
      <formula>$E$992="No"</formula>
    </cfRule>
  </conditionalFormatting>
  <conditionalFormatting sqref="E1017">
    <cfRule type="expression" dxfId="1652" priority="149">
      <formula>E1014="Default"</formula>
    </cfRule>
  </conditionalFormatting>
  <conditionalFormatting sqref="E1045:E1047">
    <cfRule type="expression" dxfId="1651" priority="629">
      <formula>$E$1042="No"</formula>
    </cfRule>
  </conditionalFormatting>
  <conditionalFormatting sqref="E1067">
    <cfRule type="expression" dxfId="1650" priority="143">
      <formula>E1064="Default"</formula>
    </cfRule>
  </conditionalFormatting>
  <conditionalFormatting sqref="E1095:E1097">
    <cfRule type="expression" dxfId="1649" priority="628">
      <formula>$E$1092="No"</formula>
    </cfRule>
  </conditionalFormatting>
  <conditionalFormatting sqref="E1117">
    <cfRule type="expression" dxfId="1648" priority="137">
      <formula>E1114="Default"</formula>
    </cfRule>
  </conditionalFormatting>
  <conditionalFormatting sqref="E1145:E1147">
    <cfRule type="expression" dxfId="1647" priority="627">
      <formula>$E$1142="No"</formula>
    </cfRule>
  </conditionalFormatting>
  <conditionalFormatting sqref="E1167">
    <cfRule type="expression" dxfId="1646" priority="136">
      <formula>$E$163="No"</formula>
    </cfRule>
    <cfRule type="expression" dxfId="1645" priority="131">
      <formula>E1164="Default"</formula>
    </cfRule>
  </conditionalFormatting>
  <conditionalFormatting sqref="E1195:E1197">
    <cfRule type="expression" dxfId="1644" priority="626">
      <formula>$E$1192="No"</formula>
    </cfRule>
  </conditionalFormatting>
  <conditionalFormatting sqref="E1217">
    <cfRule type="expression" dxfId="1643" priority="125">
      <formula>E1214="Default"</formula>
    </cfRule>
  </conditionalFormatting>
  <conditionalFormatting sqref="E1245:E1247">
    <cfRule type="expression" dxfId="1642" priority="625">
      <formula>$E$1242="No"</formula>
    </cfRule>
  </conditionalFormatting>
  <conditionalFormatting sqref="E414:L414 B409:L409 B410:B411 D410:D411 B412:F412 G412:L413 F413 B413:B414 B415:F415 G415:L451 B416:B417 D416:F417 B418:F419 B420 B421:F423 B424 B425:F430 B431 B432:F441 B442:C442 E442:F442 B443:F451">
    <cfRule type="expression" dxfId="1641" priority="784">
      <formula>$E$413="No"</formula>
    </cfRule>
  </conditionalFormatting>
  <conditionalFormatting sqref="E714:XFD714 A667:XFD713 A715:XFD763 A765:XFD813 A815:XFD863 A7:XFD13 A15:XFD63 E64:XFD64 A115:XFD163 A215:XFD263 E114:XFD114 E164:XFD164 E214:XFD214 E264:XFD264 E314:XFD314 E364:XFD364 A467:XFD512 F660:XFD666 F609:XFD616 F963:XFD966 F1013:XFD1016 F1062:XFD1066 F1112:XFD1116 A65:XFD69 A165:XFD213 A265:XFD313 A315:XFD363 A365:XFD413 A415:XFD462 A517:XFD563 A565:XFD608 A617:XFD658 A865:XFD913 A915:XFD962 A1017:XFD1061 A1067:XFD1111 A1117:XFD1163 A1165:XFD1213 A1215:XFD1048576 A967:XFD1012 F70:XFD97 E14:XFD14 E414:XFD414 A98:XFD113 A1:XFD5 A6:B6 M6:XFD6 A14:C14 A64:C64 A70:E94 A95:D97 A114:C114 A164:C164 A214:C214 A264:C264 A314:C314 A364:C364 A414:C414 A463:E463 F463:XFD466 A464:C464 E464 A465:E466 A513:E513 F513:XFD516 A514:C514 E514 A515:E516 A564:C564 E564:XFD564 A609:E613 A614:C614 E614 A615:E616 D659:XFD659 A659:C662 D660:E662 A663:E663 A664:C664 E664 A665:E666 A714:C714 A764:C764 E764:XFD764 A814:C814 E814:XFD814 A864:C864 E864:XFD864 A914:C914 E914:XFD914 A963:E963 A964:C964 E964 A965:E966 A1013:E1013 A1014:C1014 E1014 A1015:E1016 A1062:E1063 A1064:C1064 E1064 A1065:E1066 A1112:E1113 A1114:C1114 E1114 A1115:E1116 A1164:C1164 E1164:XFD1164 A1214:C1214 E1214:XFD1214">
    <cfRule type="cellIs" dxfId="1640" priority="471" operator="equal">
      <formula>"Insert yield"</formula>
    </cfRule>
  </conditionalFormatting>
  <conditionalFormatting sqref="F13:F14">
    <cfRule type="expression" dxfId="1639" priority="11">
      <formula>$E$13="No"</formula>
    </cfRule>
  </conditionalFormatting>
  <conditionalFormatting sqref="F17">
    <cfRule type="expression" dxfId="1638" priority="461">
      <formula>$E$13="No"</formula>
    </cfRule>
  </conditionalFormatting>
  <conditionalFormatting sqref="F63:F64">
    <cfRule type="expression" dxfId="1637" priority="10">
      <formula>$E$63="No"</formula>
    </cfRule>
  </conditionalFormatting>
  <conditionalFormatting sqref="F113:F114">
    <cfRule type="expression" dxfId="1636" priority="9">
      <formula>$E$113="No"</formula>
    </cfRule>
  </conditionalFormatting>
  <conditionalFormatting sqref="F120">
    <cfRule type="expression" dxfId="1635" priority="435">
      <formula>$E$113="No"</formula>
    </cfRule>
  </conditionalFormatting>
  <conditionalFormatting sqref="F120:F142">
    <cfRule type="expression" dxfId="1634" priority="528">
      <formula>$E$113="No"</formula>
    </cfRule>
  </conditionalFormatting>
  <conditionalFormatting sqref="F144:F147">
    <cfRule type="cellIs" dxfId="1633" priority="428" operator="equal">
      <formula>"Insert data"</formula>
    </cfRule>
    <cfRule type="cellIs" dxfId="1632" priority="427" operator="equal">
      <formula>"Insert unit"</formula>
    </cfRule>
  </conditionalFormatting>
  <conditionalFormatting sqref="F163:F164">
    <cfRule type="expression" dxfId="1631" priority="8">
      <formula>$E$163="No"</formula>
    </cfRule>
  </conditionalFormatting>
  <conditionalFormatting sqref="F170">
    <cfRule type="expression" dxfId="1630" priority="541">
      <formula>$E$163="No"</formula>
    </cfRule>
  </conditionalFormatting>
  <conditionalFormatting sqref="F174">
    <cfRule type="expression" dxfId="1629" priority="539">
      <formula>$E$163="No"</formula>
    </cfRule>
  </conditionalFormatting>
  <conditionalFormatting sqref="F176:F192">
    <cfRule type="expression" dxfId="1628" priority="537">
      <formula>$E$163="No"</formula>
    </cfRule>
  </conditionalFormatting>
  <conditionalFormatting sqref="F194:F197">
    <cfRule type="cellIs" dxfId="1627" priority="420" operator="equal">
      <formula>"Insert data"</formula>
    </cfRule>
    <cfRule type="cellIs" dxfId="1626" priority="419" operator="equal">
      <formula>"Insert unit"</formula>
    </cfRule>
  </conditionalFormatting>
  <conditionalFormatting sqref="F213:F214">
    <cfRule type="expression" dxfId="1625" priority="7">
      <formula>$E$213="No"</formula>
    </cfRule>
  </conditionalFormatting>
  <conditionalFormatting sqref="F220:F221">
    <cfRule type="expression" dxfId="1624" priority="524">
      <formula>$E$213="No"</formula>
    </cfRule>
  </conditionalFormatting>
  <conditionalFormatting sqref="F224">
    <cfRule type="expression" dxfId="1623" priority="523">
      <formula>$E$213="No"</formula>
    </cfRule>
  </conditionalFormatting>
  <conditionalFormatting sqref="F225:F247">
    <cfRule type="expression" dxfId="1622" priority="416">
      <formula>$E$213="No"</formula>
    </cfRule>
  </conditionalFormatting>
  <conditionalFormatting sqref="F231">
    <cfRule type="expression" dxfId="1621" priority="522">
      <formula>$E$213="No"</formula>
    </cfRule>
  </conditionalFormatting>
  <conditionalFormatting sqref="F263:F264">
    <cfRule type="expression" dxfId="1620" priority="6">
      <formula>$E$263="No"</formula>
    </cfRule>
  </conditionalFormatting>
  <conditionalFormatting sqref="F270:F297">
    <cfRule type="expression" dxfId="1619" priority="510">
      <formula>$E$263="No"</formula>
    </cfRule>
  </conditionalFormatting>
  <conditionalFormatting sqref="F313:F314">
    <cfRule type="expression" dxfId="1618" priority="5">
      <formula>$E$313="No"</formula>
    </cfRule>
  </conditionalFormatting>
  <conditionalFormatting sqref="F320:F347">
    <cfRule type="expression" dxfId="1617" priority="505">
      <formula>$E$313="No"</formula>
    </cfRule>
  </conditionalFormatting>
  <conditionalFormatting sqref="F363:F364">
    <cfRule type="expression" dxfId="1616" priority="4">
      <formula>$E$363="No"</formula>
    </cfRule>
  </conditionalFormatting>
  <conditionalFormatting sqref="F370:F397">
    <cfRule type="expression" dxfId="1615" priority="500">
      <formula>$E$363="No"</formula>
    </cfRule>
  </conditionalFormatting>
  <conditionalFormatting sqref="F413:F414">
    <cfRule type="expression" dxfId="1614" priority="3">
      <formula>$E$413="No"</formula>
    </cfRule>
  </conditionalFormatting>
  <conditionalFormatting sqref="F415:F448">
    <cfRule type="expression" dxfId="1613" priority="853">
      <formula>$E$413="No"</formula>
    </cfRule>
  </conditionalFormatting>
  <conditionalFormatting sqref="F420">
    <cfRule type="expression" dxfId="1612" priority="499">
      <formula>$E$413="No"</formula>
    </cfRule>
  </conditionalFormatting>
  <conditionalFormatting sqref="F424">
    <cfRule type="expression" dxfId="1611" priority="498">
      <formula>$E$413="No"</formula>
    </cfRule>
  </conditionalFormatting>
  <conditionalFormatting sqref="F431">
    <cfRule type="expression" dxfId="1610" priority="497">
      <formula>$E$413="No"</formula>
    </cfRule>
  </conditionalFormatting>
  <conditionalFormatting sqref="F470:F498">
    <cfRule type="expression" dxfId="1609" priority="490">
      <formula>$E$463="No"</formula>
    </cfRule>
  </conditionalFormatting>
  <conditionalFormatting sqref="F510:F511">
    <cfRule type="expression" dxfId="1608" priority="484">
      <formula>$E$513="No"</formula>
    </cfRule>
  </conditionalFormatting>
  <conditionalFormatting sqref="F511">
    <cfRule type="expression" dxfId="1607" priority="361">
      <formula>$E$513="No"</formula>
    </cfRule>
  </conditionalFormatting>
  <conditionalFormatting sqref="F520:F548">
    <cfRule type="expression" dxfId="1606" priority="487">
      <formula>$E$513="No"</formula>
    </cfRule>
  </conditionalFormatting>
  <conditionalFormatting sqref="F709:F739 B712:F712 B715:F715 D716:F717 B718:F719 B721:F723 B725:F730 B732:F741 B710:B711 D710:D711 G710:L751 B713:B714 B716:B717 B720 B724 B731 B742:C742 E742:F747 B743:F751">
    <cfRule type="expression" dxfId="1605" priority="728">
      <formula>$E$713="No"</formula>
    </cfRule>
  </conditionalFormatting>
  <conditionalFormatting sqref="F709:F739">
    <cfRule type="cellIs" dxfId="1604" priority="775" operator="equal">
      <formula>"Insert data"</formula>
    </cfRule>
    <cfRule type="cellIs" dxfId="1603" priority="472" operator="equal">
      <formula>"Insert unit"</formula>
    </cfRule>
  </conditionalFormatting>
  <conditionalFormatting sqref="F765:F797">
    <cfRule type="expression" dxfId="1602" priority="774">
      <formula>$E$763="No"</formula>
    </cfRule>
  </conditionalFormatting>
  <conditionalFormatting sqref="F815:F847">
    <cfRule type="expression" dxfId="1601" priority="773">
      <formula>$E$813="No"</formula>
    </cfRule>
  </conditionalFormatting>
  <conditionalFormatting sqref="F865:F897">
    <cfRule type="expression" dxfId="1600" priority="772">
      <formula>$E$863="No"</formula>
    </cfRule>
  </conditionalFormatting>
  <conditionalFormatting sqref="F915:F947">
    <cfRule type="expression" dxfId="1599" priority="771">
      <formula>$E$913="No"</formula>
    </cfRule>
  </conditionalFormatting>
  <conditionalFormatting sqref="F969:F998">
    <cfRule type="expression" dxfId="1598" priority="770">
      <formula>$E$963="No"</formula>
    </cfRule>
  </conditionalFormatting>
  <conditionalFormatting sqref="F1018:F1047">
    <cfRule type="expression" dxfId="1597" priority="708">
      <formula>$E$1013="No"</formula>
    </cfRule>
  </conditionalFormatting>
  <conditionalFormatting sqref="F1068:F1097">
    <cfRule type="expression" dxfId="1596" priority="707">
      <formula>$E$1063="No"</formula>
    </cfRule>
  </conditionalFormatting>
  <conditionalFormatting sqref="F1118:F1147">
    <cfRule type="expression" dxfId="1595" priority="706">
      <formula>$E$1113="No"</formula>
    </cfRule>
  </conditionalFormatting>
  <conditionalFormatting sqref="F1165:F1197">
    <cfRule type="expression" dxfId="1594" priority="705">
      <formula>$E$1163="No"</formula>
    </cfRule>
  </conditionalFormatting>
  <conditionalFormatting sqref="F1215:F1247">
    <cfRule type="expression" dxfId="1593" priority="704">
      <formula>$E$1213="No"</formula>
    </cfRule>
  </conditionalFormatting>
  <conditionalFormatting sqref="F60:L61">
    <cfRule type="expression" dxfId="1592" priority="835">
      <formula>$E$63="No"</formula>
    </cfRule>
  </conditionalFormatting>
  <conditionalFormatting sqref="F110:L111">
    <cfRule type="expression" dxfId="1591" priority="832">
      <formula>$E$113="No"</formula>
    </cfRule>
  </conditionalFormatting>
  <conditionalFormatting sqref="F160:L161">
    <cfRule type="expression" dxfId="1590" priority="829">
      <formula>$E$163="No"</formula>
    </cfRule>
  </conditionalFormatting>
  <conditionalFormatting sqref="F210:L211">
    <cfRule type="expression" dxfId="1589" priority="826">
      <formula>$E$213="No"</formula>
    </cfRule>
  </conditionalFormatting>
  <conditionalFormatting sqref="F260:L261">
    <cfRule type="expression" dxfId="1588" priority="823">
      <formula>$E$263="No"</formula>
    </cfRule>
  </conditionalFormatting>
  <conditionalFormatting sqref="F310:L311">
    <cfRule type="expression" dxfId="1587" priority="820">
      <formula>$E$313="No"</formula>
    </cfRule>
  </conditionalFormatting>
  <conditionalFormatting sqref="F360:L361">
    <cfRule type="expression" dxfId="1586" priority="817">
      <formula>$E$363="No"</formula>
    </cfRule>
  </conditionalFormatting>
  <conditionalFormatting sqref="F410:L411">
    <cfRule type="expression" dxfId="1585" priority="811">
      <formula>$E$413="No"</formula>
    </cfRule>
  </conditionalFormatting>
  <conditionalFormatting sqref="F560:L563">
    <cfRule type="expression" dxfId="1584" priority="764">
      <formula>$E$563="No"</formula>
    </cfRule>
  </conditionalFormatting>
  <conditionalFormatting sqref="F810:L813">
    <cfRule type="expression" dxfId="1583" priority="749">
      <formula>$E$813="No"</formula>
    </cfRule>
  </conditionalFormatting>
  <conditionalFormatting sqref="F860:L863">
    <cfRule type="expression" dxfId="1582" priority="746">
      <formula>$E$863="No"</formula>
    </cfRule>
  </conditionalFormatting>
  <conditionalFormatting sqref="G10:L51">
    <cfRule type="expression" dxfId="1581" priority="838">
      <formula>$E$13="No"</formula>
    </cfRule>
  </conditionalFormatting>
  <conditionalFormatting sqref="G64:L64">
    <cfRule type="expression" dxfId="1580" priority="438">
      <formula>$E$63="No"</formula>
    </cfRule>
  </conditionalFormatting>
  <conditionalFormatting sqref="G65:L101">
    <cfRule type="expression" dxfId="1579" priority="860">
      <formula>$E$63="No"</formula>
    </cfRule>
  </conditionalFormatting>
  <conditionalFormatting sqref="G114:L114">
    <cfRule type="expression" dxfId="1578" priority="368">
      <formula>$E$113="No"</formula>
    </cfRule>
  </conditionalFormatting>
  <conditionalFormatting sqref="G115:L151">
    <cfRule type="expression" dxfId="1577" priority="859">
      <formula>$E$113="No"</formula>
    </cfRule>
  </conditionalFormatting>
  <conditionalFormatting sqref="G164:L164">
    <cfRule type="expression" dxfId="1576" priority="367">
      <formula>$E$163="No"</formula>
    </cfRule>
  </conditionalFormatting>
  <conditionalFormatting sqref="G165:L201">
    <cfRule type="expression" dxfId="1575" priority="858">
      <formula>$E$163="No"</formula>
    </cfRule>
  </conditionalFormatting>
  <conditionalFormatting sqref="G214:L214">
    <cfRule type="expression" dxfId="1574" priority="366">
      <formula>$E$213="No"</formula>
    </cfRule>
  </conditionalFormatting>
  <conditionalFormatting sqref="G215:L251">
    <cfRule type="expression" dxfId="1573" priority="857">
      <formula>$E$213="No"</formula>
    </cfRule>
  </conditionalFormatting>
  <conditionalFormatting sqref="G264:L264">
    <cfRule type="expression" dxfId="1572" priority="365">
      <formula>$E$263="No"</formula>
    </cfRule>
  </conditionalFormatting>
  <conditionalFormatting sqref="G265:L301">
    <cfRule type="expression" dxfId="1571" priority="856">
      <formula>$E$263="No"</formula>
    </cfRule>
  </conditionalFormatting>
  <conditionalFormatting sqref="G314:L314">
    <cfRule type="expression" dxfId="1570" priority="364">
      <formula>$E$313="No"</formula>
    </cfRule>
  </conditionalFormatting>
  <conditionalFormatting sqref="G315:L351">
    <cfRule type="expression" dxfId="1569" priority="855">
      <formula>$E$313="No"</formula>
    </cfRule>
  </conditionalFormatting>
  <conditionalFormatting sqref="G364:L364">
    <cfRule type="expression" dxfId="1568" priority="363">
      <formula>$E$363="No"</formula>
    </cfRule>
  </conditionalFormatting>
  <conditionalFormatting sqref="G365:L401">
    <cfRule type="expression" dxfId="1567" priority="854">
      <formula>$E$363="No"</formula>
    </cfRule>
  </conditionalFormatting>
  <conditionalFormatting sqref="G565:L601">
    <cfRule type="expression" dxfId="1566" priority="778">
      <formula>$E$563="No"</formula>
    </cfRule>
  </conditionalFormatting>
  <conditionalFormatting sqref="G609:L613">
    <cfRule type="expression" dxfId="1565" priority="761">
      <formula>$E$613="No"</formula>
    </cfRule>
  </conditionalFormatting>
  <conditionalFormatting sqref="G614:L614">
    <cfRule type="expression" dxfId="1564" priority="352">
      <formula>$E$613="No"</formula>
    </cfRule>
  </conditionalFormatting>
  <conditionalFormatting sqref="G615:L651">
    <cfRule type="expression" dxfId="1563" priority="777">
      <formula>$E$613="No"</formula>
    </cfRule>
  </conditionalFormatting>
  <conditionalFormatting sqref="G660:L663">
    <cfRule type="expression" dxfId="1562" priority="758">
      <formula>$E$663="No"</formula>
    </cfRule>
  </conditionalFormatting>
  <conditionalFormatting sqref="G664:L664">
    <cfRule type="expression" dxfId="1561" priority="353">
      <formula>$E$663="No"</formula>
    </cfRule>
  </conditionalFormatting>
  <conditionalFormatting sqref="G665:L701">
    <cfRule type="expression" dxfId="1560" priority="776">
      <formula>$E$663="No"</formula>
    </cfRule>
  </conditionalFormatting>
  <conditionalFormatting sqref="G760:L763">
    <cfRule type="expression" dxfId="1559" priority="752">
      <formula>$E$763="No"</formula>
    </cfRule>
  </conditionalFormatting>
  <conditionalFormatting sqref="G911:L913">
    <cfRule type="expression" dxfId="1558" priority="743">
      <formula>$E$913="No"</formula>
    </cfRule>
  </conditionalFormatting>
  <conditionalFormatting sqref="G961:L961">
    <cfRule type="expression" dxfId="1557" priority="740">
      <formula>$E$963="No"</formula>
    </cfRule>
  </conditionalFormatting>
  <conditionalFormatting sqref="H510:L517">
    <cfRule type="expression" dxfId="1556" priority="767">
      <formula>$E$513="No"</formula>
    </cfRule>
  </conditionalFormatting>
  <conditionalFormatting sqref="H964:L964">
    <cfRule type="expression" dxfId="1555" priority="351">
      <formula>$E$963="No"</formula>
    </cfRule>
  </conditionalFormatting>
  <conditionalFormatting sqref="H1014:L1014">
    <cfRule type="expression" dxfId="1554" priority="350">
      <formula>$E$1013="No"</formula>
    </cfRule>
  </conditionalFormatting>
  <conditionalFormatting sqref="H1064:L1064">
    <cfRule type="expression" dxfId="1553" priority="349">
      <formula>$E$1063="No"</formula>
    </cfRule>
  </conditionalFormatting>
  <conditionalFormatting sqref="H1114:L1114">
    <cfRule type="expression" dxfId="1552" priority="348">
      <formula>$E$1113="No"</formula>
    </cfRule>
  </conditionalFormatting>
  <conditionalFormatting sqref="J75">
    <cfRule type="expression" dxfId="1551" priority="70">
      <formula>$E$13="No"</formula>
    </cfRule>
  </conditionalFormatting>
  <conditionalFormatting sqref="J125">
    <cfRule type="expression" dxfId="1550" priority="69">
      <formula>$E$63="No"</formula>
    </cfRule>
    <cfRule type="expression" dxfId="1549" priority="68">
      <formula>$E$13="No"</formula>
    </cfRule>
  </conditionalFormatting>
  <conditionalFormatting sqref="J175">
    <cfRule type="expression" dxfId="1548" priority="67">
      <formula>$E$63="No"</formula>
    </cfRule>
    <cfRule type="expression" dxfId="1547" priority="66">
      <formula>$E$13="No"</formula>
    </cfRule>
  </conditionalFormatting>
  <conditionalFormatting sqref="J225">
    <cfRule type="expression" dxfId="1546" priority="65">
      <formula>$E$63="No"</formula>
    </cfRule>
    <cfRule type="expression" dxfId="1545" priority="64">
      <formula>$E$13="No"</formula>
    </cfRule>
  </conditionalFormatting>
  <conditionalFormatting sqref="J275">
    <cfRule type="expression" dxfId="1544" priority="62">
      <formula>$E$13="No"</formula>
    </cfRule>
    <cfRule type="expression" dxfId="1543" priority="63">
      <formula>$E$63="No"</formula>
    </cfRule>
  </conditionalFormatting>
  <conditionalFormatting sqref="J325">
    <cfRule type="expression" dxfId="1542" priority="60">
      <formula>$E$13="No"</formula>
    </cfRule>
    <cfRule type="expression" dxfId="1541" priority="61">
      <formula>$E$63="No"</formula>
    </cfRule>
  </conditionalFormatting>
  <conditionalFormatting sqref="J375">
    <cfRule type="expression" dxfId="1540" priority="58">
      <formula>$E$13="No"</formula>
    </cfRule>
    <cfRule type="expression" dxfId="1539" priority="59">
      <formula>$E$63="No"</formula>
    </cfRule>
  </conditionalFormatting>
  <conditionalFormatting sqref="J425">
    <cfRule type="expression" dxfId="1538" priority="56">
      <formula>$E$13="No"</formula>
    </cfRule>
    <cfRule type="expression" dxfId="1537" priority="57">
      <formula>$E$63="No"</formula>
    </cfRule>
  </conditionalFormatting>
  <conditionalFormatting sqref="J475">
    <cfRule type="expression" dxfId="1536" priority="55">
      <formula>$E$63="No"</formula>
    </cfRule>
    <cfRule type="expression" dxfId="1535" priority="54">
      <formula>$E$13="No"</formula>
    </cfRule>
  </conditionalFormatting>
  <conditionalFormatting sqref="J511">
    <cfRule type="cellIs" dxfId="1534" priority="768" operator="equal">
      <formula>"Insert unit"</formula>
    </cfRule>
    <cfRule type="cellIs" dxfId="1533" priority="769" operator="equal">
      <formula>"Insert data"</formula>
    </cfRule>
  </conditionalFormatting>
  <conditionalFormatting sqref="J525">
    <cfRule type="expression" dxfId="1532" priority="53">
      <formula>$E$63="No"</formula>
    </cfRule>
    <cfRule type="expression" dxfId="1531" priority="52">
      <formula>$E$13="No"</formula>
    </cfRule>
  </conditionalFormatting>
  <conditionalFormatting sqref="J561">
    <cfRule type="cellIs" dxfId="1530" priority="765" operator="equal">
      <formula>"Insert unit"</formula>
    </cfRule>
    <cfRule type="cellIs" dxfId="1529" priority="766" operator="equal">
      <formula>"Insert data"</formula>
    </cfRule>
  </conditionalFormatting>
  <conditionalFormatting sqref="J575">
    <cfRule type="expression" dxfId="1528" priority="50">
      <formula>$E$13="No"</formula>
    </cfRule>
    <cfRule type="expression" dxfId="1527" priority="51">
      <formula>$E$63="No"</formula>
    </cfRule>
  </conditionalFormatting>
  <conditionalFormatting sqref="J611">
    <cfRule type="cellIs" dxfId="1526" priority="762" operator="equal">
      <formula>"Insert unit"</formula>
    </cfRule>
    <cfRule type="cellIs" dxfId="1525" priority="763" operator="equal">
      <formula>"Insert data"</formula>
    </cfRule>
  </conditionalFormatting>
  <conditionalFormatting sqref="J625">
    <cfRule type="expression" dxfId="1524" priority="48">
      <formula>$E$13="No"</formula>
    </cfRule>
    <cfRule type="expression" dxfId="1523" priority="49">
      <formula>$E$63="No"</formula>
    </cfRule>
  </conditionalFormatting>
  <conditionalFormatting sqref="J661">
    <cfRule type="cellIs" dxfId="1522" priority="759" operator="equal">
      <formula>"Insert unit"</formula>
    </cfRule>
    <cfRule type="cellIs" dxfId="1521" priority="760" operator="equal">
      <formula>"Insert data"</formula>
    </cfRule>
  </conditionalFormatting>
  <conditionalFormatting sqref="J675">
    <cfRule type="expression" dxfId="1520" priority="46">
      <formula>$E$13="No"</formula>
    </cfRule>
    <cfRule type="expression" dxfId="1519" priority="47">
      <formula>$E$63="No"</formula>
    </cfRule>
  </conditionalFormatting>
  <conditionalFormatting sqref="J711">
    <cfRule type="cellIs" dxfId="1518" priority="757" operator="equal">
      <formula>"Insert data"</formula>
    </cfRule>
    <cfRule type="cellIs" dxfId="1517" priority="756" operator="equal">
      <formula>"Insert unit"</formula>
    </cfRule>
  </conditionalFormatting>
  <conditionalFormatting sqref="J725">
    <cfRule type="expression" dxfId="1516" priority="44">
      <formula>$E$13="No"</formula>
    </cfRule>
    <cfRule type="expression" dxfId="1515" priority="45">
      <formula>$E$63="No"</formula>
    </cfRule>
  </conditionalFormatting>
  <conditionalFormatting sqref="J761">
    <cfRule type="cellIs" dxfId="1514" priority="754" operator="equal">
      <formula>"Insert data"</formula>
    </cfRule>
    <cfRule type="cellIs" dxfId="1513" priority="753" operator="equal">
      <formula>"Insert unit"</formula>
    </cfRule>
  </conditionalFormatting>
  <conditionalFormatting sqref="J775">
    <cfRule type="expression" dxfId="1512" priority="42">
      <formula>$E$13="No"</formula>
    </cfRule>
    <cfRule type="expression" dxfId="1511" priority="43">
      <formula>$E$63="No"</formula>
    </cfRule>
  </conditionalFormatting>
  <conditionalFormatting sqref="J811">
    <cfRule type="cellIs" dxfId="1510" priority="750" operator="equal">
      <formula>"Insert unit"</formula>
    </cfRule>
    <cfRule type="cellIs" dxfId="1509" priority="751" operator="equal">
      <formula>"Insert data"</formula>
    </cfRule>
  </conditionalFormatting>
  <conditionalFormatting sqref="J825">
    <cfRule type="expression" dxfId="1508" priority="41">
      <formula>$E$63="No"</formula>
    </cfRule>
    <cfRule type="expression" dxfId="1507" priority="40">
      <formula>$E$13="No"</formula>
    </cfRule>
  </conditionalFormatting>
  <conditionalFormatting sqref="J861">
    <cfRule type="cellIs" dxfId="1506" priority="748" operator="equal">
      <formula>"Insert data"</formula>
    </cfRule>
    <cfRule type="cellIs" dxfId="1505" priority="747" operator="equal">
      <formula>"Insert unit"</formula>
    </cfRule>
  </conditionalFormatting>
  <conditionalFormatting sqref="J875">
    <cfRule type="expression" dxfId="1504" priority="39">
      <formula>$E$63="No"</formula>
    </cfRule>
    <cfRule type="expression" dxfId="1503" priority="38">
      <formula>$E$13="No"</formula>
    </cfRule>
  </conditionalFormatting>
  <conditionalFormatting sqref="J911">
    <cfRule type="cellIs" dxfId="1502" priority="744" operator="equal">
      <formula>"Insert unit"</formula>
    </cfRule>
    <cfRule type="cellIs" dxfId="1501" priority="745" operator="equal">
      <formula>"Insert data"</formula>
    </cfRule>
  </conditionalFormatting>
  <conditionalFormatting sqref="J925">
    <cfRule type="expression" dxfId="1500" priority="36">
      <formula>$E$13="No"</formula>
    </cfRule>
    <cfRule type="expression" dxfId="1499" priority="37">
      <formula>$E$63="No"</formula>
    </cfRule>
  </conditionalFormatting>
  <conditionalFormatting sqref="J961">
    <cfRule type="cellIs" dxfId="1498" priority="741" operator="equal">
      <formula>"Insert unit"</formula>
    </cfRule>
    <cfRule type="cellIs" dxfId="1497" priority="742" operator="equal">
      <formula>"Insert data"</formula>
    </cfRule>
  </conditionalFormatting>
  <conditionalFormatting sqref="J975">
    <cfRule type="expression" dxfId="1496" priority="34">
      <formula>$E$13="No"</formula>
    </cfRule>
    <cfRule type="expression" dxfId="1495" priority="35">
      <formula>$E$63="No"</formula>
    </cfRule>
  </conditionalFormatting>
  <conditionalFormatting sqref="J1011">
    <cfRule type="cellIs" dxfId="1494" priority="703" operator="equal">
      <formula>"Insert data"</formula>
    </cfRule>
    <cfRule type="cellIs" dxfId="1493" priority="702" operator="equal">
      <formula>"Insert unit"</formula>
    </cfRule>
    <cfRule type="expression" dxfId="1492" priority="701">
      <formula>$E1013="No"</formula>
    </cfRule>
  </conditionalFormatting>
  <conditionalFormatting sqref="J1025">
    <cfRule type="expression" dxfId="1491" priority="32">
      <formula>$E$13="No"</formula>
    </cfRule>
    <cfRule type="expression" dxfId="1490" priority="33">
      <formula>$E$63="No"</formula>
    </cfRule>
  </conditionalFormatting>
  <conditionalFormatting sqref="J1061">
    <cfRule type="cellIs" dxfId="1489" priority="700" operator="equal">
      <formula>"Insert data"</formula>
    </cfRule>
    <cfRule type="cellIs" dxfId="1488" priority="699" operator="equal">
      <formula>"Insert unit"</formula>
    </cfRule>
    <cfRule type="expression" dxfId="1487" priority="698">
      <formula>$E1063="No"</formula>
    </cfRule>
  </conditionalFormatting>
  <conditionalFormatting sqref="J1075">
    <cfRule type="expression" dxfId="1486" priority="31">
      <formula>$E$63="No"</formula>
    </cfRule>
    <cfRule type="expression" dxfId="1485" priority="30">
      <formula>$E$13="No"</formula>
    </cfRule>
  </conditionalFormatting>
  <conditionalFormatting sqref="J1111">
    <cfRule type="cellIs" dxfId="1484" priority="697" operator="equal">
      <formula>"Insert data"</formula>
    </cfRule>
    <cfRule type="cellIs" dxfId="1483" priority="696" operator="equal">
      <formula>"Insert unit"</formula>
    </cfRule>
    <cfRule type="expression" dxfId="1482" priority="695">
      <formula>$E1113="No"</formula>
    </cfRule>
  </conditionalFormatting>
  <conditionalFormatting sqref="J1125">
    <cfRule type="expression" dxfId="1481" priority="28">
      <formula>$E$13="No"</formula>
    </cfRule>
    <cfRule type="expression" dxfId="1480" priority="29">
      <formula>$E$63="No"</formula>
    </cfRule>
  </conditionalFormatting>
  <conditionalFormatting sqref="J1161">
    <cfRule type="cellIs" dxfId="1479" priority="694" operator="equal">
      <formula>"Insert data"</formula>
    </cfRule>
    <cfRule type="expression" dxfId="1478" priority="692">
      <formula>$E1163="No"</formula>
    </cfRule>
    <cfRule type="cellIs" dxfId="1477" priority="693" operator="equal">
      <formula>"Insert unit"</formula>
    </cfRule>
  </conditionalFormatting>
  <conditionalFormatting sqref="J1175">
    <cfRule type="expression" dxfId="1476" priority="26">
      <formula>$E$13="No"</formula>
    </cfRule>
    <cfRule type="expression" dxfId="1475" priority="27">
      <formula>$E$63="No"</formula>
    </cfRule>
  </conditionalFormatting>
  <conditionalFormatting sqref="J1211">
    <cfRule type="cellIs" dxfId="1474" priority="691" operator="equal">
      <formula>"Insert data"</formula>
    </cfRule>
    <cfRule type="cellIs" dxfId="1473" priority="690" operator="equal">
      <formula>"Insert unit"</formula>
    </cfRule>
    <cfRule type="expression" dxfId="1472" priority="689">
      <formula>$E1213="No"</formula>
    </cfRule>
  </conditionalFormatting>
  <conditionalFormatting sqref="J1225">
    <cfRule type="expression" dxfId="1471" priority="25">
      <formula>$E$63="No"</formula>
    </cfRule>
    <cfRule type="expression" dxfId="1470" priority="24">
      <formula>$E$13="No"</formula>
    </cfRule>
  </conditionalFormatting>
  <conditionalFormatting sqref="J11:XFD11">
    <cfRule type="cellIs" dxfId="1469" priority="839" operator="equal">
      <formula>"Insert unit"</formula>
    </cfRule>
    <cfRule type="cellIs" dxfId="1468" priority="840" operator="equal">
      <formula>"Insert data"</formula>
    </cfRule>
  </conditionalFormatting>
  <dataValidations count="10">
    <dataValidation type="list" allowBlank="1" showInputMessage="1" showErrorMessage="1" sqref="C25:C28 C1225:C1228 C375:C378 C1175:C1178 C125:C128 C175:C178 C225:C228 C275:C278 C325:C328 C425:C428 C475:C478 C525:C528 C875:C878 C575:C578 C625:C628 C675:C678 C725:C728 C775:C778 C825:C828 C925:C928 C1125:C1128 C975:C978 C1025:C1028 C1075:C1078 C75:C78" xr:uid="{00000000-0002-0000-0500-000000000000}">
      <formula1>Fuels_for_EF</formula1>
    </dataValidation>
    <dataValidation type="list" allowBlank="1" showInputMessage="1" showErrorMessage="1" sqref="D33:D39 D83:D89 D433:D439 D133:D139 D183:D189 D233:D239 D283:D289 D333:D339 D383:D389 D483:D490 D533:D539 D583:D589 D933:D939 D633:D639 D683:D689 D733:D739 D783:D789 D833:D839 D883:D889 D983:D990 D1183:D1189 D1033:D1039 D1083:D1089 D1133:D1139 D1233:D1240" xr:uid="{00000000-0002-0000-0500-000001000000}">
      <formula1>"kg,tonnes"</formula1>
    </dataValidation>
    <dataValidation type="list" allowBlank="1" showInputMessage="1" showErrorMessage="1" sqref="D21 D71 D421 D121 D171 D221 D271 D321 D371 D471 D521 D571 D921 D621 D671 D721 D771 D821 D871 D971 D1171 D1021 D1071 D1121 D1221" xr:uid="{00000000-0002-0000-0500-000002000000}">
      <formula1>"kWh,MWh,kWh/tonne(output),MWh/tonne(output)"</formula1>
    </dataValidation>
    <dataValidation type="list" allowBlank="1" showInputMessage="1" showErrorMessage="1" sqref="C21 C71 C421 C121 C171 C221 C271 C321 C371 C471 C521 C571 C921 C621 C671 C721 C771 C821 C871 C971 C1171 C1021 C1071 C1121 C1221" xr:uid="{00000000-0002-0000-0500-000003000000}">
      <formula1>Electricity_Source</formula1>
    </dataValidation>
    <dataValidation type="list" allowBlank="1" showInputMessage="1" showErrorMessage="1" sqref="C32:C39 C82:C89 C432:C439 C132:C139 C182:C189 C232:C239 C282:C289 C332:C339 C382:C389 C482:C490 C532:C539 C582:C589 C932:C939 C632:C639 C682:C689 C732:C739 C782:C789 C832:C839 C882:C889 C982:C990 C1182:C1189 C1032:C1039 C1082:C1089 C1132:C1139 C1232:C1240" xr:uid="{00000000-0002-0000-0500-000004000000}">
      <formula1>Chemicals</formula1>
    </dataValidation>
    <dataValidation type="list" allowBlank="1" showInputMessage="1" showErrorMessage="1" sqref="D25:D28 D1225:D1228 D375:D378 D1175:D1178 D125:D128 D175:D178 D225:D228 D275:D278 D325:D328 D425:D428 D475:D478 D525:D528 D875:D878 D575:D578 D625:D628 D675:D678 D725:D728 D775:D778 D825:D828 D925:D928 D1125:D1128 D975:D978 D1025:D1028 D1075:D1078 D75:D78" xr:uid="{00000000-0002-0000-0500-000005000000}">
      <formula1>"litres,m3,kWh,MWh,kg,tonnes,litres/tonne(output),m3/tonne(output),kWh/tonne(output),MWh/tonne(output),kg/tonne(output),tonnes/tonne(output)"</formula1>
    </dataValidation>
    <dataValidation type="list" allowBlank="1" showInputMessage="1" showErrorMessage="1" sqref="D32 D82 D432 D132 D182 D232 D282 D332 D382 D482 D532 D582 D932 D632 D682 D732 D782 D832 D882 D982 D1182 D1032 D1082 D1132 D1232" xr:uid="{00000000-0002-0000-0500-000006000000}">
      <formula1>"kg,tonnes,kg/tonne(output),tonnes/tonne(output)"</formula1>
    </dataValidation>
    <dataValidation type="list" allowBlank="1" showInputMessage="1" showErrorMessage="1" sqref="E13 E1163 E363 E63 E113 E163 E213 E263 E313 E1063 E463 E513 E863 E563 E613 E663 E713 E763 E813 E413 E1113 E913 E963 E1013 E1213" xr:uid="{00000000-0002-0000-0500-000007000000}">
      <formula1>"Yes,No"</formula1>
    </dataValidation>
    <dataValidation type="list" allowBlank="1" showInputMessage="1" showErrorMessage="1" sqref="E592 E442 E1242 E142 E192 E242 E292 E342 E392 E92 E492 E542 E692 E1192 E642 E742 E792 E842 E892 E942 E992 E1042 E1092 E1142 E42" xr:uid="{00000000-0002-0000-0500-000008000000}">
      <formula1>"Yes, No"</formula1>
    </dataValidation>
    <dataValidation type="list" allowBlank="1" showInputMessage="1" showErrorMessage="1" sqref="E14 E64 E114 E164 E214 E264 E314 E364 E414 E464 E514 E564 E614 E664 E714 E764 E814 E864 E914 E964 E1014 E1064 E1114 E1164 E1214" xr:uid="{EDE327CE-8701-4BFF-B87B-A80E898F8CAA}">
      <formula1>"Default, Actual"</formula1>
    </dataValidation>
  </dataValidations>
  <pageMargins left="0.7" right="0.7" top="0.75" bottom="0.75" header="0.3" footer="0.3"/>
  <pageSetup paperSize="9" orientation="portrait" r:id="rId1"/>
  <headerFooter>
    <oddHeader>&amp;C&amp;"Calibri"&amp;10&amp;K000000 OFFICIAL&amp;1#_x000D_</oddHeader>
    <oddFooter>&amp;C_x000D_&amp;1#&amp;"Calibri"&amp;10&amp;K000000 OFFICIAL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0437E-CCA1-4EE9-B240-ECFF6E39E688}">
  <sheetPr codeName="Sheet15"/>
  <dimension ref="A1:R32"/>
  <sheetViews>
    <sheetView zoomScale="85" zoomScaleNormal="85" workbookViewId="0">
      <selection activeCell="E12" sqref="E12"/>
    </sheetView>
  </sheetViews>
  <sheetFormatPr defaultColWidth="8.6640625" defaultRowHeight="14.4" x14ac:dyDescent="0.3"/>
  <cols>
    <col min="1" max="1" width="5.6640625" style="198" customWidth="1"/>
    <col min="2" max="2" width="2.5546875" style="198" customWidth="1"/>
    <col min="3" max="3" width="45.88671875" style="198" bestFit="1" customWidth="1"/>
    <col min="4" max="5" width="14.33203125" style="198" customWidth="1"/>
    <col min="6" max="6" width="9.88671875" style="198" customWidth="1"/>
    <col min="7" max="7" width="10.109375" style="198" customWidth="1"/>
    <col min="8" max="8" width="17.44140625" style="198" customWidth="1"/>
    <col min="9" max="9" width="21.109375" style="198" customWidth="1"/>
    <col min="10" max="10" width="11" style="198" customWidth="1"/>
    <col min="11" max="11" width="3.109375" style="198" customWidth="1"/>
    <col min="12" max="12" width="37.44140625" style="198" bestFit="1" customWidth="1"/>
    <col min="13" max="13" width="16.88671875" style="198" bestFit="1" customWidth="1"/>
    <col min="14" max="14" width="3.44140625" style="198" customWidth="1"/>
    <col min="15" max="15" width="8.6640625" style="198"/>
    <col min="16" max="16" width="10.88671875" style="198" bestFit="1" customWidth="1"/>
    <col min="17" max="16384" width="8.6640625" style="198"/>
  </cols>
  <sheetData>
    <row r="1" spans="1:18" s="171" customFormat="1" ht="24.75" customHeight="1" x14ac:dyDescent="0.35">
      <c r="A1" s="159"/>
      <c r="B1" s="159"/>
      <c r="C1" s="159"/>
      <c r="D1" s="159"/>
      <c r="E1" s="159"/>
      <c r="F1" s="159"/>
    </row>
    <row r="2" spans="1:18" s="171" customFormat="1" ht="24.75" customHeight="1" x14ac:dyDescent="0.35"/>
    <row r="3" spans="1:18" s="171" customFormat="1" ht="24.75" customHeight="1" x14ac:dyDescent="0.35"/>
    <row r="4" spans="1:18" s="238" customFormat="1" ht="24.75" customHeight="1" x14ac:dyDescent="0.35"/>
    <row r="5" spans="1:18" s="157" customFormat="1" ht="15" x14ac:dyDescent="0.35">
      <c r="A5" s="21"/>
      <c r="B5" s="21"/>
      <c r="C5" s="21"/>
      <c r="D5" s="21"/>
      <c r="E5" s="21"/>
      <c r="F5" s="21"/>
      <c r="G5" s="21"/>
      <c r="H5" s="21"/>
      <c r="I5" s="21"/>
      <c r="J5" s="21"/>
      <c r="K5" s="21"/>
      <c r="L5" s="21"/>
      <c r="M5" s="21"/>
      <c r="N5" s="21"/>
      <c r="O5" s="21"/>
      <c r="P5" s="21"/>
      <c r="Q5" s="21"/>
      <c r="R5" s="21"/>
    </row>
    <row r="6" spans="1:18" s="157" customFormat="1" ht="48" customHeight="1" x14ac:dyDescent="0.4">
      <c r="A6" s="21"/>
      <c r="B6" s="728" t="s">
        <v>206</v>
      </c>
      <c r="C6" s="728"/>
      <c r="D6" s="728"/>
      <c r="E6" s="728"/>
      <c r="F6" s="728"/>
      <c r="G6" s="728"/>
      <c r="H6" s="728"/>
      <c r="I6" s="728"/>
      <c r="J6" s="728"/>
      <c r="K6" s="728"/>
      <c r="L6" s="728"/>
      <c r="M6" s="728"/>
      <c r="N6" s="728"/>
      <c r="O6" s="728"/>
      <c r="P6" s="21"/>
      <c r="Q6" s="21"/>
      <c r="R6" s="21"/>
    </row>
    <row r="7" spans="1:18" s="157" customFormat="1" ht="15" x14ac:dyDescent="0.35">
      <c r="A7" s="21"/>
      <c r="B7" s="21"/>
      <c r="C7" s="21"/>
      <c r="D7" s="21"/>
      <c r="E7" s="21"/>
      <c r="F7" s="21"/>
      <c r="G7" s="21"/>
      <c r="H7" s="21"/>
      <c r="I7" s="21"/>
      <c r="J7" s="21"/>
      <c r="K7" s="21"/>
      <c r="L7" s="21"/>
      <c r="M7" s="21"/>
      <c r="N7" s="21"/>
      <c r="O7" s="21"/>
      <c r="P7" s="21"/>
      <c r="Q7" s="21"/>
      <c r="R7" s="21"/>
    </row>
    <row r="8" spans="1:18" s="157" customFormat="1" ht="19.2" x14ac:dyDescent="0.45">
      <c r="A8" s="21"/>
      <c r="B8" s="754" t="s">
        <v>207</v>
      </c>
      <c r="C8" s="755"/>
      <c r="D8" s="755"/>
      <c r="E8" s="755"/>
      <c r="F8" s="755"/>
      <c r="G8" s="755"/>
      <c r="H8" s="755"/>
      <c r="I8" s="755"/>
      <c r="J8" s="755"/>
      <c r="K8" s="755"/>
      <c r="L8" s="755"/>
      <c r="M8" s="755"/>
      <c r="N8" s="755"/>
      <c r="O8" s="756"/>
      <c r="P8" s="21"/>
      <c r="Q8" s="21"/>
      <c r="R8" s="21"/>
    </row>
    <row r="9" spans="1:18" s="157" customFormat="1" ht="15" x14ac:dyDescent="0.35">
      <c r="A9" s="21"/>
      <c r="B9" s="435"/>
      <c r="C9" s="434"/>
      <c r="D9" s="434"/>
      <c r="E9" s="434"/>
      <c r="F9" s="434"/>
      <c r="G9" s="434"/>
      <c r="H9" s="434"/>
      <c r="I9" s="434"/>
      <c r="J9" s="434"/>
      <c r="K9" s="434"/>
      <c r="L9" s="434"/>
      <c r="M9" s="434"/>
      <c r="N9" s="434"/>
      <c r="O9" s="436"/>
      <c r="P9" s="21"/>
      <c r="Q9" s="21"/>
      <c r="R9" s="21"/>
    </row>
    <row r="10" spans="1:18" s="4" customFormat="1" ht="16.8" x14ac:dyDescent="0.4">
      <c r="B10" s="15"/>
      <c r="C10" s="560"/>
      <c r="D10" s="164" t="s">
        <v>208</v>
      </c>
      <c r="E10" s="164" t="s">
        <v>209</v>
      </c>
      <c r="F10" s="164" t="s">
        <v>210</v>
      </c>
      <c r="G10" s="164" t="s">
        <v>210</v>
      </c>
      <c r="H10" s="164"/>
      <c r="I10" s="164" t="s">
        <v>211</v>
      </c>
      <c r="J10" s="35"/>
      <c r="K10" s="303" t="s">
        <v>122</v>
      </c>
      <c r="L10" s="47"/>
      <c r="M10" s="47"/>
      <c r="N10" s="45"/>
      <c r="O10" s="112"/>
    </row>
    <row r="11" spans="1:18" s="4" customFormat="1" ht="30.6" x14ac:dyDescent="0.4">
      <c r="B11" s="15"/>
      <c r="C11" s="559" t="s">
        <v>87</v>
      </c>
      <c r="D11" s="554" t="s">
        <v>129</v>
      </c>
      <c r="E11" s="554" t="s">
        <v>212</v>
      </c>
      <c r="F11" s="646" t="s">
        <v>213</v>
      </c>
      <c r="G11" s="646" t="s">
        <v>214</v>
      </c>
      <c r="H11" s="553" t="s">
        <v>215</v>
      </c>
      <c r="I11" s="647" t="s">
        <v>216</v>
      </c>
      <c r="J11" s="21"/>
      <c r="K11" s="41"/>
      <c r="L11" s="36"/>
      <c r="M11" s="164" t="s">
        <v>124</v>
      </c>
      <c r="N11" s="37"/>
      <c r="O11" s="112"/>
    </row>
    <row r="12" spans="1:18" s="4" customFormat="1" ht="16.8" x14ac:dyDescent="0.4">
      <c r="B12" s="15"/>
      <c r="C12" s="493" t="str">
        <f>IF(Feedstocks!C11&gt;0, Feedstocks!C11, "")</f>
        <v/>
      </c>
      <c r="D12" s="493" t="str">
        <f>'Cultivation and harvesting'!F17</f>
        <v/>
      </c>
      <c r="E12" s="493" t="str">
        <f>IF(Feedstocks!D11&gt;0, D12 * 'Digestion &amp; outputs'!G16 / (IF('Feedstock conversion'!E13="Yes", IF('Feedstock conversion'!E14="Default", 'Feedstock conversion'!D17, 'Feedstock conversion'!E17), 1)) /
IF('Transport 1'!D13="No transport required", 1, 'Transport 1'!F19 )
/ IF('Transport 2'!D13="No transport required", 1, 'Transport 2'!F19 ), "")</f>
        <v/>
      </c>
      <c r="F12" s="555"/>
      <c r="G12" s="555"/>
      <c r="H12" s="556"/>
      <c r="I12" s="558" t="str">
        <f>IF(Feedstocks!D11&gt;0, 3.664*(Land_use_change[[#This Row],[CSReference]]-Land_use_change[[#This Row],[CSActual]])/20, "")</f>
        <v/>
      </c>
      <c r="J12" s="21"/>
      <c r="K12" s="41"/>
      <c r="L12" s="448" t="str">
        <f>Land_use_change[[#This Row],[Consignment name]]</f>
        <v/>
      </c>
      <c r="M12" s="614" t="str">
        <f>IFERROR((1000000*Land_use_change[[#This Row],[Annualised CO₂ emission]]/Land_use_change[[#This Row],[Biogas yield]])-IF(Land_use_change[[#This Row],[Can eB be applied?*]]="yes", 29, 0), "")</f>
        <v/>
      </c>
      <c r="N12" s="37"/>
      <c r="O12" s="112"/>
    </row>
    <row r="13" spans="1:18" s="4" customFormat="1" ht="16.8" x14ac:dyDescent="0.4">
      <c r="B13" s="15"/>
      <c r="C13" s="493" t="str">
        <f>IF(Feedstocks!C12&gt;0, Feedstocks!C12, "")</f>
        <v/>
      </c>
      <c r="D13" s="493" t="str">
        <f>'Cultivation and harvesting'!F117</f>
        <v/>
      </c>
      <c r="E13" s="493" t="str">
        <f>IF(Feedstocks!D12&gt;0, D13 * 'Digestion &amp; outputs'!G17 / (IF('Feedstock conversion'!E63="Yes", IF('Feedstock conversion'!E64="Default", 'Feedstock conversion'!D67, 'Feedstock conversion'!E67), 1)) /
IF('Transport 1'!D63="No transport required", 1, 'Transport 1'!F69 )
/ IF('Transport 2'!D63="No transport required", 1, 'Transport 2'!F69 ), "")</f>
        <v/>
      </c>
      <c r="F13" s="555"/>
      <c r="G13" s="555"/>
      <c r="H13" s="556"/>
      <c r="I13" s="558" t="str">
        <f>IF(Feedstocks!D12&gt;0, 3.664*(Land_use_change[[#This Row],[CSReference]]-Land_use_change[[#This Row],[CSActual]])/20, "")</f>
        <v/>
      </c>
      <c r="J13" s="21"/>
      <c r="K13" s="41"/>
      <c r="L13" s="448" t="str">
        <f>Land_use_change[[#This Row],[Consignment name]]</f>
        <v/>
      </c>
      <c r="M13" s="614" t="str">
        <f>IFERROR((1000000*Land_use_change[[#This Row],[Annualised CO₂ emission]]/Land_use_change[[#This Row],[Biogas yield]])-IF(Land_use_change[[#This Row],[Can eB be applied?*]]="yes", 29, 0), "")</f>
        <v/>
      </c>
      <c r="N13" s="37"/>
      <c r="O13" s="112"/>
    </row>
    <row r="14" spans="1:18" s="4" customFormat="1" ht="16.8" x14ac:dyDescent="0.4">
      <c r="B14" s="15"/>
      <c r="C14" s="493" t="str">
        <f>IF(Feedstocks!C13&gt;0, Feedstocks!C13, "")</f>
        <v/>
      </c>
      <c r="D14" s="493" t="str">
        <f>'Cultivation and harvesting'!F217</f>
        <v/>
      </c>
      <c r="E14" s="493" t="str">
        <f>IF(Feedstocks!D13&gt;0, D14 * 'Digestion &amp; outputs'!G18 / (IF('Feedstock conversion'!E113="Yes", IF('Feedstock conversion'!E114="Default", 'Feedstock conversion'!D117, 'Feedstock conversion'!E117), 1)) /
IF('Transport 1'!D113="No transport required", 1, 'Transport 1'!F119 )
/ IF('Transport 2'!D113="No transport required", 1, 'Transport 2'!F119 ), "")</f>
        <v/>
      </c>
      <c r="F14" s="555"/>
      <c r="G14" s="555"/>
      <c r="H14" s="556"/>
      <c r="I14" s="558" t="str">
        <f>IF(Feedstocks!D13&gt;0, 3.664*(Land_use_change[[#This Row],[CSReference]]-Land_use_change[[#This Row],[CSActual]])/20, "")</f>
        <v/>
      </c>
      <c r="J14" s="21"/>
      <c r="K14" s="41"/>
      <c r="L14" s="448" t="str">
        <f>Land_use_change[[#This Row],[Consignment name]]</f>
        <v/>
      </c>
      <c r="M14" s="614" t="str">
        <f>IFERROR((1000000*Land_use_change[[#This Row],[Annualised CO₂ emission]]/Land_use_change[[#This Row],[Biogas yield]])-IF(Land_use_change[[#This Row],[Can eB be applied?*]]="yes", 29, 0), "")</f>
        <v/>
      </c>
      <c r="N14" s="37"/>
      <c r="O14" s="112"/>
    </row>
    <row r="15" spans="1:18" s="4" customFormat="1" ht="16.8" x14ac:dyDescent="0.4">
      <c r="B15" s="15"/>
      <c r="C15" s="493" t="str">
        <f>IF(Feedstocks!C14&gt;0, Feedstocks!C14, "")</f>
        <v/>
      </c>
      <c r="D15" s="493" t="str">
        <f>'Cultivation and harvesting'!F317</f>
        <v/>
      </c>
      <c r="E15" s="493" t="str">
        <f>IF(Feedstocks!D14&gt;0, D15 * 'Digestion &amp; outputs'!G19 / (IF('Feedstock conversion'!E163="Yes", IF('Feedstock conversion'!E164="Default", 'Feedstock conversion'!D167, 'Feedstock conversion'!E167), 1)) /
IF('Transport 1'!D163="No transport required", 1, 'Transport 1'!F169 )
/ IF('Transport 2'!D163="No transport required", 1, 'Transport 2'!F169 ), "")</f>
        <v/>
      </c>
      <c r="F15" s="555"/>
      <c r="G15" s="555"/>
      <c r="H15" s="557"/>
      <c r="I15" s="558" t="str">
        <f>IF(Feedstocks!D14&gt;0, 3.664*(Land_use_change[[#This Row],[CSReference]]-Land_use_change[[#This Row],[CSActual]])/20, "")</f>
        <v/>
      </c>
      <c r="J15" s="21"/>
      <c r="K15" s="41"/>
      <c r="L15" s="448" t="str">
        <f>Land_use_change[[#This Row],[Consignment name]]</f>
        <v/>
      </c>
      <c r="M15" s="614" t="str">
        <f>IFERROR((1000000*Land_use_change[[#This Row],[Annualised CO₂ emission]]/Land_use_change[[#This Row],[Biogas yield]])-IF(Land_use_change[[#This Row],[Can eB be applied?*]]="yes", 29, 0), "")</f>
        <v/>
      </c>
      <c r="N15" s="37"/>
      <c r="O15" s="112"/>
    </row>
    <row r="16" spans="1:18" s="4" customFormat="1" ht="16.8" x14ac:dyDescent="0.4">
      <c r="B16" s="15"/>
      <c r="C16" s="493" t="str">
        <f>IF(Feedstocks!C15&gt;0, Feedstocks!C15, "")</f>
        <v/>
      </c>
      <c r="D16" s="493" t="str">
        <f>'Cultivation and harvesting'!F417</f>
        <v/>
      </c>
      <c r="E16" s="493" t="str">
        <f>IF(Feedstocks!D15&gt;0, D16 * 'Digestion &amp; outputs'!G20 / (IF('Feedstock conversion'!E213="Yes", IF('Feedstock conversion'!E214="Default", 'Feedstock conversion'!D217, 'Feedstock conversion'!E217), 1)) /
IF('Transport 1'!D213="No transport required", 1, 'Transport 1'!F219 )
/ IF('Transport 2'!D213="No transport required", 1, 'Transport 2'!F219 ), "")</f>
        <v/>
      </c>
      <c r="F16" s="555"/>
      <c r="G16" s="555"/>
      <c r="H16" s="544"/>
      <c r="I16" s="558" t="str">
        <f>IF(Feedstocks!D15&gt;0, 3.664*(Land_use_change[[#This Row],[CSReference]]-Land_use_change[[#This Row],[CSActual]])/20, "")</f>
        <v/>
      </c>
      <c r="J16" s="21"/>
      <c r="K16" s="41"/>
      <c r="L16" s="448" t="str">
        <f>Land_use_change[[#This Row],[Consignment name]]</f>
        <v/>
      </c>
      <c r="M16" s="614" t="str">
        <f>IFERROR((1000000*Land_use_change[[#This Row],[Annualised CO₂ emission]]/Land_use_change[[#This Row],[Biogas yield]])-IF(Land_use_change[[#This Row],[Can eB be applied?*]]="yes", 29, 0), "")</f>
        <v/>
      </c>
      <c r="N16" s="37"/>
      <c r="O16" s="112"/>
    </row>
    <row r="17" spans="1:18" s="4" customFormat="1" ht="16.8" x14ac:dyDescent="0.4">
      <c r="B17" s="15"/>
      <c r="C17" s="493" t="str">
        <f>IF(Feedstocks!C16&gt;0, Feedstocks!C16, "")</f>
        <v/>
      </c>
      <c r="D17" s="493" t="str">
        <f>'Cultivation and harvesting'!F517</f>
        <v/>
      </c>
      <c r="E17" s="493" t="str">
        <f>IF(Feedstocks!D16&gt;0, D17 * 'Digestion &amp; outputs'!G21 / (IF('Feedstock conversion'!E263="Yes", IF('Feedstock conversion'!E264="Default", 'Feedstock conversion'!D267, 'Feedstock conversion'!E267), 1)) /
IF('Transport 1'!D263="No transport required", 1, 'Transport 1'!F269 )
/ IF('Transport 2'!D263="No transport required", 1, 'Transport 2'!F269 ), "")</f>
        <v/>
      </c>
      <c r="F17" s="555"/>
      <c r="G17" s="555"/>
      <c r="H17" s="557"/>
      <c r="I17" s="558" t="str">
        <f>IF(Feedstocks!D16&gt;0, 3.664*(Land_use_change[[#This Row],[CSReference]]-Land_use_change[[#This Row],[CSActual]])/20, "")</f>
        <v/>
      </c>
      <c r="J17" s="21"/>
      <c r="K17" s="41"/>
      <c r="L17" s="448" t="str">
        <f>Land_use_change[[#This Row],[Consignment name]]</f>
        <v/>
      </c>
      <c r="M17" s="614" t="str">
        <f>IFERROR((1000000*Land_use_change[[#This Row],[Annualised CO₂ emission]]/Land_use_change[[#This Row],[Biogas yield]])-IF(Land_use_change[[#This Row],[Can eB be applied?*]]="yes", 29, 0), "")</f>
        <v/>
      </c>
      <c r="N17" s="37"/>
      <c r="O17" s="112"/>
    </row>
    <row r="18" spans="1:18" s="4" customFormat="1" ht="16.8" x14ac:dyDescent="0.4">
      <c r="B18" s="15"/>
      <c r="C18" s="493" t="str">
        <f>IF(Feedstocks!C17&gt;0, Feedstocks!C17, "")</f>
        <v/>
      </c>
      <c r="D18" s="493" t="str">
        <f>'Cultivation and harvesting'!F617</f>
        <v/>
      </c>
      <c r="E18" s="493" t="str">
        <f>IF(Feedstocks!D17&gt;0, D18 * 'Digestion &amp; outputs'!G22 / (IF('Feedstock conversion'!E313="Yes", IF('Feedstock conversion'!E314="Default", 'Feedstock conversion'!D317, 'Feedstock conversion'!E317), 1)) /
IF('Transport 1'!D313="No transport required", 1, 'Transport 1'!F319 )
/ IF('Transport 2'!D313="No transport required", 1, 'Transport 2'!F319 ), "")</f>
        <v/>
      </c>
      <c r="F18" s="555"/>
      <c r="G18" s="555"/>
      <c r="H18" s="557"/>
      <c r="I18" s="558" t="str">
        <f>IF(Feedstocks!D17&gt;0, 3.664*(Land_use_change[[#This Row],[CSReference]]-Land_use_change[[#This Row],[CSActual]])/20, "")</f>
        <v/>
      </c>
      <c r="J18" s="21"/>
      <c r="K18" s="41"/>
      <c r="L18" s="448" t="str">
        <f>Land_use_change[[#This Row],[Consignment name]]</f>
        <v/>
      </c>
      <c r="M18" s="614" t="str">
        <f>IFERROR((1000000*Land_use_change[[#This Row],[Annualised CO₂ emission]]/Land_use_change[[#This Row],[Biogas yield]])-IF(Land_use_change[[#This Row],[Can eB be applied?*]]="yes", 29, 0), "")</f>
        <v/>
      </c>
      <c r="N18" s="37"/>
      <c r="O18" s="112"/>
    </row>
    <row r="19" spans="1:18" s="4" customFormat="1" ht="16.8" x14ac:dyDescent="0.4">
      <c r="B19" s="15"/>
      <c r="C19" s="493" t="str">
        <f>IF(Feedstocks!C18&gt;0, Feedstocks!C18, "")</f>
        <v/>
      </c>
      <c r="D19" s="493" t="str">
        <f>'Cultivation and harvesting'!F717</f>
        <v/>
      </c>
      <c r="E19" s="493" t="str">
        <f>IF(Feedstocks!D18&gt;0, D19 * 'Digestion &amp; outputs'!G23 / (IF('Feedstock conversion'!E363="Yes", IF('Feedstock conversion'!E364="Default", 'Feedstock conversion'!D367, 'Feedstock conversion'!E367), 1)) /
IF('Transport 1'!D363="No transport required", 1, 'Transport 1'!F369 )
/ IF('Transport 2'!D363="No transport required", 1, 'Transport 2'!F369 ), "")</f>
        <v/>
      </c>
      <c r="F19" s="555"/>
      <c r="G19" s="555"/>
      <c r="H19" s="557"/>
      <c r="I19" s="558" t="str">
        <f>IF(Feedstocks!D18&gt;0, 3.664*(Land_use_change[[#This Row],[CSReference]]-Land_use_change[[#This Row],[CSActual]])/20, "")</f>
        <v/>
      </c>
      <c r="J19" s="21"/>
      <c r="K19" s="41"/>
      <c r="L19" s="448" t="str">
        <f>Land_use_change[[#This Row],[Consignment name]]</f>
        <v/>
      </c>
      <c r="M19" s="614" t="str">
        <f>IFERROR((1000000*Land_use_change[[#This Row],[Annualised CO₂ emission]]/Land_use_change[[#This Row],[Biogas yield]])-IF(Land_use_change[[#This Row],[Can eB be applied?*]]="yes", 29, 0), "")</f>
        <v/>
      </c>
      <c r="N19" s="37"/>
      <c r="O19" s="112"/>
    </row>
    <row r="20" spans="1:18" s="4" customFormat="1" ht="16.8" x14ac:dyDescent="0.4">
      <c r="B20" s="15"/>
      <c r="C20" s="493" t="str">
        <f>IF(Feedstocks!C19&gt;0, Feedstocks!C19, "")</f>
        <v/>
      </c>
      <c r="D20" s="493" t="str">
        <f>'Cultivation and harvesting'!F817</f>
        <v/>
      </c>
      <c r="E20" s="493" t="str">
        <f>IF(Feedstocks!E19&gt;0, D20 * 'Digestion &amp; outputs'!G24 / (IF('Feedstock conversion'!E413="Yes", IF('Feedstock conversion'!E414="Default", 'Feedstock conversion'!D417, 'Feedstock conversion'!E417), 1)) /
IF('Transport 1'!D413="No transport required", 1, 'Transport 1'!F419 )
/ IF('Transport 2'!D413="No transport required", 1, 'Transport 2'!F419 ), "")</f>
        <v/>
      </c>
      <c r="F20" s="555"/>
      <c r="G20" s="555"/>
      <c r="H20" s="557"/>
      <c r="I20" s="558" t="str">
        <f>IF(Feedstocks!D19&gt;0, 3.664*(Land_use_change[[#This Row],[CSReference]]-Land_use_change[[#This Row],[CSActual]])/20, "")</f>
        <v/>
      </c>
      <c r="J20" s="21"/>
      <c r="K20" s="41"/>
      <c r="L20" s="448" t="str">
        <f>Land_use_change[[#This Row],[Consignment name]]</f>
        <v/>
      </c>
      <c r="M20" s="614" t="str">
        <f>IFERROR((1000000*Land_use_change[[#This Row],[Annualised CO₂ emission]]/Land_use_change[[#This Row],[Biogas yield]])-IF(Land_use_change[[#This Row],[Can eB be applied?*]]="yes", 29, 0), "")</f>
        <v/>
      </c>
      <c r="N20" s="37"/>
      <c r="O20" s="112"/>
    </row>
    <row r="21" spans="1:18" s="4" customFormat="1" ht="16.8" x14ac:dyDescent="0.4">
      <c r="B21" s="15"/>
      <c r="C21" s="493" t="str">
        <f>IF(Feedstocks!C20&gt;0, Feedstocks!C20, "")</f>
        <v/>
      </c>
      <c r="D21" s="493" t="str">
        <f>'Cultivation and harvesting'!F917</f>
        <v/>
      </c>
      <c r="E21" s="493" t="str">
        <f>IF(Feedstocks!D20&gt;0, D21 * 'Digestion &amp; outputs'!G25 / (IF('Feedstock conversion'!E463="Yes", IF('Feedstock conversion'!E464="Default", 'Feedstock conversion'!D467, 'Feedstock conversion'!E467), 1)) /
IF('Transport 1'!D463="No transport required", 1, 'Transport 1'!F469 )
/ IF('Transport 2'!D463="No transport required", 1, 'Transport 2'!F469 ), "")</f>
        <v/>
      </c>
      <c r="F21" s="555"/>
      <c r="G21" s="555"/>
      <c r="H21" s="544"/>
      <c r="I21" s="558" t="str">
        <f>IF(Feedstocks!D20&gt;0, 3.664*(Land_use_change[[#This Row],[CSReference]]-Land_use_change[[#This Row],[CSActual]])/20, "")</f>
        <v/>
      </c>
      <c r="J21" s="21"/>
      <c r="K21" s="41"/>
      <c r="L21" s="448" t="str">
        <f>Land_use_change[[#This Row],[Consignment name]]</f>
        <v/>
      </c>
      <c r="M21" s="614" t="str">
        <f>IFERROR((1000000*Land_use_change[[#This Row],[Annualised CO₂ emission]]/Land_use_change[[#This Row],[Biogas yield]])-IF(Land_use_change[[#This Row],[Can eB be applied?*]]="yes", 29, 0), "")</f>
        <v/>
      </c>
      <c r="N21" s="37"/>
      <c r="O21" s="112"/>
    </row>
    <row r="22" spans="1:18" s="4" customFormat="1" ht="16.8" x14ac:dyDescent="0.4">
      <c r="B22" s="15"/>
      <c r="C22" s="489"/>
      <c r="D22" s="489"/>
      <c r="E22" s="489"/>
      <c r="F22" s="489"/>
      <c r="G22" s="489"/>
      <c r="H22" s="499"/>
      <c r="I22" s="499"/>
      <c r="J22" s="21"/>
      <c r="K22" s="41"/>
      <c r="L22" s="47"/>
      <c r="M22" s="36"/>
      <c r="N22" s="37"/>
      <c r="O22" s="112"/>
    </row>
    <row r="23" spans="1:18" s="4" customFormat="1" ht="62.25" customHeight="1" x14ac:dyDescent="0.4">
      <c r="B23" s="15"/>
      <c r="C23" s="773" t="s">
        <v>217</v>
      </c>
      <c r="D23" s="773"/>
      <c r="E23" s="773"/>
      <c r="F23" s="773"/>
      <c r="G23" s="773"/>
      <c r="H23" s="773"/>
      <c r="I23" s="773"/>
      <c r="J23" s="21"/>
      <c r="K23" s="41"/>
      <c r="L23" s="771" t="s">
        <v>218</v>
      </c>
      <c r="M23" s="772"/>
      <c r="N23" s="37"/>
      <c r="O23" s="112"/>
    </row>
    <row r="24" spans="1:18" s="4" customFormat="1" ht="16.8" x14ac:dyDescent="0.4">
      <c r="B24" s="15"/>
      <c r="C24" s="773"/>
      <c r="D24" s="773"/>
      <c r="E24" s="773"/>
      <c r="F24" s="773"/>
      <c r="G24" s="773"/>
      <c r="H24" s="773"/>
      <c r="I24" s="773"/>
      <c r="J24" s="21"/>
      <c r="K24" s="46"/>
      <c r="L24" s="58"/>
      <c r="M24" s="58"/>
      <c r="N24" s="59"/>
      <c r="O24" s="112"/>
    </row>
    <row r="25" spans="1:18" s="4" customFormat="1" ht="81.599999999999994" customHeight="1" x14ac:dyDescent="0.4">
      <c r="B25" s="15"/>
      <c r="C25" s="770"/>
      <c r="D25" s="770"/>
      <c r="E25" s="770"/>
      <c r="F25" s="770"/>
      <c r="G25" s="770"/>
      <c r="H25" s="770"/>
      <c r="I25" s="628"/>
      <c r="J25" s="21"/>
      <c r="K25" s="21"/>
      <c r="L25" s="21"/>
      <c r="M25" s="21"/>
      <c r="N25" s="21"/>
      <c r="O25" s="112"/>
    </row>
    <row r="26" spans="1:18" s="157" customFormat="1" ht="15" x14ac:dyDescent="0.35">
      <c r="A26" s="21"/>
      <c r="B26" s="28"/>
      <c r="C26" s="29"/>
      <c r="D26" s="29"/>
      <c r="E26" s="29"/>
      <c r="F26" s="29"/>
      <c r="G26" s="29"/>
      <c r="H26" s="29"/>
      <c r="I26" s="29"/>
      <c r="J26" s="29"/>
      <c r="K26" s="490"/>
      <c r="L26" s="490"/>
      <c r="M26" s="490"/>
      <c r="N26" s="438"/>
      <c r="O26" s="60"/>
      <c r="P26" s="21"/>
      <c r="Q26" s="21"/>
      <c r="R26" s="21"/>
    </row>
    <row r="27" spans="1:18" s="157" customFormat="1" ht="15" x14ac:dyDescent="0.35">
      <c r="A27" s="21"/>
      <c r="B27" s="21"/>
      <c r="C27" s="21"/>
      <c r="D27" s="21"/>
      <c r="E27" s="21"/>
      <c r="F27" s="21"/>
      <c r="G27" s="21"/>
      <c r="H27" s="21"/>
      <c r="I27" s="21"/>
      <c r="J27" s="21"/>
      <c r="K27" s="21"/>
      <c r="L27" s="21"/>
      <c r="M27" s="21"/>
      <c r="N27" s="21"/>
      <c r="O27" s="21"/>
      <c r="P27" s="21"/>
      <c r="Q27" s="21"/>
      <c r="R27" s="21"/>
    </row>
    <row r="28" spans="1:18" s="157" customFormat="1" ht="15" x14ac:dyDescent="0.35">
      <c r="A28" s="21"/>
      <c r="B28" s="21"/>
      <c r="C28" s="21"/>
      <c r="D28" s="21"/>
      <c r="E28" s="21"/>
      <c r="F28" s="21"/>
      <c r="G28" s="21"/>
      <c r="H28" s="21"/>
      <c r="I28" s="21"/>
      <c r="J28" s="21"/>
      <c r="K28" s="21"/>
      <c r="L28" s="21"/>
      <c r="M28" s="21"/>
      <c r="N28" s="21"/>
      <c r="O28" s="21"/>
      <c r="P28" s="21"/>
      <c r="Q28" s="21"/>
      <c r="R28" s="21"/>
    </row>
    <row r="29" spans="1:18" s="239" customFormat="1" ht="3.75" customHeight="1" thickBot="1" x14ac:dyDescent="0.4"/>
    <row r="30" spans="1:18" s="171" customFormat="1" ht="15" x14ac:dyDescent="0.35"/>
    <row r="31" spans="1:18" s="171" customFormat="1" ht="15" x14ac:dyDescent="0.35"/>
    <row r="32" spans="1:18" ht="15" x14ac:dyDescent="0.35">
      <c r="A32" s="171"/>
      <c r="B32" s="171"/>
      <c r="C32" s="171"/>
      <c r="D32" s="171"/>
      <c r="E32" s="171"/>
      <c r="F32" s="171"/>
      <c r="G32" s="171"/>
      <c r="H32" s="171"/>
      <c r="I32" s="171"/>
      <c r="J32" s="171"/>
      <c r="K32" s="171"/>
      <c r="L32" s="171"/>
      <c r="M32" s="171"/>
      <c r="N32" s="171"/>
      <c r="O32" s="171"/>
      <c r="P32" s="171"/>
      <c r="Q32" s="171"/>
      <c r="R32" s="171"/>
    </row>
  </sheetData>
  <sheetProtection algorithmName="SHA-512" hashValue="QwdQ7eoLi259+J4A67Z29vUs2kmiB+8CSWFTDqGnO1rKXnXZpPgrOjg+MJ1CPBPLyAYWffyt/9JasiBSbgatrw==" saltValue="NpOqisSWxjvA2FiorfoeJA==" spinCount="100000" sheet="1" objects="1" scenarios="1"/>
  <mergeCells count="5">
    <mergeCell ref="C25:H25"/>
    <mergeCell ref="B8:O8"/>
    <mergeCell ref="L23:M23"/>
    <mergeCell ref="B6:O6"/>
    <mergeCell ref="C23:I24"/>
  </mergeCells>
  <conditionalFormatting sqref="A10:I22 O10:XFD25 A23:C23 A24:B25">
    <cfRule type="cellIs" dxfId="1467" priority="33" operator="equal">
      <formula>"Warning - crop dry matter content higher than feedstock dry matter content"</formula>
    </cfRule>
    <cfRule type="cellIs" dxfId="1466" priority="34" operator="equal">
      <formula>"Insert unit"</formula>
    </cfRule>
    <cfRule type="cellIs" dxfId="1465" priority="35" operator="equal">
      <formula>"Insert data"</formula>
    </cfRule>
  </conditionalFormatting>
  <conditionalFormatting sqref="A1:XFD4 A29:XFD31">
    <cfRule type="cellIs" dxfId="1464" priority="36" operator="equal">
      <formula>"Insert unit"</formula>
    </cfRule>
    <cfRule type="cellIs" dxfId="1463" priority="37" operator="equal">
      <formula>"Insert data"</formula>
    </cfRule>
  </conditionalFormatting>
  <conditionalFormatting sqref="J11">
    <cfRule type="cellIs" dxfId="1462" priority="21" operator="equal">
      <formula>"Warning - crop dry matter content higher than feedstock dry matter content"</formula>
    </cfRule>
    <cfRule type="cellIs" dxfId="1461" priority="23" operator="equal">
      <formula>"Insert data"</formula>
    </cfRule>
  </conditionalFormatting>
  <conditionalFormatting sqref="J11:N11">
    <cfRule type="cellIs" dxfId="1460" priority="7" operator="equal">
      <formula>"Insert unit"</formula>
    </cfRule>
  </conditionalFormatting>
  <conditionalFormatting sqref="K10:N10">
    <cfRule type="cellIs" dxfId="1459" priority="10" operator="equal">
      <formula>"Insert unit"</formula>
    </cfRule>
  </conditionalFormatting>
  <conditionalFormatting sqref="K10:N11">
    <cfRule type="cellIs" dxfId="1458" priority="5" operator="equal">
      <formula>"Insert yield"</formula>
    </cfRule>
    <cfRule type="expression" dxfId="1457" priority="6">
      <formula>$G$26="No"</formula>
    </cfRule>
    <cfRule type="cellIs" dxfId="1456" priority="8" operator="equal">
      <formula>"Insert data"</formula>
    </cfRule>
  </conditionalFormatting>
  <conditionalFormatting sqref="L12:M21">
    <cfRule type="cellIs" dxfId="1455" priority="1" operator="equal">
      <formula>"Insert unit"</formula>
    </cfRule>
    <cfRule type="cellIs" dxfId="1454" priority="2" operator="equal">
      <formula>"Insert data"</formula>
    </cfRule>
  </conditionalFormatting>
  <dataValidations count="1">
    <dataValidation type="list" allowBlank="1" showInputMessage="1" showErrorMessage="1" sqref="H12:H21" xr:uid="{87BA2F97-8232-4525-B881-DEEF1EBCFAF7}">
      <formula1>"yes, no"</formula1>
    </dataValidation>
  </dataValidations>
  <pageMargins left="0.7" right="0.7" top="0.75" bottom="0.75" header="0.3" footer="0.3"/>
  <headerFooter>
    <oddHeader>&amp;C&amp;"Calibri"&amp;10&amp;K000000 OFFICIAL&amp;1#_x000D_</oddHeader>
    <oddFooter>&amp;C_x000D_&amp;1#&amp;"Calibri"&amp;10&amp;K000000 OFFICIAL</oddFooter>
  </headerFooter>
  <ignoredErrors>
    <ignoredError sqref="E12:E21 H14:H21 H12:H13" calculatedColumn="1"/>
  </ignoredErrors>
  <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8AE6A-0EFC-4CC3-8E89-8EBE29A1BFB3}">
  <sheetPr codeName="Sheet16"/>
  <dimension ref="A1:R31"/>
  <sheetViews>
    <sheetView zoomScale="110" zoomScaleNormal="110" workbookViewId="0">
      <selection activeCell="E26" sqref="E26"/>
    </sheetView>
  </sheetViews>
  <sheetFormatPr defaultColWidth="8.6640625" defaultRowHeight="14.4" x14ac:dyDescent="0.3"/>
  <cols>
    <col min="1" max="1" width="5.6640625" style="198" customWidth="1"/>
    <col min="2" max="2" width="2.5546875" style="198" customWidth="1"/>
    <col min="3" max="3" width="37.88671875" style="198" customWidth="1"/>
    <col min="4" max="8" width="14.33203125" style="198" customWidth="1"/>
    <col min="9" max="9" width="21.88671875" style="198" customWidth="1"/>
    <col min="10" max="10" width="11" style="198" customWidth="1"/>
    <col min="11" max="11" width="3.109375" style="198" customWidth="1"/>
    <col min="12" max="12" width="37.44140625" style="198" bestFit="1" customWidth="1"/>
    <col min="13" max="13" width="16.88671875" style="198" bestFit="1" customWidth="1"/>
    <col min="14" max="14" width="3.44140625" style="198" customWidth="1"/>
    <col min="15" max="15" width="8.6640625" style="198"/>
    <col min="16" max="16" width="10.88671875" style="198" bestFit="1" customWidth="1"/>
    <col min="17" max="16384" width="8.6640625" style="198"/>
  </cols>
  <sheetData>
    <row r="1" spans="1:18" s="171" customFormat="1" ht="24.75" customHeight="1" x14ac:dyDescent="0.35">
      <c r="A1" s="159"/>
      <c r="B1" s="159"/>
      <c r="C1" s="159"/>
      <c r="D1" s="159"/>
      <c r="E1" s="159"/>
      <c r="F1" s="159"/>
      <c r="G1" s="159"/>
      <c r="H1" s="159"/>
    </row>
    <row r="2" spans="1:18" s="171" customFormat="1" ht="24.75" customHeight="1" x14ac:dyDescent="0.35"/>
    <row r="3" spans="1:18" s="171" customFormat="1" ht="24.75" customHeight="1" x14ac:dyDescent="0.35"/>
    <row r="4" spans="1:18" s="238" customFormat="1" ht="24.75" customHeight="1" x14ac:dyDescent="0.35"/>
    <row r="5" spans="1:18" s="157" customFormat="1" ht="15" x14ac:dyDescent="0.35">
      <c r="A5" s="21"/>
      <c r="B5" s="21"/>
      <c r="C5" s="21"/>
      <c r="D5" s="21"/>
      <c r="E5" s="21"/>
      <c r="F5" s="21"/>
      <c r="G5" s="21"/>
      <c r="H5" s="21"/>
      <c r="I5" s="21"/>
      <c r="J5" s="21"/>
      <c r="K5" s="21"/>
      <c r="L5" s="21"/>
      <c r="M5" s="21"/>
      <c r="N5" s="21"/>
      <c r="O5" s="21"/>
      <c r="P5" s="21"/>
      <c r="Q5" s="21"/>
      <c r="R5" s="21"/>
    </row>
    <row r="6" spans="1:18" s="157" customFormat="1" ht="48.75" customHeight="1" x14ac:dyDescent="0.4">
      <c r="A6" s="21"/>
      <c r="B6" s="728" t="s">
        <v>219</v>
      </c>
      <c r="C6" s="728"/>
      <c r="D6" s="728"/>
      <c r="E6" s="728"/>
      <c r="F6" s="728"/>
      <c r="G6" s="728"/>
      <c r="H6" s="728"/>
      <c r="I6" s="728"/>
      <c r="J6" s="728"/>
      <c r="K6" s="728"/>
      <c r="L6" s="728"/>
      <c r="M6" s="728"/>
      <c r="N6" s="728"/>
      <c r="O6" s="728"/>
      <c r="P6" s="21"/>
      <c r="Q6" s="21"/>
      <c r="R6" s="21"/>
    </row>
    <row r="7" spans="1:18" s="157" customFormat="1" ht="15" x14ac:dyDescent="0.35">
      <c r="A7" s="21"/>
      <c r="B7" s="21"/>
      <c r="C7" s="21"/>
      <c r="D7" s="21"/>
      <c r="E7" s="21"/>
      <c r="F7" s="21"/>
      <c r="G7" s="21"/>
      <c r="H7" s="21"/>
      <c r="I7" s="21"/>
      <c r="J7" s="21"/>
      <c r="K7" s="21"/>
      <c r="L7" s="21"/>
      <c r="M7" s="21"/>
      <c r="N7" s="21"/>
      <c r="O7" s="21"/>
      <c r="P7" s="21"/>
      <c r="Q7" s="21"/>
      <c r="R7" s="21"/>
    </row>
    <row r="8" spans="1:18" s="157" customFormat="1" ht="19.2" x14ac:dyDescent="0.45">
      <c r="A8" s="21"/>
      <c r="B8" s="750" t="s">
        <v>220</v>
      </c>
      <c r="C8" s="750"/>
      <c r="D8" s="750"/>
      <c r="E8" s="750"/>
      <c r="F8" s="750"/>
      <c r="G8" s="750"/>
      <c r="H8" s="750"/>
      <c r="I8" s="750"/>
      <c r="J8" s="750"/>
      <c r="K8" s="750"/>
      <c r="L8" s="750"/>
      <c r="M8" s="750"/>
      <c r="N8" s="750"/>
      <c r="O8" s="750"/>
      <c r="P8" s="21"/>
      <c r="Q8" s="21"/>
      <c r="R8" s="21"/>
    </row>
    <row r="9" spans="1:18" s="157" customFormat="1" ht="15" x14ac:dyDescent="0.35">
      <c r="A9" s="21"/>
      <c r="B9" s="435"/>
      <c r="C9" s="434"/>
      <c r="D9" s="434"/>
      <c r="E9" s="434"/>
      <c r="F9" s="434"/>
      <c r="G9" s="434"/>
      <c r="H9" s="434"/>
      <c r="I9" s="434"/>
      <c r="J9" s="434"/>
      <c r="K9" s="434"/>
      <c r="L9" s="434"/>
      <c r="M9" s="434"/>
      <c r="N9" s="434"/>
      <c r="O9" s="436"/>
      <c r="P9" s="21"/>
      <c r="Q9" s="21"/>
      <c r="R9" s="21"/>
    </row>
    <row r="10" spans="1:18" s="4" customFormat="1" ht="16.8" x14ac:dyDescent="0.4">
      <c r="B10" s="15"/>
      <c r="C10" s="560"/>
      <c r="D10" s="164" t="s">
        <v>221</v>
      </c>
      <c r="E10" s="164" t="s">
        <v>209</v>
      </c>
      <c r="F10" s="164" t="s">
        <v>222</v>
      </c>
      <c r="G10" s="164" t="s">
        <v>223</v>
      </c>
      <c r="H10" s="164" t="s">
        <v>224</v>
      </c>
      <c r="I10" s="164" t="s">
        <v>225</v>
      </c>
      <c r="J10" s="35"/>
      <c r="K10" s="303" t="s">
        <v>122</v>
      </c>
      <c r="L10" s="47"/>
      <c r="M10" s="47"/>
      <c r="N10" s="45"/>
      <c r="O10" s="112"/>
    </row>
    <row r="11" spans="1:18" s="4" customFormat="1" ht="30.6" x14ac:dyDescent="0.4">
      <c r="B11" s="15"/>
      <c r="C11" s="559" t="s">
        <v>87</v>
      </c>
      <c r="D11" s="554" t="s">
        <v>129</v>
      </c>
      <c r="E11" s="554" t="s">
        <v>212</v>
      </c>
      <c r="F11" s="646" t="s">
        <v>213</v>
      </c>
      <c r="G11" s="646" t="s">
        <v>214</v>
      </c>
      <c r="H11" s="647" t="s">
        <v>226</v>
      </c>
      <c r="I11" s="647" t="s">
        <v>216</v>
      </c>
      <c r="J11" s="21"/>
      <c r="K11" s="41"/>
      <c r="L11" s="36"/>
      <c r="M11" s="164" t="s">
        <v>124</v>
      </c>
      <c r="N11" s="37"/>
      <c r="O11" s="112"/>
    </row>
    <row r="12" spans="1:18" s="4" customFormat="1" ht="16.8" x14ac:dyDescent="0.4">
      <c r="B12" s="15"/>
      <c r="C12" s="493" t="str">
        <f>IF(Feedstocks!C11&gt;0, Feedstocks!C11, "")</f>
        <v/>
      </c>
      <c r="D12" s="493" t="str">
        <f>'Cultivation and harvesting'!F17</f>
        <v/>
      </c>
      <c r="E12" s="558" t="str">
        <f>IF(Feedstocks!D11&gt;0, D12 * 'Digestion &amp; outputs'!G16 / (IF('Feedstock conversion'!E13="Yes", IF('Feedstock conversion'!E14="Default", 'Feedstock conversion'!D17, 'Feedstock conversion'!E17), 1)) /
IF('Transport 1'!D13="No transport required", 1, 'Transport 1'!F19 )
/ IF('Transport 2'!D13="No transport required", 1, 'Transport 2'!F19 ), "")</f>
        <v/>
      </c>
      <c r="F12" s="555"/>
      <c r="G12" s="555"/>
      <c r="H12" s="555"/>
      <c r="I12" s="558" t="str">
        <f>IF(Feedstocks!C11&gt;0, IFERROR(3.664*(Soil_carbon[[#This Row],[CSReference]]-Soil_carbon[[#This Row],[CSActual]])/Soil_carbon[[#This Row],[Time period]], 0), "")</f>
        <v/>
      </c>
      <c r="J12" s="21"/>
      <c r="K12" s="41"/>
      <c r="L12" s="448" t="str">
        <f>Soil_carbon[[#This Row],[Consignment name]]</f>
        <v/>
      </c>
      <c r="M12" s="614" t="str">
        <f>IFERROR((-1000000*Soil_carbon[[#This Row],[Annualised CO₂ emission]]/Soil_carbon[[#This Row],[Biogas yield]]), "")</f>
        <v/>
      </c>
      <c r="N12" s="37"/>
      <c r="O12" s="112"/>
    </row>
    <row r="13" spans="1:18" s="4" customFormat="1" ht="16.8" x14ac:dyDescent="0.4">
      <c r="B13" s="15"/>
      <c r="C13" s="493" t="str">
        <f>IF(Feedstocks!C12&gt;0, Feedstocks!C12, "")</f>
        <v/>
      </c>
      <c r="D13" s="493" t="str">
        <f>'Cultivation and harvesting'!F117</f>
        <v/>
      </c>
      <c r="E13" s="558" t="str">
        <f>IF(Feedstocks!D12&gt;0, D13 * 'Digestion &amp; outputs'!G17 / (IF('Feedstock conversion'!E63="Yes", IF('Feedstock conversion'!E64="Default", 'Feedstock conversion'!D67, 'Feedstock conversion'!E67), 1)) /
IF('Transport 1'!D63="No transport required", 1, 'Transport 1'!F69 )
/ IF('Transport 2'!D63="No transport required", 1, 'Transport 2'!F69 ), "")</f>
        <v/>
      </c>
      <c r="F13" s="555"/>
      <c r="G13" s="555"/>
      <c r="H13" s="555"/>
      <c r="I13" s="558" t="str">
        <f>IF(Feedstocks!C12&gt;0, IFERROR(3.664*(Soil_carbon[[#This Row],[CSReference]]-Soil_carbon[[#This Row],[CSActual]])/Soil_carbon[[#This Row],[Time period]], 0), "")</f>
        <v/>
      </c>
      <c r="J13" s="21"/>
      <c r="K13" s="41"/>
      <c r="L13" s="448" t="str">
        <f>Soil_carbon[[#This Row],[Consignment name]]</f>
        <v/>
      </c>
      <c r="M13" s="614" t="str">
        <f>IFERROR((-1000000*Soil_carbon[[#This Row],[Annualised CO₂ emission]]/Soil_carbon[[#This Row],[Biogas yield]]), "")</f>
        <v/>
      </c>
      <c r="N13" s="37"/>
      <c r="O13" s="112"/>
    </row>
    <row r="14" spans="1:18" s="4" customFormat="1" ht="16.8" x14ac:dyDescent="0.4">
      <c r="B14" s="15"/>
      <c r="C14" s="493" t="str">
        <f>IF(Feedstocks!C13&gt;0, Feedstocks!C13, "")</f>
        <v/>
      </c>
      <c r="D14" s="493" t="str">
        <f>'Cultivation and harvesting'!F217</f>
        <v/>
      </c>
      <c r="E14" s="558" t="str">
        <f>IF(Feedstocks!D13&gt;0, D14 * 'Digestion &amp; outputs'!G18 / (IF('Feedstock conversion'!E113="Yes", IF('Feedstock conversion'!E114="Default", 'Feedstock conversion'!D117, 'Feedstock conversion'!E117), 1)) /
IF('Transport 1'!D113="No transport required", 1, 'Transport 1'!F119 )
/ IF('Transport 2'!D113="No transport required", 1, 'Transport 2'!F119 ), "")</f>
        <v/>
      </c>
      <c r="F14" s="555"/>
      <c r="G14" s="555"/>
      <c r="H14" s="555"/>
      <c r="I14" s="558" t="str">
        <f>IF(Feedstocks!C13&gt;0, IFERROR(3.664*(Soil_carbon[[#This Row],[CSReference]]-Soil_carbon[[#This Row],[CSActual]])/Soil_carbon[[#This Row],[Time period]], 0), "")</f>
        <v/>
      </c>
      <c r="J14" s="21"/>
      <c r="K14" s="41"/>
      <c r="L14" s="448" t="str">
        <f>Soil_carbon[[#This Row],[Consignment name]]</f>
        <v/>
      </c>
      <c r="M14" s="614" t="str">
        <f>IFERROR((-1000000*Soil_carbon[[#This Row],[Annualised CO₂ emission]]/Soil_carbon[[#This Row],[Biogas yield]]), "")</f>
        <v/>
      </c>
      <c r="N14" s="37"/>
      <c r="O14" s="112"/>
    </row>
    <row r="15" spans="1:18" s="4" customFormat="1" ht="16.8" x14ac:dyDescent="0.4">
      <c r="B15" s="15"/>
      <c r="C15" s="493" t="str">
        <f>IF(Feedstocks!C14&gt;0, Feedstocks!C14, "")</f>
        <v/>
      </c>
      <c r="D15" s="493" t="str">
        <f>'Cultivation and harvesting'!F317</f>
        <v/>
      </c>
      <c r="E15" s="558" t="str">
        <f>IF(Feedstocks!D14&gt;0, D15 * 'Digestion &amp; outputs'!G19 / (IF('Feedstock conversion'!E163="Yes", IF('Feedstock conversion'!E164="Default", 'Feedstock conversion'!D167, 'Feedstock conversion'!E167), 1)) /
IF('Transport 1'!D163="No transport required", 1, 'Transport 1'!F169 )
/ IF('Transport 2'!D163="No transport required", 1, 'Transport 2'!F169 ), "")</f>
        <v/>
      </c>
      <c r="F15" s="555"/>
      <c r="G15" s="555"/>
      <c r="H15" s="555"/>
      <c r="I15" s="558" t="str">
        <f>IF(Feedstocks!C14&gt;0, IFERROR(3.664*(Soil_carbon[[#This Row],[CSReference]]-Soil_carbon[[#This Row],[CSActual]])/Soil_carbon[[#This Row],[Time period]], 0), "")</f>
        <v/>
      </c>
      <c r="J15" s="21"/>
      <c r="K15" s="41"/>
      <c r="L15" s="448" t="str">
        <f>Soil_carbon[[#This Row],[Consignment name]]</f>
        <v/>
      </c>
      <c r="M15" s="614" t="str">
        <f>IFERROR((-1000000*Soil_carbon[[#This Row],[Annualised CO₂ emission]]/Soil_carbon[[#This Row],[Biogas yield]]), "")</f>
        <v/>
      </c>
      <c r="N15" s="37"/>
      <c r="O15" s="112"/>
    </row>
    <row r="16" spans="1:18" s="4" customFormat="1" ht="16.8" x14ac:dyDescent="0.4">
      <c r="B16" s="15"/>
      <c r="C16" s="493" t="str">
        <f>IF(Feedstocks!C15&gt;0, Feedstocks!C15, "")</f>
        <v/>
      </c>
      <c r="D16" s="493" t="str">
        <f>'Cultivation and harvesting'!F417</f>
        <v/>
      </c>
      <c r="E16" s="558" t="str">
        <f>IF(Feedstocks!D15&gt;0, D16 * 'Digestion &amp; outputs'!G20 / (IF('Feedstock conversion'!E213="Yes", IF('Feedstock conversion'!E214="Default", 'Feedstock conversion'!D217, 'Feedstock conversion'!E217), 1)) /
IF('Transport 1'!D213="No transport required", 1, 'Transport 1'!F219 )
/ IF('Transport 2'!D213="No transport required", 1, 'Transport 2'!F219 ), "")</f>
        <v/>
      </c>
      <c r="F16" s="555"/>
      <c r="G16" s="555"/>
      <c r="H16" s="555"/>
      <c r="I16" s="558" t="str">
        <f>IF(Feedstocks!C15&gt;0, IFERROR(3.664*(Soil_carbon[[#This Row],[CSReference]]-Soil_carbon[[#This Row],[CSActual]])/Soil_carbon[[#This Row],[Time period]], 0), "")</f>
        <v/>
      </c>
      <c r="J16" s="21"/>
      <c r="K16" s="41"/>
      <c r="L16" s="448" t="str">
        <f>Soil_carbon[[#This Row],[Consignment name]]</f>
        <v/>
      </c>
      <c r="M16" s="614" t="str">
        <f>IFERROR((-1000000*Soil_carbon[[#This Row],[Annualised CO₂ emission]]/Soil_carbon[[#This Row],[Biogas yield]]), "")</f>
        <v/>
      </c>
      <c r="N16" s="37"/>
      <c r="O16" s="112"/>
    </row>
    <row r="17" spans="1:18" s="4" customFormat="1" ht="16.8" x14ac:dyDescent="0.4">
      <c r="B17" s="15"/>
      <c r="C17" s="493" t="str">
        <f>IF(Feedstocks!C16&gt;0, Feedstocks!C16, "")</f>
        <v/>
      </c>
      <c r="D17" s="493" t="str">
        <f>'Cultivation and harvesting'!F517</f>
        <v/>
      </c>
      <c r="E17" s="558" t="str">
        <f>IF(Feedstocks!D16&gt;0, D17 * 'Digestion &amp; outputs'!G21 / (IF('Feedstock conversion'!E263="Yes", IF('Feedstock conversion'!E264="Default", 'Feedstock conversion'!D267, 'Feedstock conversion'!E267), 1)) /
IF('Transport 1'!D263="No transport required", 1, 'Transport 1'!F269 )
/ IF('Transport 2'!D263="No transport required", 1, 'Transport 2'!F269 ), "")</f>
        <v/>
      </c>
      <c r="F17" s="555"/>
      <c r="G17" s="555"/>
      <c r="H17" s="555"/>
      <c r="I17" s="558" t="str">
        <f>IF(Feedstocks!C16&gt;0, IFERROR(3.664*(Soil_carbon[[#This Row],[CSReference]]-Soil_carbon[[#This Row],[CSActual]])/Soil_carbon[[#This Row],[Time period]], 0), "")</f>
        <v/>
      </c>
      <c r="J17" s="21"/>
      <c r="K17" s="41"/>
      <c r="L17" s="448" t="str">
        <f>Soil_carbon[[#This Row],[Consignment name]]</f>
        <v/>
      </c>
      <c r="M17" s="614" t="str">
        <f>IFERROR((-1000000*Soil_carbon[[#This Row],[Annualised CO₂ emission]]/Soil_carbon[[#This Row],[Biogas yield]]), "")</f>
        <v/>
      </c>
      <c r="N17" s="37"/>
      <c r="O17" s="112"/>
    </row>
    <row r="18" spans="1:18" s="4" customFormat="1" ht="16.8" x14ac:dyDescent="0.4">
      <c r="B18" s="15"/>
      <c r="C18" s="493" t="str">
        <f>IF(Feedstocks!C17&gt;0, Feedstocks!C17, "")</f>
        <v/>
      </c>
      <c r="D18" s="493" t="str">
        <f>'Cultivation and harvesting'!F617</f>
        <v/>
      </c>
      <c r="E18" s="558" t="str">
        <f>IF(Feedstocks!D17&gt;0, D18 * 'Digestion &amp; outputs'!G22 / (IF('Feedstock conversion'!E313="Yes", IF('Feedstock conversion'!E314="Default", 'Feedstock conversion'!D317, 'Feedstock conversion'!E317), 1)) /
IF('Transport 1'!D313="No transport required", 1, 'Transport 1'!F319 )
/ IF('Transport 2'!D313="No transport required", 1, 'Transport 2'!F319 ), "")</f>
        <v/>
      </c>
      <c r="F18" s="555"/>
      <c r="G18" s="555"/>
      <c r="H18" s="555"/>
      <c r="I18" s="558" t="str">
        <f>IF(Feedstocks!C17&gt;0, IFERROR(3.664*(Soil_carbon[[#This Row],[CSReference]]-Soil_carbon[[#This Row],[CSActual]])/Soil_carbon[[#This Row],[Time period]], 0), "")</f>
        <v/>
      </c>
      <c r="J18" s="21"/>
      <c r="K18" s="41"/>
      <c r="L18" s="448" t="str">
        <f>Soil_carbon[[#This Row],[Consignment name]]</f>
        <v/>
      </c>
      <c r="M18" s="614" t="str">
        <f>IFERROR((-1000000*Soil_carbon[[#This Row],[Annualised CO₂ emission]]/Soil_carbon[[#This Row],[Biogas yield]]), "")</f>
        <v/>
      </c>
      <c r="N18" s="37"/>
      <c r="O18" s="112"/>
    </row>
    <row r="19" spans="1:18" s="4" customFormat="1" ht="16.8" x14ac:dyDescent="0.4">
      <c r="B19" s="15"/>
      <c r="C19" s="493" t="str">
        <f>IF(Feedstocks!C18&gt;0, Feedstocks!C18, "")</f>
        <v/>
      </c>
      <c r="D19" s="493" t="str">
        <f>'Cultivation and harvesting'!F717</f>
        <v/>
      </c>
      <c r="E19" s="558" t="str">
        <f>IF(Feedstocks!D18&gt;0, D19 * 'Digestion &amp; outputs'!G23 / (IF('Feedstock conversion'!E363="Yes", IF('Feedstock conversion'!E364="Default", 'Feedstock conversion'!D367, 'Feedstock conversion'!E367), 1)) /
IF('Transport 1'!D363="No transport required", 1, 'Transport 1'!F369 )
/ IF('Transport 2'!D363="No transport required", 1, 'Transport 2'!F369 ), "")</f>
        <v/>
      </c>
      <c r="F19" s="555"/>
      <c r="G19" s="555"/>
      <c r="H19" s="555"/>
      <c r="I19" s="558" t="str">
        <f>IF(Feedstocks!C18&gt;0, IFERROR(3.664*(Soil_carbon[[#This Row],[CSReference]]-Soil_carbon[[#This Row],[CSActual]])/Soil_carbon[[#This Row],[Time period]], 0), "")</f>
        <v/>
      </c>
      <c r="J19" s="21"/>
      <c r="K19" s="41"/>
      <c r="L19" s="448" t="str">
        <f>Soil_carbon[[#This Row],[Consignment name]]</f>
        <v/>
      </c>
      <c r="M19" s="614" t="str">
        <f>IFERROR((-1000000*Soil_carbon[[#This Row],[Annualised CO₂ emission]]/Soil_carbon[[#This Row],[Biogas yield]]), "")</f>
        <v/>
      </c>
      <c r="N19" s="37"/>
      <c r="O19" s="112"/>
    </row>
    <row r="20" spans="1:18" s="4" customFormat="1" ht="16.8" x14ac:dyDescent="0.4">
      <c r="B20" s="15"/>
      <c r="C20" s="493" t="str">
        <f>IF(Feedstocks!C19&gt;0, Feedstocks!C19, "")</f>
        <v/>
      </c>
      <c r="D20" s="493" t="str">
        <f>'Cultivation and harvesting'!F817</f>
        <v/>
      </c>
      <c r="E20" s="558" t="str">
        <f>IF(Feedstocks!E19&gt;0, D20 * 'Digestion &amp; outputs'!G24 / (IF('Feedstock conversion'!E413="Yes", IF('Feedstock conversion'!E414="Default", 'Feedstock conversion'!D417, 'Feedstock conversion'!E417), 1)) /
IF('Transport 1'!D413="No transport required", 1, 'Transport 1'!F419 )
/ IF('Transport 2'!D413="No transport required", 1, 'Transport 2'!F419 ), "")</f>
        <v/>
      </c>
      <c r="F20" s="555"/>
      <c r="G20" s="555"/>
      <c r="H20" s="555"/>
      <c r="I20" s="558" t="str">
        <f>IF(Feedstocks!C19&gt;0, IFERROR(3.664*(Soil_carbon[[#This Row],[CSReference]]-Soil_carbon[[#This Row],[CSActual]])/Soil_carbon[[#This Row],[Time period]], 0), "")</f>
        <v/>
      </c>
      <c r="J20" s="21"/>
      <c r="K20" s="41"/>
      <c r="L20" s="448" t="str">
        <f>Soil_carbon[[#This Row],[Consignment name]]</f>
        <v/>
      </c>
      <c r="M20" s="614" t="str">
        <f>IFERROR((-1000000*Soil_carbon[[#This Row],[Annualised CO₂ emission]]/Soil_carbon[[#This Row],[Biogas yield]]), "")</f>
        <v/>
      </c>
      <c r="N20" s="37"/>
      <c r="O20" s="112"/>
    </row>
    <row r="21" spans="1:18" s="4" customFormat="1" ht="16.8" x14ac:dyDescent="0.4">
      <c r="B21" s="15"/>
      <c r="C21" s="493" t="str">
        <f>IF(Feedstocks!C20&gt;0, Feedstocks!C20, "")</f>
        <v/>
      </c>
      <c r="D21" s="493" t="str">
        <f>'Cultivation and harvesting'!F917</f>
        <v/>
      </c>
      <c r="E21" s="558" t="str">
        <f>IF(Feedstocks!D20&gt;0, D21 * 'Digestion &amp; outputs'!G25 / (IF('Feedstock conversion'!E463="Yes", IF('Feedstock conversion'!E464="Default", 'Feedstock conversion'!D467, 'Feedstock conversion'!E467), 1)) /
IF('Transport 1'!D463="No transport required", 1, 'Transport 1'!F469 )
/ IF('Transport 2'!D463="No transport required", 1, 'Transport 2'!F469 ), "")</f>
        <v/>
      </c>
      <c r="F21" s="555"/>
      <c r="G21" s="555"/>
      <c r="H21" s="555"/>
      <c r="I21" s="558" t="str">
        <f>IF(Feedstocks!C20&gt;0, IFERROR(3.664*(Soil_carbon[[#This Row],[CSReference]]-Soil_carbon[[#This Row],[CSActual]])/Soil_carbon[[#This Row],[Time period]], 0), "")</f>
        <v/>
      </c>
      <c r="J21" s="21"/>
      <c r="K21" s="41"/>
      <c r="L21" s="448" t="str">
        <f>Soil_carbon[[#This Row],[Consignment name]]</f>
        <v/>
      </c>
      <c r="M21" s="614" t="str">
        <f>IFERROR((-1000000*Soil_carbon[[#This Row],[Annualised CO₂ emission]]/Soil_carbon[[#This Row],[Biogas yield]]), "")</f>
        <v/>
      </c>
      <c r="N21" s="37"/>
      <c r="O21" s="112"/>
    </row>
    <row r="22" spans="1:18" s="4" customFormat="1" ht="16.8" x14ac:dyDescent="0.4">
      <c r="B22" s="15"/>
      <c r="C22" s="489"/>
      <c r="D22" s="489"/>
      <c r="E22" s="489"/>
      <c r="F22" s="489"/>
      <c r="G22" s="489"/>
      <c r="H22" s="489"/>
      <c r="I22" s="489"/>
      <c r="J22" s="21"/>
      <c r="K22" s="41"/>
      <c r="L22" s="47"/>
      <c r="M22" s="36"/>
      <c r="N22" s="37"/>
      <c r="O22" s="112"/>
    </row>
    <row r="23" spans="1:18" s="4" customFormat="1" ht="47.4" customHeight="1" x14ac:dyDescent="0.4">
      <c r="B23" s="15"/>
      <c r="C23" s="774"/>
      <c r="D23" s="774"/>
      <c r="E23" s="774"/>
      <c r="F23" s="774"/>
      <c r="G23" s="774"/>
      <c r="H23" s="774"/>
      <c r="I23" s="774"/>
      <c r="J23" s="21"/>
      <c r="K23" s="41"/>
      <c r="L23" s="775" t="s">
        <v>227</v>
      </c>
      <c r="M23" s="775"/>
      <c r="N23" s="37"/>
      <c r="O23" s="112"/>
    </row>
    <row r="24" spans="1:18" s="4" customFormat="1" ht="16.8" x14ac:dyDescent="0.4">
      <c r="B24" s="15"/>
      <c r="C24" s="599"/>
      <c r="D24" s="599"/>
      <c r="E24" s="599"/>
      <c r="F24" s="599"/>
      <c r="G24" s="599"/>
      <c r="H24" s="599"/>
      <c r="I24" s="599"/>
      <c r="J24" s="21"/>
      <c r="K24" s="46"/>
      <c r="L24" s="58"/>
      <c r="M24" s="58"/>
      <c r="N24" s="59"/>
      <c r="O24" s="112"/>
    </row>
    <row r="25" spans="1:18" s="157" customFormat="1" ht="15" x14ac:dyDescent="0.35">
      <c r="A25" s="21"/>
      <c r="B25" s="28"/>
      <c r="C25" s="29"/>
      <c r="D25" s="29"/>
      <c r="E25" s="29"/>
      <c r="F25" s="29"/>
      <c r="G25" s="29"/>
      <c r="H25" s="29"/>
      <c r="I25" s="29"/>
      <c r="J25" s="29"/>
      <c r="K25" s="490"/>
      <c r="L25" s="490"/>
      <c r="M25" s="490"/>
      <c r="N25" s="438"/>
      <c r="O25" s="60"/>
      <c r="P25" s="21"/>
      <c r="Q25" s="21"/>
      <c r="R25" s="21"/>
    </row>
    <row r="26" spans="1:18" s="157" customFormat="1" ht="15" x14ac:dyDescent="0.35">
      <c r="A26" s="21"/>
      <c r="B26" s="21"/>
      <c r="C26" s="21"/>
      <c r="D26" s="21"/>
      <c r="E26" s="21"/>
      <c r="F26" s="21"/>
      <c r="G26" s="21"/>
      <c r="H26" s="21"/>
      <c r="I26" s="21"/>
      <c r="J26" s="21"/>
      <c r="K26" s="21"/>
      <c r="L26" s="21"/>
      <c r="M26" s="21"/>
      <c r="N26" s="21"/>
      <c r="O26" s="21"/>
      <c r="P26" s="21"/>
      <c r="Q26" s="21"/>
      <c r="R26" s="21"/>
    </row>
    <row r="27" spans="1:18" s="157" customFormat="1" ht="15" x14ac:dyDescent="0.35">
      <c r="A27" s="21"/>
      <c r="B27" s="21"/>
      <c r="C27" s="21"/>
      <c r="D27" s="21"/>
      <c r="E27" s="21"/>
      <c r="F27" s="21"/>
      <c r="G27" s="21"/>
      <c r="H27" s="21"/>
      <c r="I27" s="21"/>
      <c r="J27" s="21"/>
      <c r="K27" s="21"/>
      <c r="L27" s="21"/>
      <c r="M27" s="21"/>
      <c r="N27" s="21"/>
      <c r="O27" s="21"/>
      <c r="P27" s="21"/>
      <c r="Q27" s="21"/>
      <c r="R27" s="21"/>
    </row>
    <row r="28" spans="1:18" s="239" customFormat="1" ht="3.75" customHeight="1" thickBot="1" x14ac:dyDescent="0.4"/>
    <row r="29" spans="1:18" s="171" customFormat="1" ht="15" x14ac:dyDescent="0.35"/>
    <row r="30" spans="1:18" s="171" customFormat="1" ht="15" x14ac:dyDescent="0.35"/>
    <row r="31" spans="1:18" ht="15" x14ac:dyDescent="0.35">
      <c r="A31" s="171"/>
      <c r="B31" s="171"/>
      <c r="C31" s="171"/>
      <c r="D31" s="171"/>
      <c r="E31" s="171"/>
      <c r="F31" s="171"/>
      <c r="G31" s="171"/>
      <c r="H31" s="171"/>
      <c r="I31" s="171"/>
      <c r="J31" s="171"/>
      <c r="K31" s="171"/>
      <c r="L31" s="171"/>
      <c r="M31" s="171"/>
      <c r="N31" s="171"/>
      <c r="O31" s="171"/>
      <c r="P31" s="171"/>
      <c r="Q31" s="171"/>
      <c r="R31" s="171"/>
    </row>
  </sheetData>
  <sheetProtection algorithmName="SHA-512" hashValue="g9Q0pvYeDrK4j3kxMYmID6vptgFPKK1BNAlSVI9KoaJ2zV82BLMPQxuK9iLJgLAxj35jB4Mw2WYBn9LHUoAIkA==" saltValue="1/mSVCl2jyBqs7Cn+M9qXg==" spinCount="100000" sheet="1" objects="1" scenarios="1"/>
  <mergeCells count="4">
    <mergeCell ref="B8:O8"/>
    <mergeCell ref="C23:I23"/>
    <mergeCell ref="L23:M23"/>
    <mergeCell ref="B6:O6"/>
  </mergeCells>
  <conditionalFormatting sqref="A10:H11">
    <cfRule type="cellIs" dxfId="1453" priority="25" operator="equal">
      <formula>"Warning - crop dry matter content higher than feedstock dry matter content"</formula>
    </cfRule>
    <cfRule type="cellIs" dxfId="1452" priority="26" operator="equal">
      <formula>"Insert unit"</formula>
    </cfRule>
    <cfRule type="cellIs" dxfId="1451" priority="27" operator="equal">
      <formula>"Insert data"</formula>
    </cfRule>
  </conditionalFormatting>
  <conditionalFormatting sqref="A1:XFD4 A28:XFD30">
    <cfRule type="cellIs" dxfId="1450" priority="45" operator="equal">
      <formula>"Insert unit"</formula>
    </cfRule>
    <cfRule type="cellIs" dxfId="1449" priority="46" operator="equal">
      <formula>"Insert data"</formula>
    </cfRule>
  </conditionalFormatting>
  <conditionalFormatting sqref="E12:E21">
    <cfRule type="cellIs" dxfId="1448" priority="22" operator="equal">
      <formula>"Warning - crop dry matter content higher than feedstock dry matter content"</formula>
    </cfRule>
    <cfRule type="cellIs" dxfId="1447" priority="23" operator="equal">
      <formula>"Insert unit"</formula>
    </cfRule>
    <cfRule type="cellIs" dxfId="1446" priority="24" operator="equal">
      <formula>"Insert data"</formula>
    </cfRule>
  </conditionalFormatting>
  <conditionalFormatting sqref="I10">
    <cfRule type="cellIs" dxfId="1445" priority="16" operator="equal">
      <formula>"Warning - crop dry matter content higher than feedstock dry matter content"</formula>
    </cfRule>
    <cfRule type="cellIs" dxfId="1444" priority="17" operator="equal">
      <formula>"Insert unit"</formula>
    </cfRule>
    <cfRule type="cellIs" dxfId="1443" priority="18" operator="equal">
      <formula>"Insert data"</formula>
    </cfRule>
  </conditionalFormatting>
  <conditionalFormatting sqref="I11:I21">
    <cfRule type="cellIs" dxfId="1442" priority="13" operator="equal">
      <formula>"Warning - crop dry matter content higher than feedstock dry matter content"</formula>
    </cfRule>
    <cfRule type="cellIs" dxfId="1441" priority="14" operator="equal">
      <formula>"Insert unit"</formula>
    </cfRule>
    <cfRule type="cellIs" dxfId="1440" priority="15" operator="equal">
      <formula>"Insert data"</formula>
    </cfRule>
  </conditionalFormatting>
  <conditionalFormatting sqref="J11">
    <cfRule type="cellIs" dxfId="1439" priority="39" operator="equal">
      <formula>"Warning - crop dry matter content higher than feedstock dry matter content"</formula>
    </cfRule>
    <cfRule type="cellIs" dxfId="1438" priority="41" operator="equal">
      <formula>"Insert data"</formula>
    </cfRule>
  </conditionalFormatting>
  <conditionalFormatting sqref="J11:N11">
    <cfRule type="cellIs" dxfId="1437" priority="34" operator="equal">
      <formula>"Insert unit"</formula>
    </cfRule>
  </conditionalFormatting>
  <conditionalFormatting sqref="K10:N10">
    <cfRule type="cellIs" dxfId="1436" priority="37" operator="equal">
      <formula>"Insert unit"</formula>
    </cfRule>
  </conditionalFormatting>
  <conditionalFormatting sqref="K10:N11">
    <cfRule type="cellIs" dxfId="1435" priority="32" operator="equal">
      <formula>"Insert yield"</formula>
    </cfRule>
    <cfRule type="expression" dxfId="1434" priority="33">
      <formula>$I$25="No"</formula>
    </cfRule>
    <cfRule type="cellIs" dxfId="1433" priority="35" operator="equal">
      <formula>"Insert data"</formula>
    </cfRule>
  </conditionalFormatting>
  <conditionalFormatting sqref="L12:M21">
    <cfRule type="cellIs" dxfId="1432" priority="11" operator="equal">
      <formula>"Insert unit"</formula>
    </cfRule>
    <cfRule type="cellIs" dxfId="1431" priority="12" operator="equal">
      <formula>"Insert data"</formula>
    </cfRule>
  </conditionalFormatting>
  <conditionalFormatting sqref="O10:XFD24 A12:D21 F12:H21 A22:I22 A23:C24">
    <cfRule type="cellIs" dxfId="1430" priority="42" operator="equal">
      <formula>"Warning - crop dry matter content higher than feedstock dry matter content"</formula>
    </cfRule>
    <cfRule type="cellIs" dxfId="1429" priority="43" operator="equal">
      <formula>"Insert unit"</formula>
    </cfRule>
    <cfRule type="cellIs" dxfId="1428" priority="44" operator="equal">
      <formula>"Insert data"</formula>
    </cfRule>
  </conditionalFormatting>
  <pageMargins left="0.7" right="0.7" top="0.75" bottom="0.75" header="0.3" footer="0.3"/>
  <pageSetup orientation="portrait" r:id="rId1"/>
  <headerFooter>
    <oddHeader>&amp;C&amp;"Calibri"&amp;10&amp;K000000 OFFICIAL&amp;1#_x000D_</oddHeader>
    <oddFooter>&amp;C_x000D_&amp;1#&amp;"Calibri"&amp;10&amp;K000000 OFFICIAL</oddFooter>
  </headerFooter>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7BAA8-300F-4D0F-A984-B4EF3A38F23A}">
  <sheetPr codeName="Sheet13"/>
  <dimension ref="A1:Q25"/>
  <sheetViews>
    <sheetView zoomScale="85" zoomScaleNormal="85" workbookViewId="0">
      <selection activeCell="I13" sqref="I13"/>
    </sheetView>
  </sheetViews>
  <sheetFormatPr defaultColWidth="8.6640625" defaultRowHeight="14.4" x14ac:dyDescent="0.3"/>
  <cols>
    <col min="1" max="1" width="5.6640625" style="198" customWidth="1"/>
    <col min="2" max="2" width="2.5546875" style="198" customWidth="1"/>
    <col min="3" max="3" width="41.5546875" style="198" customWidth="1"/>
    <col min="4" max="4" width="10.109375" style="198" customWidth="1"/>
    <col min="5" max="6" width="17.33203125" style="198" customWidth="1"/>
    <col min="7" max="7" width="11.109375" style="198" customWidth="1"/>
    <col min="8" max="8" width="17.44140625" style="198" customWidth="1"/>
    <col min="9" max="9" width="11" style="198" customWidth="1"/>
    <col min="10" max="10" width="3.109375" style="198" customWidth="1"/>
    <col min="11" max="11" width="37.44140625" style="198" bestFit="1" customWidth="1"/>
    <col min="12" max="12" width="16.88671875" style="198" bestFit="1" customWidth="1"/>
    <col min="13" max="14" width="8.6640625" style="198"/>
    <col min="15" max="15" width="10.88671875" style="198" bestFit="1" customWidth="1"/>
    <col min="16" max="16384" width="8.6640625" style="198"/>
  </cols>
  <sheetData>
    <row r="1" spans="1:17" s="171" customFormat="1" ht="24.75" customHeight="1" x14ac:dyDescent="0.35">
      <c r="A1" s="159"/>
      <c r="B1" s="159"/>
      <c r="C1" s="159"/>
    </row>
    <row r="2" spans="1:17" s="171" customFormat="1" ht="24.75" customHeight="1" x14ac:dyDescent="0.35"/>
    <row r="3" spans="1:17" s="171" customFormat="1" ht="24.75" customHeight="1" x14ac:dyDescent="0.35"/>
    <row r="4" spans="1:17" s="238" customFormat="1" ht="24.75" customHeight="1" x14ac:dyDescent="0.35"/>
    <row r="5" spans="1:17" s="157" customFormat="1" ht="15" x14ac:dyDescent="0.35">
      <c r="A5" s="21"/>
      <c r="B5" s="21"/>
      <c r="C5" s="21"/>
      <c r="D5" s="21"/>
      <c r="E5" s="21"/>
      <c r="F5" s="21"/>
      <c r="G5" s="21"/>
      <c r="H5" s="21"/>
      <c r="I5" s="21"/>
      <c r="J5" s="21"/>
      <c r="K5" s="21"/>
      <c r="L5" s="21"/>
      <c r="M5" s="21"/>
      <c r="N5" s="21"/>
      <c r="O5" s="21"/>
      <c r="P5" s="21"/>
      <c r="Q5" s="21"/>
    </row>
    <row r="6" spans="1:17" s="157" customFormat="1" ht="69" customHeight="1" x14ac:dyDescent="0.4">
      <c r="A6" s="21"/>
      <c r="B6" s="728" t="s">
        <v>228</v>
      </c>
      <c r="C6" s="728"/>
      <c r="D6" s="728"/>
      <c r="E6" s="728"/>
      <c r="F6" s="728"/>
      <c r="G6" s="728"/>
      <c r="H6" s="728"/>
      <c r="I6" s="728"/>
      <c r="J6" s="728"/>
      <c r="K6" s="728"/>
      <c r="L6" s="728"/>
      <c r="M6" s="728"/>
      <c r="N6" s="728"/>
      <c r="O6" s="21"/>
      <c r="P6" s="21"/>
      <c r="Q6" s="21"/>
    </row>
    <row r="7" spans="1:17" s="157" customFormat="1" ht="15" x14ac:dyDescent="0.35">
      <c r="A7" s="21"/>
      <c r="B7" s="21"/>
      <c r="C7" s="21"/>
      <c r="D7" s="21"/>
      <c r="E7" s="21"/>
      <c r="F7" s="21"/>
      <c r="G7" s="21"/>
      <c r="H7" s="21"/>
      <c r="I7" s="21"/>
      <c r="J7" s="21"/>
      <c r="K7" s="21"/>
      <c r="L7" s="21"/>
      <c r="M7" s="21"/>
      <c r="N7" s="21"/>
      <c r="O7" s="21"/>
      <c r="P7" s="21"/>
      <c r="Q7" s="21"/>
    </row>
    <row r="8" spans="1:17" s="157" customFormat="1" ht="19.2" x14ac:dyDescent="0.45">
      <c r="A8" s="21"/>
      <c r="B8" s="743" t="s">
        <v>229</v>
      </c>
      <c r="C8" s="744"/>
      <c r="D8" s="744"/>
      <c r="E8" s="744"/>
      <c r="F8" s="744"/>
      <c r="G8" s="744"/>
      <c r="H8" s="744"/>
      <c r="I8" s="744"/>
      <c r="J8" s="744"/>
      <c r="K8" s="744"/>
      <c r="L8" s="744"/>
      <c r="M8" s="744"/>
      <c r="N8" s="745"/>
      <c r="O8" s="21"/>
      <c r="P8" s="21"/>
      <c r="Q8" s="21"/>
    </row>
    <row r="9" spans="1:17" s="157" customFormat="1" ht="15" x14ac:dyDescent="0.35">
      <c r="A9" s="21"/>
      <c r="B9" s="20"/>
      <c r="C9" s="21"/>
      <c r="D9" s="21"/>
      <c r="E9" s="21"/>
      <c r="F9" s="21"/>
      <c r="G9" s="21"/>
      <c r="H9" s="21"/>
      <c r="I9" s="21"/>
      <c r="J9" s="491"/>
      <c r="K9" s="491"/>
      <c r="L9" s="491"/>
      <c r="N9" s="35"/>
      <c r="O9" s="21"/>
      <c r="P9" s="21"/>
      <c r="Q9" s="21"/>
    </row>
    <row r="10" spans="1:17" s="4" customFormat="1" ht="16.8" x14ac:dyDescent="0.4">
      <c r="B10" s="15"/>
      <c r="C10" s="21"/>
      <c r="D10" s="776"/>
      <c r="E10" s="776"/>
      <c r="F10" s="776"/>
      <c r="G10" s="776"/>
      <c r="H10" s="777"/>
      <c r="I10" s="21"/>
      <c r="J10" s="303" t="s">
        <v>122</v>
      </c>
      <c r="K10" s="47"/>
      <c r="L10" s="47"/>
      <c r="M10" s="45"/>
      <c r="N10" s="112"/>
    </row>
    <row r="11" spans="1:17" s="4" customFormat="1" ht="30.6" x14ac:dyDescent="0.4">
      <c r="B11" s="15"/>
      <c r="C11" s="492" t="s">
        <v>87</v>
      </c>
      <c r="D11" s="528" t="s">
        <v>230</v>
      </c>
      <c r="E11" s="553" t="s">
        <v>231</v>
      </c>
      <c r="F11" s="587" t="s">
        <v>232</v>
      </c>
      <c r="G11" s="528" t="s">
        <v>233</v>
      </c>
      <c r="H11" s="528" t="s">
        <v>234</v>
      </c>
      <c r="I11" s="99"/>
      <c r="J11" s="41"/>
      <c r="K11" s="36"/>
      <c r="L11" s="164" t="s">
        <v>124</v>
      </c>
      <c r="M11" s="37"/>
      <c r="N11" s="112"/>
    </row>
    <row r="12" spans="1:17" s="4" customFormat="1" ht="16.8" x14ac:dyDescent="0.4">
      <c r="B12" s="15"/>
      <c r="C12" s="493" t="str">
        <f>IF(Feedstocks!C70&gt;0, Feedstocks!C70, "")</f>
        <v/>
      </c>
      <c r="D12" s="493" t="str">
        <f>IF(Feedstocks!D70&gt;0, Feedstocks!D70, "")</f>
        <v/>
      </c>
      <c r="E12" s="494" t="str">
        <f>IF(Feedstocks!E70&gt;0, Feedstocks!E70, "")</f>
        <v/>
      </c>
      <c r="F12" s="493" t="str">
        <f>IFERROR(Manure_credits[[#This Row],[Amount of manure (t)]]*Manure_credits[[#This Row],[Manure dry matter content (%)]], "")</f>
        <v/>
      </c>
      <c r="G12" s="493" t="str">
        <f>IFERROR((Manure_credits[[#This Row],[Equivalent amount of dry manure (t)]]*1000*Manure_LHV), "")</f>
        <v/>
      </c>
      <c r="H12" s="437" t="str">
        <f>IFERROR(Manure_credits[[#This Row],[Energy (MJ)]]*Manure_credit_EF_value, "")</f>
        <v/>
      </c>
      <c r="I12" s="21"/>
      <c r="J12" s="41"/>
      <c r="K12" s="448" t="str">
        <f>Manure_credits[[#This Row],[Consignment name]]</f>
        <v/>
      </c>
      <c r="L12" s="245">
        <f>IFERROR(Manure_credits[[#This Row],[Emissions (gCO2eq)]]/('Digestion &amp; outputs'!G69*'Digestion &amp; outputs'!D69), 0)</f>
        <v>0</v>
      </c>
      <c r="M12" s="37"/>
      <c r="N12" s="112"/>
    </row>
    <row r="13" spans="1:17" s="4" customFormat="1" ht="16.8" x14ac:dyDescent="0.4">
      <c r="B13" s="15"/>
      <c r="C13" s="493" t="str">
        <f>IF(Feedstocks!C71&gt;0, Feedstocks!C71, "")</f>
        <v/>
      </c>
      <c r="D13" s="493" t="str">
        <f>IF(Feedstocks!D71&gt;0, Feedstocks!D71, "")</f>
        <v/>
      </c>
      <c r="E13" s="494" t="str">
        <f>IF(Feedstocks!E71&gt;0, Feedstocks!E71, "")</f>
        <v/>
      </c>
      <c r="F13" s="493" t="str">
        <f>IFERROR(Manure_credits[[#This Row],[Amount of manure (t)]]*Manure_credits[[#This Row],[Manure dry matter content (%)]], "")</f>
        <v/>
      </c>
      <c r="G13" s="493" t="str">
        <f>IFERROR((Manure_credits[[#This Row],[Equivalent amount of dry manure (t)]]*1000*Manure_LHV), "")</f>
        <v/>
      </c>
      <c r="H13" s="437" t="str">
        <f>IFERROR(Manure_credits[[#This Row],[Energy (MJ)]]*Manure_credit_EF_value, "")</f>
        <v/>
      </c>
      <c r="I13" s="21"/>
      <c r="J13" s="41"/>
      <c r="K13" s="448" t="str">
        <f>Manure_credits[[#This Row],[Consignment name]]</f>
        <v/>
      </c>
      <c r="L13" s="245">
        <f>IFERROR(Manure_credits[[#This Row],[Emissions (gCO2eq)]]/('Digestion &amp; outputs'!G70*'Digestion &amp; outputs'!D70), 0)</f>
        <v>0</v>
      </c>
      <c r="M13" s="37"/>
      <c r="N13" s="112"/>
    </row>
    <row r="14" spans="1:17" s="4" customFormat="1" ht="16.8" x14ac:dyDescent="0.4">
      <c r="B14" s="15"/>
      <c r="C14" s="493" t="str">
        <f>IF(Feedstocks!C72&gt;0, Feedstocks!C72, "")</f>
        <v/>
      </c>
      <c r="D14" s="493" t="str">
        <f>IF(Feedstocks!D72&gt;0, Feedstocks!D72, "")</f>
        <v/>
      </c>
      <c r="E14" s="494" t="str">
        <f>IF(Feedstocks!E72&gt;0, Feedstocks!E72, "")</f>
        <v/>
      </c>
      <c r="F14" s="493" t="str">
        <f>IFERROR(Manure_credits[[#This Row],[Amount of manure (t)]]*Manure_credits[[#This Row],[Manure dry matter content (%)]], "")</f>
        <v/>
      </c>
      <c r="G14" s="493" t="str">
        <f>IFERROR((Manure_credits[[#This Row],[Equivalent amount of dry manure (t)]]*1000*Manure_LHV), "")</f>
        <v/>
      </c>
      <c r="H14" s="437" t="str">
        <f>IFERROR(Manure_credits[[#This Row],[Energy (MJ)]]*Manure_credit_EF_value, "")</f>
        <v/>
      </c>
      <c r="I14" s="21"/>
      <c r="J14" s="41"/>
      <c r="K14" s="448" t="str">
        <f>Manure_credits[[#This Row],[Consignment name]]</f>
        <v/>
      </c>
      <c r="L14" s="245">
        <f>IFERROR(Manure_credits[[#This Row],[Emissions (gCO2eq)]]/('Digestion &amp; outputs'!G71*'Digestion &amp; outputs'!D71), 0)</f>
        <v>0</v>
      </c>
      <c r="M14" s="37"/>
      <c r="N14" s="112"/>
    </row>
    <row r="15" spans="1:17" s="4" customFormat="1" ht="16.8" x14ac:dyDescent="0.4">
      <c r="B15" s="15"/>
      <c r="C15" s="495" t="str">
        <f>IF(Feedstocks!C73&gt;0, Feedstocks!C73, "")</f>
        <v/>
      </c>
      <c r="D15" s="488" t="str">
        <f>IF(Feedstocks!D73&gt;0, Feedstocks!D73, "")</f>
        <v/>
      </c>
      <c r="E15" s="496" t="str">
        <f>IF(Feedstocks!E73&gt;0, Feedstocks!E73, "")</f>
        <v/>
      </c>
      <c r="F15" s="493" t="str">
        <f>IFERROR(Manure_credits[[#This Row],[Amount of manure (t)]]*Manure_credits[[#This Row],[Manure dry matter content (%)]], "")</f>
        <v/>
      </c>
      <c r="G15" s="493" t="str">
        <f>IFERROR((Manure_credits[[#This Row],[Equivalent amount of dry manure (t)]]*1000*Manure_LHV), "")</f>
        <v/>
      </c>
      <c r="H15" s="437" t="str">
        <f>IFERROR(Manure_credits[[#This Row],[Energy (MJ)]]*Manure_credit_EF_value, "")</f>
        <v/>
      </c>
      <c r="I15" s="21"/>
      <c r="J15" s="41"/>
      <c r="K15" s="448" t="str">
        <f>Manure_credits[[#This Row],[Consignment name]]</f>
        <v/>
      </c>
      <c r="L15" s="245">
        <f>IFERROR(Manure_credits[[#This Row],[Emissions (gCO2eq)]]/('Digestion &amp; outputs'!G72*'Digestion &amp; outputs'!D72), 0)</f>
        <v>0</v>
      </c>
      <c r="M15" s="37"/>
      <c r="N15" s="112"/>
    </row>
    <row r="16" spans="1:17" s="4" customFormat="1" ht="16.8" x14ac:dyDescent="0.4">
      <c r="B16" s="15"/>
      <c r="C16" s="497" t="str">
        <f>IF(Feedstocks!C74&gt;0, Feedstocks!C74, "")</f>
        <v/>
      </c>
      <c r="D16" s="485" t="str">
        <f>IF(Feedstocks!D74&gt;0, Feedstocks!D74, "")</f>
        <v/>
      </c>
      <c r="E16" s="498" t="str">
        <f>IF(Feedstocks!E74&gt;0, Feedstocks!E74, "")</f>
        <v/>
      </c>
      <c r="F16" s="493" t="str">
        <f>IFERROR(Manure_credits[[#This Row],[Amount of manure (t)]]*Manure_credits[[#This Row],[Manure dry matter content (%)]], "")</f>
        <v/>
      </c>
      <c r="G16" s="493" t="str">
        <f>IFERROR((Manure_credits[[#This Row],[Equivalent amount of dry manure (t)]]*1000*Manure_LHV), "")</f>
        <v/>
      </c>
      <c r="H16" s="486" t="str">
        <f>IFERROR(Manure_credits[[#This Row],[Energy (MJ)]]*Manure_credit_EF_value, "")</f>
        <v/>
      </c>
      <c r="I16" s="21"/>
      <c r="J16" s="41"/>
      <c r="K16" s="448" t="str">
        <f>Manure_credits[[#This Row],[Consignment name]]</f>
        <v/>
      </c>
      <c r="L16" s="245">
        <f>IFERROR(Manure_credits[[#This Row],[Emissions (gCO2eq)]]/('Digestion &amp; outputs'!G73*'Digestion &amp; outputs'!D73), 0)</f>
        <v>0</v>
      </c>
      <c r="M16" s="37"/>
      <c r="N16" s="112"/>
    </row>
    <row r="17" spans="1:17" s="4" customFormat="1" ht="16.8" x14ac:dyDescent="0.4">
      <c r="B17" s="15"/>
      <c r="C17" s="489"/>
      <c r="D17" s="489"/>
      <c r="E17" s="499"/>
      <c r="F17" s="499"/>
      <c r="G17" s="500"/>
      <c r="H17" s="82"/>
      <c r="I17" s="21"/>
      <c r="J17" s="46"/>
      <c r="K17" s="58"/>
      <c r="L17" s="58"/>
      <c r="M17" s="59"/>
      <c r="N17" s="112"/>
    </row>
    <row r="18" spans="1:17" s="157" customFormat="1" ht="15" x14ac:dyDescent="0.35">
      <c r="A18" s="21"/>
      <c r="B18" s="28"/>
      <c r="C18" s="29"/>
      <c r="D18" s="29"/>
      <c r="E18" s="29"/>
      <c r="F18" s="29"/>
      <c r="G18" s="29"/>
      <c r="H18" s="29"/>
      <c r="I18" s="29"/>
      <c r="J18" s="490"/>
      <c r="K18" s="490"/>
      <c r="L18" s="490"/>
      <c r="M18" s="438"/>
      <c r="N18" s="60"/>
      <c r="O18" s="21"/>
      <c r="P18" s="21"/>
      <c r="Q18" s="21"/>
    </row>
    <row r="19" spans="1:17" s="157" customFormat="1" ht="15" x14ac:dyDescent="0.35">
      <c r="A19" s="21"/>
      <c r="B19" s="21"/>
      <c r="C19" s="21"/>
      <c r="D19" s="21"/>
      <c r="E19" s="21"/>
      <c r="F19" s="21"/>
      <c r="G19" s="21"/>
      <c r="H19" s="21"/>
      <c r="I19" s="21"/>
      <c r="J19" s="21"/>
      <c r="K19" s="21"/>
      <c r="L19" s="21"/>
      <c r="M19" s="21"/>
      <c r="N19" s="21"/>
      <c r="O19" s="21"/>
      <c r="P19" s="21"/>
      <c r="Q19" s="21"/>
    </row>
    <row r="20" spans="1:17" s="157" customFormat="1" ht="15" x14ac:dyDescent="0.35">
      <c r="A20" s="21"/>
      <c r="B20" s="21"/>
      <c r="C20" s="21" t="s">
        <v>235</v>
      </c>
      <c r="D20" s="21"/>
      <c r="E20" s="21"/>
      <c r="F20" s="21"/>
      <c r="G20" s="21"/>
      <c r="H20" s="21"/>
      <c r="I20" s="21"/>
      <c r="J20" s="21"/>
      <c r="K20" s="21"/>
      <c r="L20" s="21"/>
      <c r="M20" s="21"/>
      <c r="N20" s="21"/>
      <c r="O20" s="21"/>
      <c r="P20" s="21"/>
      <c r="Q20" s="21"/>
    </row>
    <row r="21" spans="1:17" s="157" customFormat="1" ht="15" x14ac:dyDescent="0.35">
      <c r="A21" s="21"/>
      <c r="B21" s="21"/>
      <c r="C21" s="21"/>
      <c r="D21" s="21"/>
      <c r="E21" s="21"/>
      <c r="F21" s="21"/>
      <c r="G21" s="21"/>
      <c r="H21" s="21"/>
      <c r="I21" s="21"/>
      <c r="J21" s="21"/>
      <c r="K21" s="21"/>
      <c r="L21" s="21"/>
      <c r="M21" s="21"/>
      <c r="N21" s="21"/>
      <c r="O21" s="21"/>
      <c r="P21" s="21"/>
      <c r="Q21" s="21"/>
    </row>
    <row r="22" spans="1:17" s="239" customFormat="1" ht="3.75" customHeight="1" thickBot="1" x14ac:dyDescent="0.4"/>
    <row r="23" spans="1:17" s="171" customFormat="1" ht="15" x14ac:dyDescent="0.35"/>
    <row r="24" spans="1:17" s="171" customFormat="1" ht="15" x14ac:dyDescent="0.35"/>
    <row r="25" spans="1:17" ht="15" x14ac:dyDescent="0.35">
      <c r="A25" s="171"/>
      <c r="B25" s="171"/>
      <c r="C25" s="171"/>
      <c r="D25" s="171"/>
      <c r="E25" s="171"/>
      <c r="F25" s="171"/>
      <c r="G25" s="171"/>
      <c r="H25" s="171"/>
      <c r="I25" s="171"/>
      <c r="J25" s="171"/>
      <c r="K25" s="171"/>
      <c r="L25" s="171"/>
      <c r="M25" s="171"/>
      <c r="N25" s="171"/>
      <c r="O25" s="171"/>
      <c r="P25" s="171"/>
      <c r="Q25" s="171"/>
    </row>
  </sheetData>
  <sheetProtection algorithmName="SHA-512" hashValue="ymFEfPeFFEFZUaXOaWxR29tg6WL96oYcdr4xRzzKYU91jO32XnTPuQIUnOavAmKjIcf9knQ8CQwiD47bR8aKZg==" saltValue="Bzmy+fKcYMgaNFnHZWEf9A==" spinCount="100000" sheet="1" objects="1" scenarios="1"/>
  <mergeCells count="3">
    <mergeCell ref="D10:H10"/>
    <mergeCell ref="B8:N8"/>
    <mergeCell ref="B6:N6"/>
  </mergeCells>
  <conditionalFormatting sqref="A10:C10">
    <cfRule type="cellIs" dxfId="1427" priority="90" operator="equal">
      <formula>"Warning - crop dry matter content higher than feedstock dry matter content"</formula>
    </cfRule>
    <cfRule type="cellIs" dxfId="1426" priority="91" operator="equal">
      <formula>"Insert unit"</formula>
    </cfRule>
    <cfRule type="cellIs" dxfId="1425" priority="92" operator="equal">
      <formula>"Insert data"</formula>
    </cfRule>
  </conditionalFormatting>
  <conditionalFormatting sqref="A12:H17">
    <cfRule type="cellIs" dxfId="1424" priority="60" operator="equal">
      <formula>"Warning - crop dry matter content higher than feedstock dry matter content"</formula>
    </cfRule>
    <cfRule type="cellIs" dxfId="1423" priority="61" operator="equal">
      <formula>"Insert unit"</formula>
    </cfRule>
    <cfRule type="cellIs" dxfId="1422" priority="62" operator="equal">
      <formula>"Insert data"</formula>
    </cfRule>
  </conditionalFormatting>
  <conditionalFormatting sqref="A1:XFD4 A22:XFD24">
    <cfRule type="cellIs" dxfId="1421" priority="138" operator="equal">
      <formula>"Insert unit"</formula>
    </cfRule>
    <cfRule type="cellIs" dxfId="1420" priority="139" operator="equal">
      <formula>"Insert data"</formula>
    </cfRule>
  </conditionalFormatting>
  <conditionalFormatting sqref="G11">
    <cfRule type="cellIs" dxfId="1419" priority="93" operator="equal">
      <formula>"Warning - crop dry matter content higher than feedstock dry matter content"</formula>
    </cfRule>
    <cfRule type="cellIs" dxfId="1418" priority="94" operator="equal">
      <formula>"Insert unit"</formula>
    </cfRule>
    <cfRule type="cellIs" dxfId="1417" priority="95" operator="equal">
      <formula>"Insert data"</formula>
    </cfRule>
  </conditionalFormatting>
  <conditionalFormatting sqref="H11">
    <cfRule type="cellIs" dxfId="1416" priority="24" operator="equal">
      <formula>"Warning - crop dry matter content higher than feedstock dry matter content"</formula>
    </cfRule>
    <cfRule type="cellIs" dxfId="1415" priority="25" operator="equal">
      <formula>"Insert unit"</formula>
    </cfRule>
    <cfRule type="cellIs" dxfId="1414" priority="26" operator="equal">
      <formula>"Insert data"</formula>
    </cfRule>
  </conditionalFormatting>
  <conditionalFormatting sqref="I11">
    <cfRule type="cellIs" dxfId="1413" priority="75" operator="equal">
      <formula>"Warning - crop dry matter content higher than feedstock dry matter content"</formula>
    </cfRule>
    <cfRule type="cellIs" dxfId="1412" priority="77" operator="equal">
      <formula>"Insert data"</formula>
    </cfRule>
  </conditionalFormatting>
  <conditionalFormatting sqref="I11:M11">
    <cfRule type="cellIs" dxfId="1411" priority="15" operator="equal">
      <formula>"Insert unit"</formula>
    </cfRule>
  </conditionalFormatting>
  <conditionalFormatting sqref="J10:M10">
    <cfRule type="cellIs" dxfId="1410" priority="18" operator="equal">
      <formula>"Insert unit"</formula>
    </cfRule>
  </conditionalFormatting>
  <conditionalFormatting sqref="J10:M11">
    <cfRule type="cellIs" dxfId="1409" priority="13" operator="equal">
      <formula>"Insert yield"</formula>
    </cfRule>
    <cfRule type="expression" dxfId="1408" priority="14">
      <formula>$D$18="No"</formula>
    </cfRule>
    <cfRule type="cellIs" dxfId="1407" priority="16" operator="equal">
      <formula>"Insert data"</formula>
    </cfRule>
  </conditionalFormatting>
  <conditionalFormatting sqref="K12:L16">
    <cfRule type="cellIs" dxfId="1406" priority="9" operator="equal">
      <formula>"Insert unit"</formula>
    </cfRule>
    <cfRule type="cellIs" dxfId="1405" priority="10" operator="equal">
      <formula>"Insert data"</formula>
    </cfRule>
  </conditionalFormatting>
  <conditionalFormatting sqref="N10:XFD17 A11:G11">
    <cfRule type="cellIs" dxfId="1404" priority="99" operator="equal">
      <formula>"Warning - crop dry matter content higher than feedstock dry matter content"</formula>
    </cfRule>
    <cfRule type="cellIs" dxfId="1403" priority="100" operator="equal">
      <formula>"Insert unit"</formula>
    </cfRule>
    <cfRule type="cellIs" dxfId="1402" priority="101" operator="equal">
      <formula>"Insert data"</formula>
    </cfRule>
  </conditionalFormatting>
  <pageMargins left="0.7" right="0.7" top="0.75" bottom="0.75" header="0.3" footer="0.3"/>
  <headerFooter>
    <oddHeader>&amp;C&amp;"Calibri"&amp;10&amp;K000000 OFFICIAL&amp;1#_x000D_</oddHeader>
    <oddFooter>&amp;C_x000D_&amp;1#&amp;"Calibri"&amp;10&amp;K000000 OFFICIAL</oddFooter>
  </headerFooter>
  <drawing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1:L2760"/>
  <sheetViews>
    <sheetView zoomScale="85" zoomScaleNormal="85" workbookViewId="0">
      <selection activeCell="B6" sqref="B6:L6"/>
    </sheetView>
  </sheetViews>
  <sheetFormatPr defaultColWidth="9.109375" defaultRowHeight="16.8" outlineLevelRow="1" x14ac:dyDescent="0.4"/>
  <cols>
    <col min="1" max="1" width="3.5546875" style="158" customWidth="1"/>
    <col min="2" max="2" width="2.6640625" style="158" customWidth="1"/>
    <col min="3" max="3" width="32.44140625" style="158" customWidth="1"/>
    <col min="4" max="4" width="30" style="158" customWidth="1"/>
    <col min="5" max="5" width="22.44140625" style="158" customWidth="1"/>
    <col min="6" max="6" width="22" style="158" customWidth="1"/>
    <col min="7" max="7" width="5.6640625" style="158" customWidth="1"/>
    <col min="8" max="8" width="2.6640625" style="158" customWidth="1"/>
    <col min="9" max="9" width="21.6640625" style="158" customWidth="1"/>
    <col min="10" max="10" width="20.44140625" style="158" customWidth="1"/>
    <col min="11" max="11" width="2.5546875" style="158" customWidth="1"/>
    <col min="12" max="12" width="2.6640625" style="158" customWidth="1"/>
    <col min="13" max="16384" width="9.109375" style="158"/>
  </cols>
  <sheetData>
    <row r="1" spans="2:12" ht="24.75" customHeight="1" x14ac:dyDescent="0.4"/>
    <row r="2" spans="2:12" ht="24.75" customHeight="1" x14ac:dyDescent="0.4"/>
    <row r="3" spans="2:12" ht="24.75" customHeight="1" x14ac:dyDescent="0.4"/>
    <row r="4" spans="2:12" s="194" customFormat="1" ht="24.75" customHeight="1" x14ac:dyDescent="0.4"/>
    <row r="5" spans="2:12" s="4" customFormat="1" x14ac:dyDescent="0.4"/>
    <row r="6" spans="2:12" s="4" customFormat="1" ht="54" customHeight="1" x14ac:dyDescent="0.4">
      <c r="B6" s="728" t="s">
        <v>236</v>
      </c>
      <c r="C6" s="728"/>
      <c r="D6" s="728"/>
      <c r="E6" s="728"/>
      <c r="F6" s="728"/>
      <c r="G6" s="728"/>
      <c r="H6" s="728"/>
      <c r="I6" s="728"/>
      <c r="J6" s="728"/>
      <c r="K6" s="728"/>
      <c r="L6" s="728"/>
    </row>
    <row r="7" spans="2:12" s="4" customFormat="1" x14ac:dyDescent="0.4"/>
    <row r="8" spans="2:12" s="4" customFormat="1" ht="19.2" x14ac:dyDescent="0.45">
      <c r="B8" s="754" t="str">
        <f>"Transport to Plant"&amp;" - "&amp;Feedstocks!C11</f>
        <v xml:space="preserve">Transport to Plant - </v>
      </c>
      <c r="C8" s="755"/>
      <c r="D8" s="755"/>
      <c r="E8" s="755"/>
      <c r="F8" s="755"/>
      <c r="G8" s="755"/>
      <c r="H8" s="755"/>
      <c r="I8" s="755"/>
      <c r="J8" s="755"/>
      <c r="K8" s="755"/>
      <c r="L8" s="756"/>
    </row>
    <row r="9" spans="2:12" s="4" customFormat="1" outlineLevel="1" x14ac:dyDescent="0.4">
      <c r="B9" s="17"/>
      <c r="C9" s="19"/>
      <c r="D9" s="522"/>
      <c r="E9" s="19"/>
      <c r="F9" s="19"/>
      <c r="G9" s="19"/>
      <c r="H9" s="19"/>
      <c r="I9" s="19"/>
      <c r="J9" s="19"/>
      <c r="K9" s="19"/>
      <c r="L9" s="50"/>
    </row>
    <row r="10" spans="2:12" s="4" customFormat="1" outlineLevel="1" x14ac:dyDescent="0.4">
      <c r="B10" s="20"/>
      <c r="C10" s="1"/>
      <c r="D10" s="760"/>
      <c r="E10" s="761"/>
      <c r="F10" s="762"/>
      <c r="G10" s="54"/>
      <c r="H10" s="303" t="s">
        <v>122</v>
      </c>
      <c r="I10" s="47"/>
      <c r="J10" s="47"/>
      <c r="K10" s="61"/>
      <c r="L10" s="35"/>
    </row>
    <row r="11" spans="2:12" s="4" customFormat="1" outlineLevel="1" x14ac:dyDescent="0.4">
      <c r="B11" s="20"/>
      <c r="C11" s="175" t="s">
        <v>123</v>
      </c>
      <c r="D11" s="753" t="str">
        <f>IF(Feedstocks!$H$11&gt;0,Feedstocks!$H$11,"")</f>
        <v/>
      </c>
      <c r="E11" s="753"/>
      <c r="F11" s="753"/>
      <c r="G11" s="76"/>
      <c r="H11" s="43"/>
      <c r="I11" s="36"/>
      <c r="J11" s="164" t="s">
        <v>124</v>
      </c>
      <c r="K11" s="44"/>
      <c r="L11" s="35"/>
    </row>
    <row r="12" spans="2:12" s="12" customFormat="1" ht="15" outlineLevel="1" x14ac:dyDescent="0.35">
      <c r="B12" s="20"/>
      <c r="C12" s="1"/>
      <c r="D12" s="1"/>
      <c r="E12" s="1"/>
      <c r="F12" s="1"/>
      <c r="G12" s="1"/>
      <c r="H12" s="43"/>
      <c r="I12" s="164" t="s">
        <v>125</v>
      </c>
      <c r="J12" s="52" t="str">
        <f>IFERROR((J15/(('Digestion &amp; outputs'!$G$16/1000)))*'Digestion &amp; outputs'!$K$23,"")</f>
        <v/>
      </c>
      <c r="K12" s="44"/>
      <c r="L12" s="54"/>
    </row>
    <row r="13" spans="2:12" s="4" customFormat="1" outlineLevel="1" x14ac:dyDescent="0.4">
      <c r="B13" s="20"/>
      <c r="C13" s="164" t="s">
        <v>163</v>
      </c>
      <c r="D13" s="134" t="s">
        <v>164</v>
      </c>
      <c r="E13" s="1"/>
      <c r="F13" s="1"/>
      <c r="G13" s="1"/>
      <c r="H13" s="41"/>
      <c r="I13" s="34"/>
      <c r="J13" s="34"/>
      <c r="K13" s="37"/>
      <c r="L13" s="35"/>
    </row>
    <row r="14" spans="2:12" s="4" customFormat="1" outlineLevel="1" x14ac:dyDescent="0.4">
      <c r="B14" s="20"/>
      <c r="C14" s="164" t="s">
        <v>165</v>
      </c>
      <c r="D14" s="143"/>
      <c r="E14" s="1"/>
      <c r="F14" s="1"/>
      <c r="G14" s="1"/>
      <c r="H14" s="41"/>
      <c r="I14" s="36"/>
      <c r="J14" s="164" t="s">
        <v>141</v>
      </c>
      <c r="K14" s="37"/>
      <c r="L14" s="35"/>
    </row>
    <row r="15" spans="2:12" s="4" customFormat="1" outlineLevel="1" x14ac:dyDescent="0.4">
      <c r="B15" s="20"/>
      <c r="C15" s="164" t="s">
        <v>160</v>
      </c>
      <c r="D15" s="134" t="s">
        <v>166</v>
      </c>
      <c r="E15" s="1"/>
      <c r="F15" s="1"/>
      <c r="G15" s="1"/>
      <c r="H15" s="42"/>
      <c r="I15" s="164" t="s">
        <v>167</v>
      </c>
      <c r="J15" s="52">
        <f>IFERROR(J20,"Insert data")</f>
        <v>0</v>
      </c>
      <c r="K15" s="62"/>
      <c r="L15" s="35"/>
    </row>
    <row r="16" spans="2:12" s="4" customFormat="1" outlineLevel="1" x14ac:dyDescent="0.4">
      <c r="B16" s="20"/>
      <c r="C16" s="21"/>
      <c r="D16" s="21"/>
      <c r="E16" s="21"/>
      <c r="F16" s="21"/>
      <c r="G16" s="21"/>
      <c r="H16" s="46"/>
      <c r="I16" s="58"/>
      <c r="J16" s="58"/>
      <c r="K16" s="59"/>
      <c r="L16" s="35"/>
    </row>
    <row r="17" spans="2:12" s="4" customFormat="1" outlineLevel="1" x14ac:dyDescent="0.4">
      <c r="B17" s="20"/>
      <c r="C17" s="25" t="s">
        <v>168</v>
      </c>
      <c r="D17" s="21"/>
      <c r="E17" s="21"/>
      <c r="F17" s="21"/>
      <c r="G17" s="21"/>
      <c r="H17" s="21"/>
      <c r="I17" s="21"/>
      <c r="J17" s="21"/>
      <c r="K17" s="21"/>
      <c r="L17" s="35"/>
    </row>
    <row r="18" spans="2:12" s="14" customFormat="1" ht="30.6" outlineLevel="1" x14ac:dyDescent="0.4">
      <c r="B18" s="23"/>
      <c r="C18" s="166" t="s">
        <v>131</v>
      </c>
      <c r="D18" s="166" t="s">
        <v>169</v>
      </c>
      <c r="E18" s="166" t="s">
        <v>170</v>
      </c>
      <c r="F18" s="166" t="s">
        <v>171</v>
      </c>
      <c r="G18" s="24"/>
      <c r="H18" s="303" t="s">
        <v>136</v>
      </c>
      <c r="I18" s="47"/>
      <c r="J18" s="47"/>
      <c r="K18" s="45"/>
      <c r="L18" s="63"/>
    </row>
    <row r="19" spans="2:12" s="4" customFormat="1" outlineLevel="1" x14ac:dyDescent="0.4">
      <c r="B19" s="20"/>
      <c r="C19" s="138" t="s">
        <v>96</v>
      </c>
      <c r="D19" s="93">
        <v>1</v>
      </c>
      <c r="E19" s="135"/>
      <c r="F19" s="31">
        <f>IFERROR(IF(OR(C19="Default",D13="No transport required"),D19,IF(ISBLANK(E19),"Insert data",E19)),"")</f>
        <v>1</v>
      </c>
      <c r="G19" s="21"/>
      <c r="H19" s="41"/>
      <c r="I19" s="36"/>
      <c r="J19" s="164" t="s">
        <v>141</v>
      </c>
      <c r="K19" s="37"/>
      <c r="L19" s="35"/>
    </row>
    <row r="20" spans="2:12" s="4" customFormat="1" outlineLevel="1" x14ac:dyDescent="0.4">
      <c r="B20" s="20"/>
      <c r="C20" s="21"/>
      <c r="D20" s="21"/>
      <c r="E20" s="692" t="str">
        <f>IF(E19&gt;1, "this should not be greater than 1", "")</f>
        <v/>
      </c>
      <c r="F20" s="21"/>
      <c r="G20" s="21"/>
      <c r="H20" s="42"/>
      <c r="I20" s="164" t="s">
        <v>172</v>
      </c>
      <c r="J20" s="52">
        <f>IF(D13="No transport required",0,IFERROR(E23*INDEX(Fuel_EFs,MATCH(D15,Fuels_for_EF,0))*D14/1000,"Insert data"))</f>
        <v>0</v>
      </c>
      <c r="K20" s="62"/>
      <c r="L20" s="35"/>
    </row>
    <row r="21" spans="2:12" s="4" customFormat="1" outlineLevel="1" x14ac:dyDescent="0.4">
      <c r="B21" s="20"/>
      <c r="C21" s="25" t="s">
        <v>173</v>
      </c>
      <c r="D21" s="21"/>
      <c r="E21" s="21"/>
      <c r="F21" s="21"/>
      <c r="G21" s="21"/>
      <c r="H21" s="46"/>
      <c r="I21" s="58"/>
      <c r="J21" s="58"/>
      <c r="K21" s="59"/>
      <c r="L21" s="35"/>
    </row>
    <row r="22" spans="2:12" s="14" customFormat="1" outlineLevel="1" x14ac:dyDescent="0.4">
      <c r="B22" s="23"/>
      <c r="C22" s="176" t="s">
        <v>174</v>
      </c>
      <c r="D22" s="166" t="s">
        <v>175</v>
      </c>
      <c r="E22" s="166" t="s">
        <v>176</v>
      </c>
      <c r="F22" s="24"/>
      <c r="G22" s="24"/>
      <c r="H22" s="21"/>
      <c r="I22" s="21"/>
      <c r="J22" s="21"/>
      <c r="K22" s="21"/>
      <c r="L22" s="63"/>
    </row>
    <row r="23" spans="2:12" s="4" customFormat="1" outlineLevel="1" x14ac:dyDescent="0.4">
      <c r="B23" s="20"/>
      <c r="C23" s="138" t="s">
        <v>96</v>
      </c>
      <c r="D23" s="93">
        <f>IFERROR(INDEX(Transport_Fuel_Efficiencies,MATCH(D13,Transport_Modes,0)),"Insert data")</f>
        <v>0</v>
      </c>
      <c r="E23" s="31">
        <f>IFERROR(IF(C23="Default",D23,IF(OR(ISBLANK(E25),ISBLANK(D29),ISBLANK(D33)),"Insert data",(IF(C29="litres",(D29*(INDEX(Fuel_Densities,MATCH(D15,Fuels_for_Densities,0))/1000)*INDEX(Fuel_LHV,MATCH(D15,Fuels_for_LHV,0)))/(D33*D14),(IF(C29="m3",(D29*(INDEX(Fuel_Densities,MATCH(D15,Fuels_for_Densities,0)))*INDEX(Fuel_LHV,MATCH(D15,Fuels_for_LHV,0)))/(D33*D14),IF(C29="kg",(D29*INDEX(Fuel_LHV,MATCH(D15,Fuels_for_LHV,0)))/(D33*D14),IF(C29="tonnes",(D29*INDEX(Fuel_LHV,MATCH(D15,Fuels_for_LHV,0))*1000)/(D33*D14),IF(C29="MWh",(D29*'Reference values'!$D$47)/(D33*D14),IF(C29="kWh",(D29*'Reference values'!$D$47/1000)/(D33*D14),"Insert unit")))))))))),"")</f>
        <v>0</v>
      </c>
      <c r="F23" s="21"/>
      <c r="G23" s="21"/>
      <c r="H23" s="21"/>
      <c r="I23" s="21"/>
      <c r="J23" s="21"/>
      <c r="K23" s="21"/>
      <c r="L23" s="35"/>
    </row>
    <row r="24" spans="2:12" s="4" customFormat="1" outlineLevel="1" x14ac:dyDescent="0.4">
      <c r="B24" s="20"/>
      <c r="C24" s="21"/>
      <c r="D24" s="21"/>
      <c r="E24" s="21"/>
      <c r="F24" s="21"/>
      <c r="G24" s="21"/>
      <c r="H24" s="21"/>
      <c r="I24" s="21"/>
      <c r="J24" s="21"/>
      <c r="K24" s="21"/>
      <c r="L24" s="35"/>
    </row>
    <row r="25" spans="2:12" s="4" customFormat="1" outlineLevel="1" x14ac:dyDescent="0.4">
      <c r="B25" s="20"/>
      <c r="C25" s="759" t="s">
        <v>177</v>
      </c>
      <c r="D25" s="759"/>
      <c r="E25" s="135" t="s">
        <v>178</v>
      </c>
      <c r="F25" s="21"/>
      <c r="G25" s="21"/>
      <c r="H25" s="21"/>
      <c r="I25" s="21"/>
      <c r="J25" s="21"/>
      <c r="K25" s="21"/>
      <c r="L25" s="35"/>
    </row>
    <row r="26" spans="2:12" s="4" customFormat="1" ht="12.75" customHeight="1" outlineLevel="1" x14ac:dyDescent="0.4">
      <c r="B26" s="20"/>
      <c r="C26" s="21"/>
      <c r="D26" s="21"/>
      <c r="E26" s="21"/>
      <c r="F26" s="21"/>
      <c r="G26" s="21"/>
      <c r="L26" s="35"/>
    </row>
    <row r="27" spans="2:12" s="4" customFormat="1" outlineLevel="1" x14ac:dyDescent="0.4">
      <c r="B27" s="20"/>
      <c r="C27" s="25" t="str">
        <f>IF(E25="yes", "Fuel demand for outward journey",IF(E25="No","Fuel demand for full journey (outward and return)",""))</f>
        <v>Fuel demand for full journey (outward and return)</v>
      </c>
      <c r="D27" s="21"/>
      <c r="E27" s="21"/>
      <c r="F27" s="21"/>
      <c r="G27" s="21"/>
      <c r="H27" s="21"/>
      <c r="I27" s="21"/>
      <c r="J27" s="21"/>
      <c r="K27" s="21"/>
      <c r="L27" s="35"/>
    </row>
    <row r="28" spans="2:12" s="4" customFormat="1" outlineLevel="1" x14ac:dyDescent="0.4">
      <c r="B28" s="20"/>
      <c r="C28" s="164" t="s">
        <v>151</v>
      </c>
      <c r="D28" s="164" t="s">
        <v>140</v>
      </c>
      <c r="E28" s="21"/>
      <c r="F28" s="21"/>
      <c r="G28" s="21"/>
      <c r="H28" s="21"/>
      <c r="I28" s="21"/>
      <c r="J28" s="21"/>
      <c r="K28" s="21"/>
      <c r="L28" s="35"/>
    </row>
    <row r="29" spans="2:12" s="4" customFormat="1" outlineLevel="1" x14ac:dyDescent="0.4">
      <c r="B29" s="20"/>
      <c r="C29" s="138" t="s">
        <v>179</v>
      </c>
      <c r="D29" s="135"/>
      <c r="E29" s="21"/>
      <c r="F29" s="21"/>
      <c r="G29" s="21"/>
      <c r="H29" s="21"/>
      <c r="I29" s="21"/>
      <c r="J29" s="21"/>
      <c r="K29" s="21"/>
      <c r="L29" s="35"/>
    </row>
    <row r="30" spans="2:12" s="4" customFormat="1" outlineLevel="1" x14ac:dyDescent="0.4">
      <c r="B30" s="20"/>
      <c r="C30" s="21"/>
      <c r="D30" s="21"/>
      <c r="E30" s="21"/>
      <c r="F30" s="21"/>
      <c r="G30" s="21"/>
      <c r="H30" s="21"/>
      <c r="I30" s="21"/>
      <c r="J30" s="21"/>
      <c r="K30" s="21"/>
      <c r="L30" s="35"/>
    </row>
    <row r="31" spans="2:12" s="4" customFormat="1" outlineLevel="1" x14ac:dyDescent="0.4">
      <c r="B31" s="20"/>
      <c r="C31" s="25" t="s">
        <v>180</v>
      </c>
      <c r="D31" s="21"/>
      <c r="E31" s="21"/>
      <c r="F31" s="21"/>
      <c r="G31" s="21"/>
      <c r="H31" s="21"/>
      <c r="I31" s="21"/>
      <c r="J31" s="21"/>
      <c r="K31" s="21"/>
      <c r="L31" s="35"/>
    </row>
    <row r="32" spans="2:12" s="4" customFormat="1" outlineLevel="1" x14ac:dyDescent="0.4">
      <c r="B32" s="20"/>
      <c r="C32" s="164" t="s">
        <v>151</v>
      </c>
      <c r="D32" s="164" t="s">
        <v>140</v>
      </c>
      <c r="E32" s="21"/>
      <c r="F32" s="21"/>
      <c r="G32" s="21"/>
      <c r="H32" s="21"/>
      <c r="I32" s="21"/>
      <c r="J32" s="21"/>
      <c r="K32" s="21"/>
      <c r="L32" s="35"/>
    </row>
    <row r="33" spans="2:12" s="4" customFormat="1" outlineLevel="1" x14ac:dyDescent="0.4">
      <c r="B33" s="20"/>
      <c r="C33" s="138" t="s">
        <v>181</v>
      </c>
      <c r="D33" s="135"/>
      <c r="E33" s="21"/>
      <c r="F33" s="21"/>
      <c r="G33" s="21"/>
      <c r="H33" s="21"/>
      <c r="I33" s="21"/>
      <c r="J33" s="21"/>
      <c r="K33" s="21"/>
      <c r="L33" s="35"/>
    </row>
    <row r="34" spans="2:12" s="4" customFormat="1" ht="12.75" customHeight="1" outlineLevel="1" x14ac:dyDescent="0.4">
      <c r="B34" s="28"/>
      <c r="C34" s="29"/>
      <c r="D34" s="29"/>
      <c r="E34" s="29"/>
      <c r="F34" s="29"/>
      <c r="G34" s="29"/>
      <c r="H34" s="29"/>
      <c r="I34" s="29"/>
      <c r="J34" s="29"/>
      <c r="K34" s="29"/>
      <c r="L34" s="60"/>
    </row>
    <row r="35" spans="2:12" s="4" customFormat="1" x14ac:dyDescent="0.4"/>
    <row r="36" spans="2:12" s="4" customFormat="1" ht="16.5" hidden="1" customHeight="1" x14ac:dyDescent="0.4"/>
    <row r="37" spans="2:12" s="4" customFormat="1" ht="16.5" hidden="1" customHeight="1" x14ac:dyDescent="0.4">
      <c r="I37" s="32"/>
    </row>
    <row r="38" spans="2:12" s="4" customFormat="1" ht="16.5" hidden="1" customHeight="1" x14ac:dyDescent="0.4"/>
    <row r="39" spans="2:12" s="4" customFormat="1" ht="16.5" hidden="1" customHeight="1" x14ac:dyDescent="0.4"/>
    <row r="40" spans="2:12" s="4" customFormat="1" ht="16.5" hidden="1" customHeight="1" x14ac:dyDescent="0.4"/>
    <row r="41" spans="2:12" s="4" customFormat="1" ht="16.5" hidden="1" customHeight="1" x14ac:dyDescent="0.4"/>
    <row r="42" spans="2:12" s="4" customFormat="1" ht="16.5" hidden="1" customHeight="1" x14ac:dyDescent="0.4"/>
    <row r="43" spans="2:12" s="4" customFormat="1" ht="16.5" hidden="1" customHeight="1" x14ac:dyDescent="0.4"/>
    <row r="44" spans="2:12" s="4" customFormat="1" ht="16.5" hidden="1" customHeight="1" x14ac:dyDescent="0.4"/>
    <row r="45" spans="2:12" s="4" customFormat="1" ht="16.5" hidden="1" customHeight="1" x14ac:dyDescent="0.4"/>
    <row r="46" spans="2:12" s="4" customFormat="1" ht="16.5" hidden="1" customHeight="1" x14ac:dyDescent="0.4"/>
    <row r="47" spans="2:12" s="4" customFormat="1" ht="16.5" hidden="1" customHeight="1" x14ac:dyDescent="0.4"/>
    <row r="48" spans="2:12" s="4" customFormat="1" ht="16.5" hidden="1" customHeight="1" x14ac:dyDescent="0.4"/>
    <row r="49" spans="2:12" s="4" customFormat="1" ht="31.5" hidden="1" customHeight="1" x14ac:dyDescent="0.4"/>
    <row r="50" spans="2:12" s="4" customFormat="1" ht="24" hidden="1" customHeight="1" x14ac:dyDescent="0.4"/>
    <row r="51" spans="2:12" s="4" customFormat="1" hidden="1" x14ac:dyDescent="0.4"/>
    <row r="52" spans="2:12" s="4" customFormat="1" hidden="1" x14ac:dyDescent="0.4"/>
    <row r="53" spans="2:12" s="4" customFormat="1" hidden="1" x14ac:dyDescent="0.4"/>
    <row r="54" spans="2:12" s="4" customFormat="1" hidden="1" x14ac:dyDescent="0.4"/>
    <row r="55" spans="2:12" s="4" customFormat="1" hidden="1" x14ac:dyDescent="0.4"/>
    <row r="56" spans="2:12" s="4" customFormat="1" hidden="1" x14ac:dyDescent="0.4"/>
    <row r="57" spans="2:12" s="4" customFormat="1" hidden="1" x14ac:dyDescent="0.4"/>
    <row r="58" spans="2:12" s="4" customFormat="1" ht="19.2" x14ac:dyDescent="0.45">
      <c r="B58" s="754" t="str">
        <f>"Transport to Plant"&amp;" - "&amp;Feedstocks!C12</f>
        <v xml:space="preserve">Transport to Plant - </v>
      </c>
      <c r="C58" s="755"/>
      <c r="D58" s="755"/>
      <c r="E58" s="755"/>
      <c r="F58" s="755"/>
      <c r="G58" s="755"/>
      <c r="H58" s="755"/>
      <c r="I58" s="755"/>
      <c r="J58" s="755"/>
      <c r="K58" s="755"/>
      <c r="L58" s="756"/>
    </row>
    <row r="59" spans="2:12" s="4" customFormat="1" outlineLevel="1" x14ac:dyDescent="0.4">
      <c r="B59" s="17"/>
      <c r="C59" s="19"/>
      <c r="D59" s="19"/>
      <c r="E59" s="19"/>
      <c r="F59" s="19"/>
      <c r="G59" s="19"/>
      <c r="H59" s="19"/>
      <c r="I59" s="19"/>
      <c r="J59" s="19"/>
      <c r="K59" s="19"/>
      <c r="L59" s="50"/>
    </row>
    <row r="60" spans="2:12" s="4" customFormat="1" outlineLevel="1" x14ac:dyDescent="0.4">
      <c r="B60" s="20"/>
      <c r="C60" s="85"/>
      <c r="D60" s="760"/>
      <c r="E60" s="761"/>
      <c r="F60" s="762"/>
      <c r="G60" s="1"/>
      <c r="H60" s="303" t="s">
        <v>122</v>
      </c>
      <c r="I60" s="47"/>
      <c r="J60" s="47"/>
      <c r="K60" s="61"/>
      <c r="L60" s="35"/>
    </row>
    <row r="61" spans="2:12" s="4" customFormat="1" outlineLevel="1" x14ac:dyDescent="0.4">
      <c r="B61" s="20"/>
      <c r="C61" s="175" t="s">
        <v>123</v>
      </c>
      <c r="D61" s="753" t="str">
        <f>IF(Feedstocks!$H$12&gt;0,Feedstocks!$H$12,"")</f>
        <v/>
      </c>
      <c r="E61" s="753"/>
      <c r="F61" s="753"/>
      <c r="G61" s="76"/>
      <c r="H61" s="43"/>
      <c r="I61" s="36"/>
      <c r="J61" s="164" t="s">
        <v>124</v>
      </c>
      <c r="K61" s="44"/>
      <c r="L61" s="35"/>
    </row>
    <row r="62" spans="2:12" s="12" customFormat="1" ht="15" outlineLevel="1" x14ac:dyDescent="0.35">
      <c r="B62" s="20"/>
      <c r="C62" s="1"/>
      <c r="D62" s="1"/>
      <c r="E62" s="1"/>
      <c r="F62" s="1"/>
      <c r="G62" s="1"/>
      <c r="H62" s="43"/>
      <c r="I62" s="164" t="s">
        <v>125</v>
      </c>
      <c r="J62" s="52" t="str">
        <f>IFERROR((J65/(('Digestion &amp; outputs'!$G$17/1000)))*'Digestion &amp; outputs'!$K$23,"")</f>
        <v/>
      </c>
      <c r="K62" s="44"/>
      <c r="L62" s="54"/>
    </row>
    <row r="63" spans="2:12" s="4" customFormat="1" outlineLevel="1" x14ac:dyDescent="0.4">
      <c r="B63" s="20"/>
      <c r="C63" s="164" t="s">
        <v>163</v>
      </c>
      <c r="D63" s="134" t="s">
        <v>164</v>
      </c>
      <c r="E63" s="1"/>
      <c r="F63" s="1"/>
      <c r="G63" s="1"/>
      <c r="H63" s="41"/>
      <c r="I63" s="34"/>
      <c r="J63" s="34"/>
      <c r="K63" s="37"/>
      <c r="L63" s="35"/>
    </row>
    <row r="64" spans="2:12" s="4" customFormat="1" outlineLevel="1" x14ac:dyDescent="0.4">
      <c r="B64" s="20"/>
      <c r="C64" s="164" t="s">
        <v>165</v>
      </c>
      <c r="D64" s="143"/>
      <c r="E64" s="1"/>
      <c r="F64" s="1"/>
      <c r="G64" s="1"/>
      <c r="H64" s="41"/>
      <c r="I64" s="36"/>
      <c r="J64" s="164" t="s">
        <v>141</v>
      </c>
      <c r="K64" s="37"/>
      <c r="L64" s="35"/>
    </row>
    <row r="65" spans="2:12" s="4" customFormat="1" outlineLevel="1" x14ac:dyDescent="0.4">
      <c r="B65" s="20"/>
      <c r="C65" s="164" t="s">
        <v>160</v>
      </c>
      <c r="D65" s="134" t="s">
        <v>166</v>
      </c>
      <c r="E65" s="1"/>
      <c r="F65" s="1"/>
      <c r="G65" s="1"/>
      <c r="H65" s="42"/>
      <c r="I65" s="164" t="s">
        <v>167</v>
      </c>
      <c r="J65" s="52">
        <f>IFERROR(J70,"Insert data")</f>
        <v>0</v>
      </c>
      <c r="K65" s="62"/>
      <c r="L65" s="35"/>
    </row>
    <row r="66" spans="2:12" s="4" customFormat="1" outlineLevel="1" x14ac:dyDescent="0.4">
      <c r="B66" s="20"/>
      <c r="C66" s="21"/>
      <c r="D66" s="21"/>
      <c r="E66" s="21"/>
      <c r="F66" s="21"/>
      <c r="G66" s="21"/>
      <c r="H66" s="46"/>
      <c r="I66" s="58"/>
      <c r="J66" s="58"/>
      <c r="K66" s="59"/>
      <c r="L66" s="35"/>
    </row>
    <row r="67" spans="2:12" s="4" customFormat="1" outlineLevel="1" x14ac:dyDescent="0.4">
      <c r="B67" s="20"/>
      <c r="C67" s="25" t="s">
        <v>168</v>
      </c>
      <c r="D67" s="21"/>
      <c r="E67" s="21"/>
      <c r="F67" s="21"/>
      <c r="G67" s="21"/>
      <c r="H67" s="21"/>
      <c r="I67" s="21"/>
      <c r="J67" s="21"/>
      <c r="K67" s="21"/>
      <c r="L67" s="35"/>
    </row>
    <row r="68" spans="2:12" s="14" customFormat="1" ht="30.6" outlineLevel="1" x14ac:dyDescent="0.4">
      <c r="B68" s="23"/>
      <c r="C68" s="166" t="s">
        <v>131</v>
      </c>
      <c r="D68" s="166" t="s">
        <v>169</v>
      </c>
      <c r="E68" s="166" t="s">
        <v>170</v>
      </c>
      <c r="F68" s="166" t="s">
        <v>171</v>
      </c>
      <c r="G68" s="24"/>
      <c r="H68" s="303" t="s">
        <v>136</v>
      </c>
      <c r="I68" s="47"/>
      <c r="J68" s="47"/>
      <c r="K68" s="45"/>
      <c r="L68" s="63"/>
    </row>
    <row r="69" spans="2:12" s="4" customFormat="1" outlineLevel="1" x14ac:dyDescent="0.4">
      <c r="B69" s="20"/>
      <c r="C69" s="138" t="s">
        <v>96</v>
      </c>
      <c r="D69" s="93">
        <v>1</v>
      </c>
      <c r="E69" s="135"/>
      <c r="F69" s="31">
        <f>IFERROR(IF(OR(C69="Default",D63="No transport required"),D69,IF(ISBLANK(E69),"Insert data",E69)),"")</f>
        <v>1</v>
      </c>
      <c r="G69" s="21"/>
      <c r="H69" s="41"/>
      <c r="I69" s="36"/>
      <c r="J69" s="164" t="s">
        <v>141</v>
      </c>
      <c r="K69" s="37"/>
      <c r="L69" s="35"/>
    </row>
    <row r="70" spans="2:12" s="4" customFormat="1" outlineLevel="1" x14ac:dyDescent="0.4">
      <c r="B70" s="20"/>
      <c r="C70" s="21"/>
      <c r="D70" s="21"/>
      <c r="E70" s="692" t="str">
        <f>IF(E69&gt;1, "this should not be greater than 1", "")</f>
        <v/>
      </c>
      <c r="F70" s="21"/>
      <c r="G70" s="21"/>
      <c r="H70" s="42"/>
      <c r="I70" s="164" t="s">
        <v>172</v>
      </c>
      <c r="J70" s="52">
        <f>IF(D63="No transport required",0,IFERROR(E73*INDEX(Fuel_EFs,MATCH(D65,Fuels_for_EF,0))*D64/1000,"Insert data"))</f>
        <v>0</v>
      </c>
      <c r="K70" s="62"/>
      <c r="L70" s="35"/>
    </row>
    <row r="71" spans="2:12" s="4" customFormat="1" outlineLevel="1" x14ac:dyDescent="0.4">
      <c r="B71" s="20"/>
      <c r="C71" s="25" t="s">
        <v>173</v>
      </c>
      <c r="D71" s="21"/>
      <c r="E71" s="21"/>
      <c r="F71" s="21"/>
      <c r="G71" s="21"/>
      <c r="H71" s="46"/>
      <c r="I71" s="58"/>
      <c r="J71" s="58"/>
      <c r="K71" s="59"/>
      <c r="L71" s="35"/>
    </row>
    <row r="72" spans="2:12" s="14" customFormat="1" outlineLevel="1" x14ac:dyDescent="0.4">
      <c r="B72" s="23"/>
      <c r="C72" s="176" t="s">
        <v>174</v>
      </c>
      <c r="D72" s="166" t="s">
        <v>175</v>
      </c>
      <c r="E72" s="166" t="s">
        <v>176</v>
      </c>
      <c r="F72" s="24"/>
      <c r="G72" s="24"/>
      <c r="H72" s="21"/>
      <c r="I72" s="21"/>
      <c r="J72" s="21"/>
      <c r="K72" s="21"/>
      <c r="L72" s="63"/>
    </row>
    <row r="73" spans="2:12" s="4" customFormat="1" outlineLevel="1" x14ac:dyDescent="0.4">
      <c r="B73" s="20"/>
      <c r="C73" s="138" t="s">
        <v>96</v>
      </c>
      <c r="D73" s="93">
        <f>IFERROR(INDEX(Transport_Fuel_Efficiencies,MATCH(D63,Transport_Modes,0)),"Insert data")</f>
        <v>0</v>
      </c>
      <c r="E73" s="31">
        <f>IFERROR(IF(C73="Default",D73,IF(OR(ISBLANK(E75),ISBLANK(D79),ISBLANK(D83)),"Insert data",(IF(C79="litres",(D79*(INDEX(Fuel_Densities,MATCH(D65,Fuels_for_Densities,0))/1000)*INDEX(Fuel_LHV,MATCH(D65,Fuels_for_LHV,0)))/(D83*D64),(IF(C79="m3",(D79*(INDEX(Fuel_Densities,MATCH(D65,Fuels_for_Densities,0)))*INDEX(Fuel_LHV,MATCH(D65,Fuels_for_LHV,0)))/(D83*D64),IF(C79="kg",(D79*INDEX(Fuel_LHV,MATCH(D65,Fuels_for_LHV,0)))/(D83*D64),IF(C79="tonnes",(D79*INDEX(Fuel_LHV,MATCH(D65,Fuels_for_LHV,0))*1000)/(D83*D64),IF(C79="MWh",(D79*'Reference values'!$D$47)/(D83*D64),IF(C79="kWh",(D79*'Reference values'!$D$47/1000)/(D83*D64),"Insert unit")))))))))),"")</f>
        <v>0</v>
      </c>
      <c r="F73" s="21"/>
      <c r="G73" s="21"/>
      <c r="H73" s="21"/>
      <c r="I73" s="21"/>
      <c r="J73" s="21"/>
      <c r="K73" s="21"/>
      <c r="L73" s="35"/>
    </row>
    <row r="74" spans="2:12" s="4" customFormat="1" outlineLevel="1" x14ac:dyDescent="0.4">
      <c r="B74" s="20"/>
      <c r="C74" s="21"/>
      <c r="D74" s="21"/>
      <c r="E74" s="21"/>
      <c r="F74" s="21"/>
      <c r="G74" s="21"/>
      <c r="H74" s="21"/>
      <c r="I74" s="21"/>
      <c r="J74" s="21"/>
      <c r="K74" s="21"/>
      <c r="L74" s="35"/>
    </row>
    <row r="75" spans="2:12" s="4" customFormat="1" ht="16.5" customHeight="1" outlineLevel="1" x14ac:dyDescent="0.4">
      <c r="B75" s="20"/>
      <c r="C75" s="759" t="s">
        <v>177</v>
      </c>
      <c r="D75" s="759"/>
      <c r="E75" s="135" t="s">
        <v>178</v>
      </c>
      <c r="F75" s="21"/>
      <c r="G75" s="21"/>
      <c r="L75" s="35"/>
    </row>
    <row r="76" spans="2:12" s="4" customFormat="1" ht="12.75" customHeight="1" outlineLevel="1" x14ac:dyDescent="0.4">
      <c r="B76" s="20"/>
      <c r="C76" s="21"/>
      <c r="D76" s="21"/>
      <c r="E76" s="21"/>
      <c r="F76" s="21"/>
      <c r="G76" s="21"/>
      <c r="L76" s="35"/>
    </row>
    <row r="77" spans="2:12" s="4" customFormat="1" outlineLevel="1" x14ac:dyDescent="0.4">
      <c r="B77" s="20"/>
      <c r="C77" s="25" t="str">
        <f>IF(E75="yes", "Fuel demand for outward journey",IF(E75="No","Fuel demand for full journey (outward and return)",""))</f>
        <v>Fuel demand for full journey (outward and return)</v>
      </c>
      <c r="D77" s="21"/>
      <c r="E77" s="21"/>
      <c r="F77" s="21"/>
      <c r="G77" s="21"/>
      <c r="H77" s="21"/>
      <c r="I77" s="21"/>
      <c r="J77" s="21"/>
      <c r="K77" s="21"/>
      <c r="L77" s="35"/>
    </row>
    <row r="78" spans="2:12" s="4" customFormat="1" outlineLevel="1" x14ac:dyDescent="0.4">
      <c r="B78" s="20"/>
      <c r="C78" s="164" t="s">
        <v>151</v>
      </c>
      <c r="D78" s="164" t="s">
        <v>140</v>
      </c>
      <c r="E78" s="21"/>
      <c r="F78" s="21"/>
      <c r="G78" s="21"/>
      <c r="H78" s="21"/>
      <c r="I78" s="21"/>
      <c r="J78" s="21"/>
      <c r="K78" s="21"/>
      <c r="L78" s="35"/>
    </row>
    <row r="79" spans="2:12" s="4" customFormat="1" outlineLevel="1" x14ac:dyDescent="0.4">
      <c r="B79" s="20"/>
      <c r="C79" s="138"/>
      <c r="D79" s="135"/>
      <c r="E79" s="21"/>
      <c r="F79" s="21"/>
      <c r="G79" s="21"/>
      <c r="H79" s="21"/>
      <c r="I79" s="21"/>
      <c r="J79" s="21"/>
      <c r="K79" s="21"/>
      <c r="L79" s="35"/>
    </row>
    <row r="80" spans="2:12" s="4" customFormat="1" outlineLevel="1" x14ac:dyDescent="0.4">
      <c r="B80" s="20"/>
      <c r="C80" s="21"/>
      <c r="D80" s="21"/>
      <c r="E80" s="21"/>
      <c r="F80" s="21"/>
      <c r="G80" s="21"/>
      <c r="H80" s="21"/>
      <c r="I80" s="21"/>
      <c r="J80" s="21"/>
      <c r="K80" s="21"/>
      <c r="L80" s="35"/>
    </row>
    <row r="81" spans="2:12" s="4" customFormat="1" outlineLevel="1" x14ac:dyDescent="0.4">
      <c r="B81" s="20"/>
      <c r="C81" s="25" t="s">
        <v>180</v>
      </c>
      <c r="D81" s="21"/>
      <c r="E81" s="21"/>
      <c r="F81" s="21"/>
      <c r="G81" s="21"/>
      <c r="H81" s="21"/>
      <c r="I81" s="21"/>
      <c r="J81" s="21"/>
      <c r="K81" s="21"/>
      <c r="L81" s="35"/>
    </row>
    <row r="82" spans="2:12" s="4" customFormat="1" outlineLevel="1" x14ac:dyDescent="0.4">
      <c r="B82" s="20"/>
      <c r="C82" s="164" t="s">
        <v>151</v>
      </c>
      <c r="D82" s="164" t="s">
        <v>140</v>
      </c>
      <c r="E82" s="21"/>
      <c r="F82" s="21"/>
      <c r="G82" s="21"/>
      <c r="H82" s="21"/>
      <c r="I82" s="21"/>
      <c r="J82" s="21"/>
      <c r="K82" s="21"/>
      <c r="L82" s="35"/>
    </row>
    <row r="83" spans="2:12" s="4" customFormat="1" outlineLevel="1" x14ac:dyDescent="0.4">
      <c r="B83" s="20"/>
      <c r="C83" s="138"/>
      <c r="D83" s="135"/>
      <c r="E83" s="21"/>
      <c r="F83" s="21"/>
      <c r="G83" s="21"/>
      <c r="H83" s="21"/>
      <c r="I83" s="21"/>
      <c r="J83" s="21"/>
      <c r="K83" s="21"/>
      <c r="L83" s="35"/>
    </row>
    <row r="84" spans="2:12" s="4" customFormat="1" ht="12.75" customHeight="1" outlineLevel="1" x14ac:dyDescent="0.4">
      <c r="B84" s="28"/>
      <c r="C84" s="29"/>
      <c r="D84" s="29"/>
      <c r="E84" s="29"/>
      <c r="F84" s="29"/>
      <c r="G84" s="29"/>
      <c r="H84" s="29"/>
      <c r="I84" s="29"/>
      <c r="J84" s="29"/>
      <c r="K84" s="29"/>
      <c r="L84" s="60"/>
    </row>
    <row r="85" spans="2:12" s="4" customFormat="1" x14ac:dyDescent="0.4"/>
    <row r="86" spans="2:12" s="4" customFormat="1" hidden="1" x14ac:dyDescent="0.4"/>
    <row r="87" spans="2:12" s="4" customFormat="1" hidden="1" x14ac:dyDescent="0.4"/>
    <row r="88" spans="2:12" s="4" customFormat="1" hidden="1" x14ac:dyDescent="0.4"/>
    <row r="89" spans="2:12" s="4" customFormat="1" hidden="1" x14ac:dyDescent="0.4"/>
    <row r="90" spans="2:12" s="4" customFormat="1" hidden="1" x14ac:dyDescent="0.4"/>
    <row r="91" spans="2:12" s="4" customFormat="1" hidden="1" x14ac:dyDescent="0.4"/>
    <row r="92" spans="2:12" s="4" customFormat="1" hidden="1" x14ac:dyDescent="0.4"/>
    <row r="93" spans="2:12" s="4" customFormat="1" hidden="1" x14ac:dyDescent="0.4"/>
    <row r="94" spans="2:12" s="4" customFormat="1" hidden="1" x14ac:dyDescent="0.4"/>
    <row r="95" spans="2:12" s="4" customFormat="1" hidden="1" x14ac:dyDescent="0.4"/>
    <row r="96" spans="2:12" s="4" customFormat="1" hidden="1" x14ac:dyDescent="0.4"/>
    <row r="97" spans="2:12" s="4" customFormat="1" hidden="1" x14ac:dyDescent="0.4"/>
    <row r="98" spans="2:12" s="4" customFormat="1" hidden="1" x14ac:dyDescent="0.4"/>
    <row r="99" spans="2:12" s="4" customFormat="1" hidden="1" x14ac:dyDescent="0.4"/>
    <row r="100" spans="2:12" s="4" customFormat="1" hidden="1" x14ac:dyDescent="0.4"/>
    <row r="101" spans="2:12" s="4" customFormat="1" hidden="1" x14ac:dyDescent="0.4"/>
    <row r="102" spans="2:12" s="4" customFormat="1" hidden="1" x14ac:dyDescent="0.4"/>
    <row r="103" spans="2:12" s="4" customFormat="1" hidden="1" x14ac:dyDescent="0.4"/>
    <row r="104" spans="2:12" s="4" customFormat="1" hidden="1" x14ac:dyDescent="0.4"/>
    <row r="105" spans="2:12" s="4" customFormat="1" hidden="1" x14ac:dyDescent="0.4"/>
    <row r="106" spans="2:12" s="4" customFormat="1" hidden="1" x14ac:dyDescent="0.4"/>
    <row r="107" spans="2:12" s="4" customFormat="1" hidden="1" x14ac:dyDescent="0.4"/>
    <row r="108" spans="2:12" s="4" customFormat="1" ht="19.2" x14ac:dyDescent="0.45">
      <c r="B108" s="754" t="str">
        <f>"Transport to Plant"&amp;" - "&amp;Feedstocks!C13</f>
        <v xml:space="preserve">Transport to Plant - </v>
      </c>
      <c r="C108" s="755"/>
      <c r="D108" s="755"/>
      <c r="E108" s="755"/>
      <c r="F108" s="755"/>
      <c r="G108" s="755"/>
      <c r="H108" s="755"/>
      <c r="I108" s="755"/>
      <c r="J108" s="755"/>
      <c r="K108" s="755"/>
      <c r="L108" s="756"/>
    </row>
    <row r="109" spans="2:12" s="4" customFormat="1" outlineLevel="1" x14ac:dyDescent="0.4">
      <c r="B109" s="17"/>
      <c r="C109" s="19"/>
      <c r="D109" s="19"/>
      <c r="E109" s="19"/>
      <c r="F109" s="19"/>
      <c r="G109" s="19"/>
      <c r="H109" s="19"/>
      <c r="I109" s="19"/>
      <c r="J109" s="19"/>
      <c r="K109" s="19"/>
      <c r="L109" s="50"/>
    </row>
    <row r="110" spans="2:12" s="4" customFormat="1" outlineLevel="1" x14ac:dyDescent="0.4">
      <c r="B110" s="20"/>
      <c r="C110" s="85"/>
      <c r="D110" s="760"/>
      <c r="E110" s="761"/>
      <c r="F110" s="762"/>
      <c r="G110" s="1"/>
      <c r="H110" s="303" t="s">
        <v>122</v>
      </c>
      <c r="I110" s="47"/>
      <c r="J110" s="47"/>
      <c r="K110" s="61"/>
      <c r="L110" s="35"/>
    </row>
    <row r="111" spans="2:12" s="4" customFormat="1" outlineLevel="1" x14ac:dyDescent="0.4">
      <c r="B111" s="20"/>
      <c r="C111" s="175" t="s">
        <v>123</v>
      </c>
      <c r="D111" s="753" t="str">
        <f>IF(Feedstocks!$H$13&gt;0,Feedstocks!$H$13,"")</f>
        <v/>
      </c>
      <c r="E111" s="753"/>
      <c r="F111" s="753"/>
      <c r="G111" s="76"/>
      <c r="H111" s="43"/>
      <c r="I111" s="36"/>
      <c r="J111" s="164" t="s">
        <v>124</v>
      </c>
      <c r="K111" s="44"/>
      <c r="L111" s="35"/>
    </row>
    <row r="112" spans="2:12" s="12" customFormat="1" ht="15" outlineLevel="1" x14ac:dyDescent="0.35">
      <c r="B112" s="20"/>
      <c r="C112" s="1"/>
      <c r="D112" s="1"/>
      <c r="E112" s="1"/>
      <c r="F112" s="1"/>
      <c r="G112" s="1"/>
      <c r="H112" s="43"/>
      <c r="I112" s="164" t="s">
        <v>125</v>
      </c>
      <c r="J112" s="52" t="str">
        <f>IFERROR((J115/(('Digestion &amp; outputs'!$G$18/1000)))*'Digestion &amp; outputs'!$K$23,"")</f>
        <v/>
      </c>
      <c r="K112" s="44"/>
      <c r="L112" s="54"/>
    </row>
    <row r="113" spans="2:12" s="4" customFormat="1" outlineLevel="1" x14ac:dyDescent="0.4">
      <c r="B113" s="20"/>
      <c r="C113" s="164" t="s">
        <v>163</v>
      </c>
      <c r="D113" s="134" t="s">
        <v>164</v>
      </c>
      <c r="E113" s="1"/>
      <c r="F113" s="1"/>
      <c r="G113" s="1"/>
      <c r="H113" s="41"/>
      <c r="I113" s="34"/>
      <c r="J113" s="34"/>
      <c r="K113" s="37"/>
      <c r="L113" s="35"/>
    </row>
    <row r="114" spans="2:12" s="4" customFormat="1" outlineLevel="1" x14ac:dyDescent="0.4">
      <c r="B114" s="20"/>
      <c r="C114" s="164" t="s">
        <v>165</v>
      </c>
      <c r="D114" s="143"/>
      <c r="E114" s="1"/>
      <c r="F114" s="1"/>
      <c r="G114" s="1"/>
      <c r="H114" s="41"/>
      <c r="I114" s="36"/>
      <c r="J114" s="164" t="s">
        <v>141</v>
      </c>
      <c r="K114" s="37"/>
      <c r="L114" s="35"/>
    </row>
    <row r="115" spans="2:12" s="4" customFormat="1" outlineLevel="1" x14ac:dyDescent="0.4">
      <c r="B115" s="20"/>
      <c r="C115" s="164" t="s">
        <v>160</v>
      </c>
      <c r="D115" s="134" t="s">
        <v>166</v>
      </c>
      <c r="E115" s="1"/>
      <c r="F115" s="1"/>
      <c r="G115" s="1"/>
      <c r="H115" s="42"/>
      <c r="I115" s="164" t="s">
        <v>167</v>
      </c>
      <c r="J115" s="52">
        <f>IFERROR(J120,"Insert data")</f>
        <v>0</v>
      </c>
      <c r="K115" s="62"/>
      <c r="L115" s="35"/>
    </row>
    <row r="116" spans="2:12" s="4" customFormat="1" outlineLevel="1" x14ac:dyDescent="0.4">
      <c r="B116" s="20"/>
      <c r="C116" s="21"/>
      <c r="D116" s="21"/>
      <c r="E116" s="21"/>
      <c r="F116" s="21"/>
      <c r="G116" s="21"/>
      <c r="H116" s="46"/>
      <c r="I116" s="58"/>
      <c r="J116" s="58"/>
      <c r="K116" s="59"/>
      <c r="L116" s="35"/>
    </row>
    <row r="117" spans="2:12" s="4" customFormat="1" outlineLevel="1" x14ac:dyDescent="0.4">
      <c r="B117" s="20"/>
      <c r="C117" s="25" t="s">
        <v>168</v>
      </c>
      <c r="D117" s="21"/>
      <c r="E117" s="21"/>
      <c r="F117" s="21"/>
      <c r="G117" s="21"/>
      <c r="H117" s="21"/>
      <c r="I117" s="21"/>
      <c r="J117" s="21"/>
      <c r="K117" s="21"/>
      <c r="L117" s="35"/>
    </row>
    <row r="118" spans="2:12" s="14" customFormat="1" ht="30.6" outlineLevel="1" x14ac:dyDescent="0.4">
      <c r="B118" s="23"/>
      <c r="C118" s="166" t="s">
        <v>131</v>
      </c>
      <c r="D118" s="166" t="s">
        <v>169</v>
      </c>
      <c r="E118" s="166" t="s">
        <v>170</v>
      </c>
      <c r="F118" s="166" t="s">
        <v>171</v>
      </c>
      <c r="G118" s="24"/>
      <c r="H118" s="303" t="s">
        <v>136</v>
      </c>
      <c r="I118" s="47"/>
      <c r="J118" s="47"/>
      <c r="K118" s="45"/>
      <c r="L118" s="63"/>
    </row>
    <row r="119" spans="2:12" s="4" customFormat="1" outlineLevel="1" x14ac:dyDescent="0.4">
      <c r="B119" s="20"/>
      <c r="C119" s="138" t="s">
        <v>96</v>
      </c>
      <c r="D119" s="93">
        <v>1</v>
      </c>
      <c r="E119" s="135"/>
      <c r="F119" s="31">
        <f>IFERROR(IF(OR(C119="Default",D113="No transport required"),D119,IF(ISBLANK(E119),"Insert data",E119)),"")</f>
        <v>1</v>
      </c>
      <c r="G119" s="21"/>
      <c r="H119" s="41"/>
      <c r="I119" s="36"/>
      <c r="J119" s="164" t="s">
        <v>141</v>
      </c>
      <c r="K119" s="37"/>
      <c r="L119" s="35"/>
    </row>
    <row r="120" spans="2:12" s="4" customFormat="1" outlineLevel="1" x14ac:dyDescent="0.4">
      <c r="B120" s="20"/>
      <c r="C120" s="21"/>
      <c r="D120" s="21"/>
      <c r="E120" s="692" t="str">
        <f>IF(E119&gt;1, "this should not be greater than 1", "")</f>
        <v/>
      </c>
      <c r="F120" s="21"/>
      <c r="G120" s="21"/>
      <c r="H120" s="42"/>
      <c r="I120" s="164" t="s">
        <v>172</v>
      </c>
      <c r="J120" s="52">
        <f>IF(D113="No transport required",0,IFERROR(E123*INDEX(Fuel_EFs,MATCH(D115,Fuels_for_EF,0))*D114/1000,"Insert data"))</f>
        <v>0</v>
      </c>
      <c r="K120" s="62"/>
      <c r="L120" s="35"/>
    </row>
    <row r="121" spans="2:12" s="4" customFormat="1" outlineLevel="1" x14ac:dyDescent="0.4">
      <c r="B121" s="20"/>
      <c r="C121" s="25" t="s">
        <v>173</v>
      </c>
      <c r="D121" s="21"/>
      <c r="E121" s="21"/>
      <c r="F121" s="21"/>
      <c r="G121" s="21"/>
      <c r="H121" s="46"/>
      <c r="I121" s="58"/>
      <c r="J121" s="58"/>
      <c r="K121" s="59"/>
      <c r="L121" s="35"/>
    </row>
    <row r="122" spans="2:12" s="14" customFormat="1" outlineLevel="1" x14ac:dyDescent="0.4">
      <c r="B122" s="23"/>
      <c r="C122" s="176" t="s">
        <v>174</v>
      </c>
      <c r="D122" s="166" t="s">
        <v>175</v>
      </c>
      <c r="E122" s="166" t="s">
        <v>176</v>
      </c>
      <c r="F122" s="24"/>
      <c r="G122" s="24"/>
      <c r="H122" s="21"/>
      <c r="I122" s="21"/>
      <c r="J122" s="21"/>
      <c r="K122" s="21"/>
      <c r="L122" s="63"/>
    </row>
    <row r="123" spans="2:12" s="4" customFormat="1" outlineLevel="1" x14ac:dyDescent="0.4">
      <c r="B123" s="20"/>
      <c r="C123" s="138" t="s">
        <v>96</v>
      </c>
      <c r="D123" s="93">
        <f>IFERROR(INDEX(Transport_Fuel_Efficiencies,MATCH(D113,Transport_Modes,0)),"Insert data")</f>
        <v>0</v>
      </c>
      <c r="E123" s="31">
        <f>IFERROR(IF(C123="Default",D123,IF(OR(ISBLANK(E125),ISBLANK(D129),ISBLANK(D133)),"Insert data",(IF(C129="litres",(D129*(INDEX(Fuel_Densities,MATCH(D115,Fuels_for_Densities,0))/1000)*INDEX(Fuel_LHV,MATCH(D115,Fuels_for_LHV,0)))/(D133*D114),(IF(C129="m3",(D129*(INDEX(Fuel_Densities,MATCH(D115,Fuels_for_Densities,0)))*INDEX(Fuel_LHV,MATCH(D115,Fuels_for_LHV,0)))/(D133*D114),IF(C129="kg",(D129*INDEX(Fuel_LHV,MATCH(D115,Fuels_for_LHV,0)))/(D133*D114),IF(C129="tonnes",(D129*INDEX(Fuel_LHV,MATCH(D115,Fuels_for_LHV,0))*1000)/(D133*D114),IF(C129="MWh",(D129*'Reference values'!$D$47)/(D133*D114),IF(C129="kWh",(D129*'Reference values'!$D$47/1000)/(D133*D114),"Insert unit")))))))))),"")</f>
        <v>0</v>
      </c>
      <c r="F123" s="21"/>
      <c r="G123" s="21"/>
      <c r="H123" s="21"/>
      <c r="I123" s="21"/>
      <c r="J123" s="21"/>
      <c r="K123" s="21"/>
      <c r="L123" s="35"/>
    </row>
    <row r="124" spans="2:12" s="4" customFormat="1" outlineLevel="1" x14ac:dyDescent="0.4">
      <c r="B124" s="20"/>
      <c r="C124" s="21"/>
      <c r="D124" s="21"/>
      <c r="E124" s="21"/>
      <c r="F124" s="21"/>
      <c r="G124" s="21"/>
      <c r="H124" s="21"/>
      <c r="I124" s="21"/>
      <c r="J124" s="21"/>
      <c r="K124" s="21"/>
      <c r="L124" s="35"/>
    </row>
    <row r="125" spans="2:12" s="4" customFormat="1" ht="16.5" customHeight="1" outlineLevel="1" x14ac:dyDescent="0.4">
      <c r="B125" s="20"/>
      <c r="C125" s="759" t="s">
        <v>177</v>
      </c>
      <c r="D125" s="759"/>
      <c r="E125" s="135" t="s">
        <v>178</v>
      </c>
      <c r="F125" s="21"/>
      <c r="G125" s="21"/>
      <c r="L125" s="35"/>
    </row>
    <row r="126" spans="2:12" s="4" customFormat="1" ht="12.75" customHeight="1" outlineLevel="1" x14ac:dyDescent="0.4">
      <c r="B126" s="20"/>
      <c r="C126" s="21"/>
      <c r="D126" s="21"/>
      <c r="E126" s="21"/>
      <c r="F126" s="21"/>
      <c r="G126" s="21"/>
      <c r="L126" s="35"/>
    </row>
    <row r="127" spans="2:12" s="4" customFormat="1" outlineLevel="1" x14ac:dyDescent="0.4">
      <c r="B127" s="20"/>
      <c r="C127" s="25" t="str">
        <f>IF(E125="yes", "Fuel demand for outward journey",IF(E125="No","Fuel demand for full journey (outward and return)",""))</f>
        <v>Fuel demand for full journey (outward and return)</v>
      </c>
      <c r="D127" s="21"/>
      <c r="E127" s="21"/>
      <c r="F127" s="21"/>
      <c r="G127" s="21"/>
      <c r="H127" s="21"/>
      <c r="I127" s="21"/>
      <c r="J127" s="21"/>
      <c r="K127" s="21"/>
      <c r="L127" s="35"/>
    </row>
    <row r="128" spans="2:12" s="4" customFormat="1" outlineLevel="1" x14ac:dyDescent="0.4">
      <c r="B128" s="20"/>
      <c r="C128" s="164" t="s">
        <v>151</v>
      </c>
      <c r="D128" s="164" t="s">
        <v>140</v>
      </c>
      <c r="E128" s="21"/>
      <c r="F128" s="21"/>
      <c r="G128" s="21"/>
      <c r="H128" s="21"/>
      <c r="I128" s="21"/>
      <c r="J128" s="21"/>
      <c r="K128" s="21"/>
      <c r="L128" s="35"/>
    </row>
    <row r="129" spans="2:12" s="4" customFormat="1" outlineLevel="1" x14ac:dyDescent="0.4">
      <c r="B129" s="20"/>
      <c r="C129" s="138"/>
      <c r="D129" s="135"/>
      <c r="E129" s="21"/>
      <c r="F129" s="21"/>
      <c r="G129" s="21"/>
      <c r="H129" s="21"/>
      <c r="I129" s="21"/>
      <c r="J129" s="21"/>
      <c r="K129" s="21"/>
      <c r="L129" s="35"/>
    </row>
    <row r="130" spans="2:12" s="4" customFormat="1" outlineLevel="1" x14ac:dyDescent="0.4">
      <c r="B130" s="20"/>
      <c r="C130" s="21"/>
      <c r="D130" s="21"/>
      <c r="E130" s="21"/>
      <c r="F130" s="21"/>
      <c r="G130" s="21"/>
      <c r="H130" s="21"/>
      <c r="I130" s="21"/>
      <c r="J130" s="21"/>
      <c r="K130" s="21"/>
      <c r="L130" s="35"/>
    </row>
    <row r="131" spans="2:12" s="4" customFormat="1" outlineLevel="1" x14ac:dyDescent="0.4">
      <c r="B131" s="20"/>
      <c r="C131" s="25" t="s">
        <v>180</v>
      </c>
      <c r="D131" s="21"/>
      <c r="E131" s="21"/>
      <c r="F131" s="21"/>
      <c r="G131" s="21"/>
      <c r="H131" s="21"/>
      <c r="I131" s="21"/>
      <c r="J131" s="21"/>
      <c r="K131" s="21"/>
      <c r="L131" s="35"/>
    </row>
    <row r="132" spans="2:12" s="4" customFormat="1" outlineLevel="1" x14ac:dyDescent="0.4">
      <c r="B132" s="20"/>
      <c r="C132" s="164" t="s">
        <v>151</v>
      </c>
      <c r="D132" s="164" t="s">
        <v>140</v>
      </c>
      <c r="E132" s="21"/>
      <c r="F132" s="21"/>
      <c r="G132" s="21"/>
      <c r="H132" s="21"/>
      <c r="I132" s="21"/>
      <c r="J132" s="21"/>
      <c r="K132" s="21"/>
      <c r="L132" s="35"/>
    </row>
    <row r="133" spans="2:12" s="4" customFormat="1" outlineLevel="1" x14ac:dyDescent="0.4">
      <c r="B133" s="20"/>
      <c r="C133" s="138"/>
      <c r="D133" s="135"/>
      <c r="E133" s="21"/>
      <c r="F133" s="21"/>
      <c r="G133" s="21"/>
      <c r="H133" s="21"/>
      <c r="I133" s="21"/>
      <c r="J133" s="21"/>
      <c r="K133" s="21"/>
      <c r="L133" s="35"/>
    </row>
    <row r="134" spans="2:12" s="4" customFormat="1" ht="12.75" customHeight="1" outlineLevel="1" x14ac:dyDescent="0.4">
      <c r="B134" s="28"/>
      <c r="C134" s="29"/>
      <c r="D134" s="29"/>
      <c r="E134" s="29"/>
      <c r="F134" s="29"/>
      <c r="G134" s="29"/>
      <c r="H134" s="29"/>
      <c r="I134" s="29"/>
      <c r="J134" s="29"/>
      <c r="K134" s="29"/>
      <c r="L134" s="60"/>
    </row>
    <row r="135" spans="2:12" s="4" customFormat="1" x14ac:dyDescent="0.4"/>
    <row r="136" spans="2:12" s="4" customFormat="1" hidden="1" x14ac:dyDescent="0.4"/>
    <row r="137" spans="2:12" s="4" customFormat="1" hidden="1" x14ac:dyDescent="0.4"/>
    <row r="138" spans="2:12" s="4" customFormat="1" hidden="1" x14ac:dyDescent="0.4"/>
    <row r="139" spans="2:12" s="4" customFormat="1" hidden="1" x14ac:dyDescent="0.4"/>
    <row r="140" spans="2:12" s="4" customFormat="1" hidden="1" x14ac:dyDescent="0.4"/>
    <row r="141" spans="2:12" s="4" customFormat="1" hidden="1" x14ac:dyDescent="0.4"/>
    <row r="142" spans="2:12" s="4" customFormat="1" hidden="1" x14ac:dyDescent="0.4"/>
    <row r="143" spans="2:12" s="4" customFormat="1" hidden="1" x14ac:dyDescent="0.4"/>
    <row r="144" spans="2:12" s="4" customFormat="1" hidden="1" x14ac:dyDescent="0.4"/>
    <row r="145" spans="2:12" s="4" customFormat="1" hidden="1" x14ac:dyDescent="0.4"/>
    <row r="146" spans="2:12" s="4" customFormat="1" hidden="1" x14ac:dyDescent="0.4"/>
    <row r="147" spans="2:12" s="4" customFormat="1" hidden="1" x14ac:dyDescent="0.4"/>
    <row r="148" spans="2:12" s="4" customFormat="1" hidden="1" x14ac:dyDescent="0.4"/>
    <row r="149" spans="2:12" s="4" customFormat="1" hidden="1" x14ac:dyDescent="0.4"/>
    <row r="150" spans="2:12" s="4" customFormat="1" hidden="1" x14ac:dyDescent="0.4"/>
    <row r="151" spans="2:12" s="4" customFormat="1" hidden="1" x14ac:dyDescent="0.4"/>
    <row r="152" spans="2:12" s="4" customFormat="1" hidden="1" x14ac:dyDescent="0.4"/>
    <row r="153" spans="2:12" s="4" customFormat="1" hidden="1" x14ac:dyDescent="0.4"/>
    <row r="154" spans="2:12" s="4" customFormat="1" hidden="1" x14ac:dyDescent="0.4"/>
    <row r="155" spans="2:12" s="4" customFormat="1" hidden="1" x14ac:dyDescent="0.4"/>
    <row r="156" spans="2:12" s="4" customFormat="1" hidden="1" x14ac:dyDescent="0.4"/>
    <row r="157" spans="2:12" s="4" customFormat="1" hidden="1" x14ac:dyDescent="0.4"/>
    <row r="158" spans="2:12" s="4" customFormat="1" ht="19.2" x14ac:dyDescent="0.45">
      <c r="B158" s="754" t="str">
        <f>"Transport to Plant"&amp;" - "&amp;Feedstocks!C14</f>
        <v xml:space="preserve">Transport to Plant - </v>
      </c>
      <c r="C158" s="755"/>
      <c r="D158" s="755"/>
      <c r="E158" s="755"/>
      <c r="F158" s="755"/>
      <c r="G158" s="755"/>
      <c r="H158" s="755"/>
      <c r="I158" s="755"/>
      <c r="J158" s="755"/>
      <c r="K158" s="755"/>
      <c r="L158" s="756"/>
    </row>
    <row r="159" spans="2:12" s="4" customFormat="1" outlineLevel="1" x14ac:dyDescent="0.4">
      <c r="B159" s="17"/>
      <c r="C159" s="19"/>
      <c r="D159" s="19"/>
      <c r="E159" s="19"/>
      <c r="F159" s="19"/>
      <c r="G159" s="19"/>
      <c r="H159" s="19"/>
      <c r="I159" s="19"/>
      <c r="J159" s="19"/>
      <c r="K159" s="19"/>
      <c r="L159" s="50"/>
    </row>
    <row r="160" spans="2:12" s="4" customFormat="1" outlineLevel="1" x14ac:dyDescent="0.4">
      <c r="B160" s="20"/>
      <c r="C160" s="85"/>
      <c r="D160" s="760"/>
      <c r="E160" s="761"/>
      <c r="F160" s="762"/>
      <c r="G160" s="1"/>
      <c r="H160" s="303" t="s">
        <v>122</v>
      </c>
      <c r="I160" s="47"/>
      <c r="J160" s="47"/>
      <c r="K160" s="61"/>
      <c r="L160" s="35"/>
    </row>
    <row r="161" spans="2:12" s="4" customFormat="1" outlineLevel="1" x14ac:dyDescent="0.4">
      <c r="B161" s="20"/>
      <c r="C161" s="175" t="s">
        <v>123</v>
      </c>
      <c r="D161" s="753" t="str">
        <f>IF(Feedstocks!$H$14&gt;0,Feedstocks!$H$14,"")</f>
        <v/>
      </c>
      <c r="E161" s="753"/>
      <c r="F161" s="753"/>
      <c r="G161" s="76"/>
      <c r="H161" s="43"/>
      <c r="I161" s="36"/>
      <c r="J161" s="164" t="s">
        <v>124</v>
      </c>
      <c r="K161" s="44"/>
      <c r="L161" s="35"/>
    </row>
    <row r="162" spans="2:12" s="12" customFormat="1" ht="15" outlineLevel="1" x14ac:dyDescent="0.35">
      <c r="B162" s="20"/>
      <c r="C162" s="1"/>
      <c r="D162" s="1"/>
      <c r="E162" s="1"/>
      <c r="F162" s="1"/>
      <c r="G162" s="1"/>
      <c r="H162" s="43"/>
      <c r="I162" s="164" t="s">
        <v>125</v>
      </c>
      <c r="J162" s="52" t="str">
        <f>IFERROR((J165/(('Digestion &amp; outputs'!$G$19/1000)))*'Digestion &amp; outputs'!$K$23,"")</f>
        <v/>
      </c>
      <c r="K162" s="44"/>
      <c r="L162" s="54"/>
    </row>
    <row r="163" spans="2:12" s="4" customFormat="1" outlineLevel="1" x14ac:dyDescent="0.4">
      <c r="B163" s="20"/>
      <c r="C163" s="164" t="s">
        <v>163</v>
      </c>
      <c r="D163" s="134" t="s">
        <v>164</v>
      </c>
      <c r="E163" s="1"/>
      <c r="F163" s="1"/>
      <c r="G163" s="1"/>
      <c r="H163" s="41"/>
      <c r="I163" s="34"/>
      <c r="J163" s="34"/>
      <c r="K163" s="37"/>
      <c r="L163" s="35"/>
    </row>
    <row r="164" spans="2:12" s="4" customFormat="1" outlineLevel="1" x14ac:dyDescent="0.4">
      <c r="B164" s="20"/>
      <c r="C164" s="164" t="s">
        <v>165</v>
      </c>
      <c r="D164" s="143"/>
      <c r="E164" s="1"/>
      <c r="F164" s="1"/>
      <c r="G164" s="1"/>
      <c r="H164" s="41"/>
      <c r="I164" s="36"/>
      <c r="J164" s="164" t="s">
        <v>141</v>
      </c>
      <c r="K164" s="37"/>
      <c r="L164" s="35"/>
    </row>
    <row r="165" spans="2:12" s="4" customFormat="1" outlineLevel="1" x14ac:dyDescent="0.4">
      <c r="B165" s="20"/>
      <c r="C165" s="164" t="s">
        <v>160</v>
      </c>
      <c r="D165" s="134" t="s">
        <v>166</v>
      </c>
      <c r="E165" s="1"/>
      <c r="F165" s="1"/>
      <c r="G165" s="1"/>
      <c r="H165" s="42"/>
      <c r="I165" s="164" t="s">
        <v>167</v>
      </c>
      <c r="J165" s="52">
        <f>IFERROR(J170,"Insert data")</f>
        <v>0</v>
      </c>
      <c r="K165" s="62"/>
      <c r="L165" s="35"/>
    </row>
    <row r="166" spans="2:12" s="4" customFormat="1" outlineLevel="1" x14ac:dyDescent="0.4">
      <c r="B166" s="20"/>
      <c r="C166" s="21"/>
      <c r="D166" s="21"/>
      <c r="E166" s="21"/>
      <c r="F166" s="21"/>
      <c r="G166" s="21"/>
      <c r="H166" s="46"/>
      <c r="I166" s="58"/>
      <c r="J166" s="58"/>
      <c r="K166" s="59"/>
      <c r="L166" s="35"/>
    </row>
    <row r="167" spans="2:12" s="4" customFormat="1" outlineLevel="1" x14ac:dyDescent="0.4">
      <c r="B167" s="20"/>
      <c r="C167" s="25" t="s">
        <v>168</v>
      </c>
      <c r="D167" s="21"/>
      <c r="E167" s="21"/>
      <c r="F167" s="21"/>
      <c r="G167" s="21"/>
      <c r="H167" s="21"/>
      <c r="I167" s="21"/>
      <c r="J167" s="21"/>
      <c r="K167" s="21"/>
      <c r="L167" s="35"/>
    </row>
    <row r="168" spans="2:12" s="14" customFormat="1" ht="30.6" outlineLevel="1" x14ac:dyDescent="0.4">
      <c r="B168" s="23"/>
      <c r="C168" s="166" t="s">
        <v>131</v>
      </c>
      <c r="D168" s="166" t="s">
        <v>169</v>
      </c>
      <c r="E168" s="166" t="s">
        <v>170</v>
      </c>
      <c r="F168" s="166" t="s">
        <v>171</v>
      </c>
      <c r="G168" s="24"/>
      <c r="H168" s="303" t="s">
        <v>136</v>
      </c>
      <c r="I168" s="47"/>
      <c r="J168" s="47"/>
      <c r="K168" s="45"/>
      <c r="L168" s="63"/>
    </row>
    <row r="169" spans="2:12" s="4" customFormat="1" outlineLevel="1" x14ac:dyDescent="0.4">
      <c r="B169" s="20"/>
      <c r="C169" s="138" t="s">
        <v>96</v>
      </c>
      <c r="D169" s="93">
        <v>1</v>
      </c>
      <c r="E169" s="135"/>
      <c r="F169" s="31">
        <f>IFERROR(IF(OR(C169="Default",D163="No transport required"),D169,IF(ISBLANK(E169),"Insert data",E169)),"")</f>
        <v>1</v>
      </c>
      <c r="G169" s="21"/>
      <c r="H169" s="41"/>
      <c r="I169" s="36"/>
      <c r="J169" s="164" t="s">
        <v>141</v>
      </c>
      <c r="K169" s="37"/>
      <c r="L169" s="35"/>
    </row>
    <row r="170" spans="2:12" s="4" customFormat="1" outlineLevel="1" x14ac:dyDescent="0.4">
      <c r="B170" s="20"/>
      <c r="C170" s="21"/>
      <c r="D170" s="21"/>
      <c r="E170" s="692" t="str">
        <f>IF(E169&gt;1, "this should not be greater than 1", "")</f>
        <v/>
      </c>
      <c r="F170" s="21"/>
      <c r="G170" s="21"/>
      <c r="H170" s="42"/>
      <c r="I170" s="164" t="s">
        <v>172</v>
      </c>
      <c r="J170" s="52">
        <f>IF(D163="No transport required",0,IFERROR(E173*INDEX(Fuel_EFs,MATCH(D165,Fuels_for_EF,0))*D164/1000,"Insert data"))</f>
        <v>0</v>
      </c>
      <c r="K170" s="62"/>
      <c r="L170" s="35"/>
    </row>
    <row r="171" spans="2:12" s="4" customFormat="1" outlineLevel="1" x14ac:dyDescent="0.4">
      <c r="B171" s="20"/>
      <c r="C171" s="25" t="s">
        <v>173</v>
      </c>
      <c r="D171" s="21"/>
      <c r="E171" s="21"/>
      <c r="F171" s="21"/>
      <c r="G171" s="21"/>
      <c r="H171" s="46"/>
      <c r="I171" s="58"/>
      <c r="J171" s="58"/>
      <c r="K171" s="59"/>
      <c r="L171" s="35"/>
    </row>
    <row r="172" spans="2:12" s="14" customFormat="1" outlineLevel="1" x14ac:dyDescent="0.4">
      <c r="B172" s="23"/>
      <c r="C172" s="176" t="s">
        <v>174</v>
      </c>
      <c r="D172" s="166" t="s">
        <v>175</v>
      </c>
      <c r="E172" s="166" t="s">
        <v>176</v>
      </c>
      <c r="F172" s="24"/>
      <c r="G172" s="24"/>
      <c r="H172" s="4"/>
      <c r="I172" s="4"/>
      <c r="J172" s="4"/>
      <c r="K172" s="4"/>
      <c r="L172" s="63"/>
    </row>
    <row r="173" spans="2:12" s="4" customFormat="1" outlineLevel="1" x14ac:dyDescent="0.4">
      <c r="B173" s="20"/>
      <c r="C173" s="138" t="s">
        <v>96</v>
      </c>
      <c r="D173" s="93">
        <f>IFERROR(INDEX(Transport_Fuel_Efficiencies,MATCH(D163,Transport_Modes,0)),"Insert data")</f>
        <v>0</v>
      </c>
      <c r="E173" s="31">
        <f>IFERROR(IF(C173="Default",D173,IF(OR(ISBLANK(E175),ISBLANK(D179),ISBLANK(D183)),"Insert data",(IF(C179="litres",(D179*(INDEX(Fuel_Densities,MATCH(D165,Fuels_for_Densities,0))/1000)*INDEX(Fuel_LHV,MATCH(D165,Fuels_for_LHV,0)))/(D183*D164),(IF(C179="m3",(D179*(INDEX(Fuel_Densities,MATCH(D165,Fuels_for_Densities,0)))*INDEX(Fuel_LHV,MATCH(D165,Fuels_for_LHV,0)))/(D183*D164),IF(C179="kg",(D179*INDEX(Fuel_LHV,MATCH(D165,Fuels_for_LHV,0)))/(D183*D164),IF(C179="tonnes",(D179*INDEX(Fuel_LHV,MATCH(D165,Fuels_for_LHV,0))*1000)/(D183*D164),IF(C179="MWh",(D179*'Reference values'!$D$47)/(D183*D164),IF(C179="kWh",(D179*'Reference values'!$D$47/1000)/(D183*D164),"Insert unit")))))))))),"")</f>
        <v>0</v>
      </c>
      <c r="F173" s="21"/>
      <c r="G173" s="21"/>
      <c r="H173" s="21"/>
      <c r="I173" s="21"/>
      <c r="J173" s="21"/>
      <c r="K173" s="21"/>
      <c r="L173" s="35"/>
    </row>
    <row r="174" spans="2:12" s="4" customFormat="1" outlineLevel="1" x14ac:dyDescent="0.4">
      <c r="B174" s="20"/>
      <c r="C174" s="21"/>
      <c r="D174" s="21"/>
      <c r="E174" s="21"/>
      <c r="F174" s="21"/>
      <c r="G174" s="21"/>
      <c r="H174" s="21"/>
      <c r="I174" s="21"/>
      <c r="J174" s="21"/>
      <c r="K174" s="21"/>
      <c r="L174" s="35"/>
    </row>
    <row r="175" spans="2:12" s="4" customFormat="1" ht="16.5" customHeight="1" outlineLevel="1" x14ac:dyDescent="0.4">
      <c r="B175" s="20"/>
      <c r="C175" s="759" t="s">
        <v>177</v>
      </c>
      <c r="D175" s="759"/>
      <c r="E175" s="135" t="s">
        <v>178</v>
      </c>
      <c r="F175" s="21"/>
      <c r="G175" s="21"/>
      <c r="L175" s="35"/>
    </row>
    <row r="176" spans="2:12" s="4" customFormat="1" ht="12.75" customHeight="1" outlineLevel="1" x14ac:dyDescent="0.4">
      <c r="B176" s="20"/>
      <c r="C176" s="21"/>
      <c r="D176" s="21"/>
      <c r="E176" s="21"/>
      <c r="F176" s="21"/>
      <c r="G176" s="21"/>
      <c r="L176" s="35"/>
    </row>
    <row r="177" spans="2:12" s="4" customFormat="1" outlineLevel="1" x14ac:dyDescent="0.4">
      <c r="B177" s="20"/>
      <c r="C177" s="25" t="str">
        <f>IF(E175="yes", "Fuel demand for outward journey",IF(E175="No","Fuel demand for full journey (outward and return)",""))</f>
        <v>Fuel demand for full journey (outward and return)</v>
      </c>
      <c r="D177" s="21"/>
      <c r="E177" s="21"/>
      <c r="F177" s="21"/>
      <c r="G177" s="21"/>
      <c r="H177" s="21"/>
      <c r="I177" s="21"/>
      <c r="J177" s="21"/>
      <c r="K177" s="21"/>
      <c r="L177" s="35"/>
    </row>
    <row r="178" spans="2:12" s="4" customFormat="1" outlineLevel="1" x14ac:dyDescent="0.4">
      <c r="B178" s="20"/>
      <c r="C178" s="164" t="s">
        <v>151</v>
      </c>
      <c r="D178" s="164" t="s">
        <v>140</v>
      </c>
      <c r="E178" s="21"/>
      <c r="F178" s="21"/>
      <c r="G178" s="21"/>
      <c r="H178" s="21"/>
      <c r="I178" s="21"/>
      <c r="J178" s="21"/>
      <c r="K178" s="21"/>
      <c r="L178" s="35"/>
    </row>
    <row r="179" spans="2:12" s="4" customFormat="1" outlineLevel="1" x14ac:dyDescent="0.4">
      <c r="B179" s="20"/>
      <c r="C179" s="138"/>
      <c r="D179" s="135"/>
      <c r="E179" s="21"/>
      <c r="F179" s="21"/>
      <c r="G179" s="21"/>
      <c r="H179" s="21"/>
      <c r="I179" s="21"/>
      <c r="J179" s="21"/>
      <c r="K179" s="21"/>
      <c r="L179" s="35"/>
    </row>
    <row r="180" spans="2:12" s="4" customFormat="1" outlineLevel="1" x14ac:dyDescent="0.4">
      <c r="B180" s="20"/>
      <c r="C180" s="21"/>
      <c r="D180" s="21"/>
      <c r="E180" s="21"/>
      <c r="F180" s="21"/>
      <c r="G180" s="21"/>
      <c r="H180" s="21"/>
      <c r="I180" s="21"/>
      <c r="J180" s="21"/>
      <c r="K180" s="21"/>
      <c r="L180" s="35"/>
    </row>
    <row r="181" spans="2:12" s="4" customFormat="1" outlineLevel="1" x14ac:dyDescent="0.4">
      <c r="B181" s="20"/>
      <c r="C181" s="25" t="s">
        <v>180</v>
      </c>
      <c r="D181" s="21"/>
      <c r="E181" s="21"/>
      <c r="F181" s="21"/>
      <c r="G181" s="21"/>
      <c r="H181" s="21"/>
      <c r="I181" s="21"/>
      <c r="J181" s="21"/>
      <c r="K181" s="21"/>
      <c r="L181" s="35"/>
    </row>
    <row r="182" spans="2:12" s="4" customFormat="1" outlineLevel="1" x14ac:dyDescent="0.4">
      <c r="B182" s="20"/>
      <c r="C182" s="164" t="s">
        <v>151</v>
      </c>
      <c r="D182" s="164" t="s">
        <v>140</v>
      </c>
      <c r="E182" s="21"/>
      <c r="F182" s="21"/>
      <c r="G182" s="21"/>
      <c r="H182" s="21"/>
      <c r="I182" s="21"/>
      <c r="J182" s="21"/>
      <c r="K182" s="21"/>
      <c r="L182" s="35"/>
    </row>
    <row r="183" spans="2:12" s="4" customFormat="1" outlineLevel="1" x14ac:dyDescent="0.4">
      <c r="B183" s="20"/>
      <c r="C183" s="138"/>
      <c r="D183" s="135"/>
      <c r="E183" s="21"/>
      <c r="F183" s="21"/>
      <c r="G183" s="21"/>
      <c r="H183" s="21"/>
      <c r="I183" s="21"/>
      <c r="J183" s="21"/>
      <c r="K183" s="21"/>
      <c r="L183" s="35"/>
    </row>
    <row r="184" spans="2:12" s="4" customFormat="1" ht="12.75" customHeight="1" outlineLevel="1" x14ac:dyDescent="0.4">
      <c r="B184" s="28"/>
      <c r="C184" s="29"/>
      <c r="D184" s="29"/>
      <c r="E184" s="29"/>
      <c r="F184" s="29"/>
      <c r="G184" s="29"/>
      <c r="H184" s="29"/>
      <c r="I184" s="29"/>
      <c r="J184" s="29"/>
      <c r="K184" s="29"/>
      <c r="L184" s="60"/>
    </row>
    <row r="185" spans="2:12" s="4" customFormat="1" x14ac:dyDescent="0.4"/>
    <row r="186" spans="2:12" s="4" customFormat="1" hidden="1" x14ac:dyDescent="0.4"/>
    <row r="187" spans="2:12" s="4" customFormat="1" hidden="1" x14ac:dyDescent="0.4"/>
    <row r="188" spans="2:12" s="4" customFormat="1" hidden="1" x14ac:dyDescent="0.4"/>
    <row r="189" spans="2:12" s="4" customFormat="1" hidden="1" x14ac:dyDescent="0.4"/>
    <row r="190" spans="2:12" s="4" customFormat="1" hidden="1" x14ac:dyDescent="0.4"/>
    <row r="191" spans="2:12" s="4" customFormat="1" hidden="1" x14ac:dyDescent="0.4"/>
    <row r="192" spans="2:12" s="4" customFormat="1" hidden="1" x14ac:dyDescent="0.4"/>
    <row r="193" spans="2:12" s="4" customFormat="1" hidden="1" x14ac:dyDescent="0.4"/>
    <row r="194" spans="2:12" s="4" customFormat="1" hidden="1" x14ac:dyDescent="0.4"/>
    <row r="195" spans="2:12" s="4" customFormat="1" hidden="1" x14ac:dyDescent="0.4"/>
    <row r="196" spans="2:12" s="4" customFormat="1" hidden="1" x14ac:dyDescent="0.4"/>
    <row r="197" spans="2:12" s="4" customFormat="1" hidden="1" x14ac:dyDescent="0.4"/>
    <row r="198" spans="2:12" s="4" customFormat="1" hidden="1" x14ac:dyDescent="0.4"/>
    <row r="199" spans="2:12" s="4" customFormat="1" hidden="1" x14ac:dyDescent="0.4"/>
    <row r="200" spans="2:12" s="4" customFormat="1" hidden="1" x14ac:dyDescent="0.4"/>
    <row r="201" spans="2:12" s="4" customFormat="1" hidden="1" x14ac:dyDescent="0.4"/>
    <row r="202" spans="2:12" s="4" customFormat="1" hidden="1" x14ac:dyDescent="0.4"/>
    <row r="203" spans="2:12" s="4" customFormat="1" hidden="1" x14ac:dyDescent="0.4"/>
    <row r="204" spans="2:12" s="4" customFormat="1" hidden="1" x14ac:dyDescent="0.4"/>
    <row r="205" spans="2:12" s="4" customFormat="1" hidden="1" x14ac:dyDescent="0.4"/>
    <row r="206" spans="2:12" s="4" customFormat="1" hidden="1" x14ac:dyDescent="0.4"/>
    <row r="207" spans="2:12" s="4" customFormat="1" hidden="1" x14ac:dyDescent="0.4"/>
    <row r="208" spans="2:12" s="4" customFormat="1" ht="19.2" x14ac:dyDescent="0.45">
      <c r="B208" s="754" t="str">
        <f>"Transport to Plant"&amp;" - "&amp;Feedstocks!C15</f>
        <v xml:space="preserve">Transport to Plant - </v>
      </c>
      <c r="C208" s="755"/>
      <c r="D208" s="755"/>
      <c r="E208" s="755"/>
      <c r="F208" s="755"/>
      <c r="G208" s="755"/>
      <c r="H208" s="755"/>
      <c r="I208" s="755"/>
      <c r="J208" s="755"/>
      <c r="K208" s="755"/>
      <c r="L208" s="756"/>
    </row>
    <row r="209" spans="2:12" s="4" customFormat="1" outlineLevel="1" x14ac:dyDescent="0.4">
      <c r="B209" s="17"/>
      <c r="C209" s="19"/>
      <c r="D209" s="19"/>
      <c r="E209" s="19"/>
      <c r="F209" s="19"/>
      <c r="G209" s="19"/>
      <c r="H209" s="19"/>
      <c r="I209" s="19"/>
      <c r="J209" s="19"/>
      <c r="K209" s="19"/>
      <c r="L209" s="50"/>
    </row>
    <row r="210" spans="2:12" s="4" customFormat="1" outlineLevel="1" x14ac:dyDescent="0.4">
      <c r="B210" s="20"/>
      <c r="C210" s="1"/>
      <c r="D210" s="760"/>
      <c r="E210" s="761"/>
      <c r="F210" s="762"/>
      <c r="G210" s="1"/>
      <c r="H210" s="303" t="s">
        <v>122</v>
      </c>
      <c r="I210" s="47"/>
      <c r="J210" s="47"/>
      <c r="K210" s="61"/>
      <c r="L210" s="35"/>
    </row>
    <row r="211" spans="2:12" s="4" customFormat="1" outlineLevel="1" x14ac:dyDescent="0.4">
      <c r="B211" s="20"/>
      <c r="C211" s="175" t="s">
        <v>123</v>
      </c>
      <c r="D211" s="753" t="str">
        <f>IF(Feedstocks!$H$15&gt;0,Feedstocks!$H$15,"")</f>
        <v/>
      </c>
      <c r="E211" s="753"/>
      <c r="F211" s="753"/>
      <c r="G211" s="76"/>
      <c r="H211" s="43"/>
      <c r="I211" s="36"/>
      <c r="J211" s="164" t="s">
        <v>124</v>
      </c>
      <c r="K211" s="44"/>
      <c r="L211" s="35"/>
    </row>
    <row r="212" spans="2:12" s="12" customFormat="1" ht="15" outlineLevel="1" x14ac:dyDescent="0.35">
      <c r="B212" s="20"/>
      <c r="C212" s="1"/>
      <c r="D212" s="1"/>
      <c r="E212" s="1"/>
      <c r="F212" s="1"/>
      <c r="G212" s="1"/>
      <c r="H212" s="43"/>
      <c r="I212" s="164" t="s">
        <v>125</v>
      </c>
      <c r="J212" s="52" t="str">
        <f>IFERROR((J215/(('Digestion &amp; outputs'!$G$20/1000)))*'Digestion &amp; outputs'!$K$23,"")</f>
        <v/>
      </c>
      <c r="K212" s="44"/>
      <c r="L212" s="54"/>
    </row>
    <row r="213" spans="2:12" s="4" customFormat="1" outlineLevel="1" x14ac:dyDescent="0.4">
      <c r="B213" s="20"/>
      <c r="C213" s="164" t="s">
        <v>163</v>
      </c>
      <c r="D213" s="134" t="s">
        <v>164</v>
      </c>
      <c r="E213" s="1"/>
      <c r="F213" s="1"/>
      <c r="G213" s="1"/>
      <c r="H213" s="41"/>
      <c r="I213" s="34"/>
      <c r="J213" s="34"/>
      <c r="K213" s="37"/>
      <c r="L213" s="35"/>
    </row>
    <row r="214" spans="2:12" s="4" customFormat="1" outlineLevel="1" x14ac:dyDescent="0.4">
      <c r="B214" s="20"/>
      <c r="C214" s="164" t="s">
        <v>165</v>
      </c>
      <c r="D214" s="143"/>
      <c r="E214" s="1"/>
      <c r="F214" s="1"/>
      <c r="G214" s="1"/>
      <c r="H214" s="41"/>
      <c r="I214" s="36"/>
      <c r="J214" s="164" t="s">
        <v>141</v>
      </c>
      <c r="K214" s="37"/>
      <c r="L214" s="35"/>
    </row>
    <row r="215" spans="2:12" s="4" customFormat="1" outlineLevel="1" x14ac:dyDescent="0.4">
      <c r="B215" s="20"/>
      <c r="C215" s="164" t="s">
        <v>160</v>
      </c>
      <c r="D215" s="134" t="s">
        <v>166</v>
      </c>
      <c r="E215" s="1"/>
      <c r="F215" s="1"/>
      <c r="G215" s="1"/>
      <c r="H215" s="42"/>
      <c r="I215" s="164" t="s">
        <v>167</v>
      </c>
      <c r="J215" s="52">
        <f>IFERROR(J220,"Insert data")</f>
        <v>0</v>
      </c>
      <c r="K215" s="62"/>
      <c r="L215" s="35"/>
    </row>
    <row r="216" spans="2:12" s="4" customFormat="1" outlineLevel="1" x14ac:dyDescent="0.4">
      <c r="B216" s="20"/>
      <c r="C216" s="21"/>
      <c r="D216" s="21"/>
      <c r="E216" s="21"/>
      <c r="F216" s="21"/>
      <c r="G216" s="21"/>
      <c r="H216" s="46"/>
      <c r="I216" s="58"/>
      <c r="J216" s="58"/>
      <c r="K216" s="59"/>
      <c r="L216" s="35"/>
    </row>
    <row r="217" spans="2:12" s="4" customFormat="1" outlineLevel="1" x14ac:dyDescent="0.4">
      <c r="B217" s="20"/>
      <c r="C217" s="25" t="s">
        <v>168</v>
      </c>
      <c r="D217" s="21"/>
      <c r="E217" s="21"/>
      <c r="F217" s="21"/>
      <c r="G217" s="21"/>
      <c r="H217" s="21"/>
      <c r="I217" s="21"/>
      <c r="J217" s="21"/>
      <c r="K217" s="21"/>
      <c r="L217" s="35"/>
    </row>
    <row r="218" spans="2:12" s="14" customFormat="1" ht="30.6" outlineLevel="1" x14ac:dyDescent="0.4">
      <c r="B218" s="23"/>
      <c r="C218" s="166" t="s">
        <v>131</v>
      </c>
      <c r="D218" s="166" t="s">
        <v>169</v>
      </c>
      <c r="E218" s="166" t="s">
        <v>170</v>
      </c>
      <c r="F218" s="166" t="s">
        <v>171</v>
      </c>
      <c r="G218" s="24"/>
      <c r="H218" s="303" t="s">
        <v>136</v>
      </c>
      <c r="I218" s="47"/>
      <c r="J218" s="47"/>
      <c r="K218" s="45"/>
      <c r="L218" s="63"/>
    </row>
    <row r="219" spans="2:12" s="4" customFormat="1" outlineLevel="1" x14ac:dyDescent="0.4">
      <c r="B219" s="20"/>
      <c r="C219" s="138" t="s">
        <v>96</v>
      </c>
      <c r="D219" s="93">
        <v>1</v>
      </c>
      <c r="E219" s="135"/>
      <c r="F219" s="31">
        <f>IFERROR(IF(OR(C219="Default",D213="No transport required"),D219,IF(ISBLANK(E219),"Insert data",E219)),"")</f>
        <v>1</v>
      </c>
      <c r="G219" s="21"/>
      <c r="H219" s="41"/>
      <c r="I219" s="36"/>
      <c r="J219" s="164" t="s">
        <v>141</v>
      </c>
      <c r="K219" s="37"/>
      <c r="L219" s="35"/>
    </row>
    <row r="220" spans="2:12" s="4" customFormat="1" outlineLevel="1" x14ac:dyDescent="0.4">
      <c r="B220" s="20"/>
      <c r="C220" s="21"/>
      <c r="D220" s="21"/>
      <c r="E220" s="692" t="str">
        <f>IF(E219&gt;1, "this should not be greater than 1", "")</f>
        <v/>
      </c>
      <c r="F220" s="21"/>
      <c r="G220" s="21"/>
      <c r="H220" s="42"/>
      <c r="I220" s="164" t="s">
        <v>172</v>
      </c>
      <c r="J220" s="52">
        <f>IF(D213="No transport required",0,IFERROR(E223*INDEX(Fuel_EFs,MATCH(D215,Fuels_for_EF,0))*D214/1000,"Insert data"))</f>
        <v>0</v>
      </c>
      <c r="K220" s="62"/>
      <c r="L220" s="35"/>
    </row>
    <row r="221" spans="2:12" s="4" customFormat="1" outlineLevel="1" x14ac:dyDescent="0.4">
      <c r="B221" s="20"/>
      <c r="C221" s="25" t="s">
        <v>173</v>
      </c>
      <c r="D221" s="21"/>
      <c r="E221" s="21"/>
      <c r="F221" s="21"/>
      <c r="G221" s="21"/>
      <c r="H221" s="46"/>
      <c r="I221" s="58"/>
      <c r="J221" s="58"/>
      <c r="K221" s="59"/>
      <c r="L221" s="35"/>
    </row>
    <row r="222" spans="2:12" s="14" customFormat="1" outlineLevel="1" x14ac:dyDescent="0.4">
      <c r="B222" s="23"/>
      <c r="C222" s="176" t="s">
        <v>174</v>
      </c>
      <c r="D222" s="166" t="s">
        <v>175</v>
      </c>
      <c r="E222" s="166" t="s">
        <v>176</v>
      </c>
      <c r="F222" s="24"/>
      <c r="G222" s="24"/>
      <c r="H222" s="21"/>
      <c r="I222" s="21"/>
      <c r="J222" s="21"/>
      <c r="K222" s="21"/>
      <c r="L222" s="63"/>
    </row>
    <row r="223" spans="2:12" s="4" customFormat="1" outlineLevel="1" x14ac:dyDescent="0.4">
      <c r="B223" s="20"/>
      <c r="C223" s="138" t="s">
        <v>96</v>
      </c>
      <c r="D223" s="93">
        <f>IFERROR(INDEX(Transport_Fuel_Efficiencies,MATCH(D213,Transport_Modes,0)),"Insert data")</f>
        <v>0</v>
      </c>
      <c r="E223" s="31">
        <f>IFERROR(IF(C223="Default",D223,IF(OR(ISBLANK(E225),ISBLANK(D229),ISBLANK(D233)),"Insert data",(IF(C229="litres",(D229*(INDEX(Fuel_Densities,MATCH(D215,Fuels_for_Densities,0))/1000)*INDEX(Fuel_LHV,MATCH(D215,Fuels_for_LHV,0)))/(D233*D214),(IF(C229="m3",(D229*(INDEX(Fuel_Densities,MATCH(D215,Fuels_for_Densities,0)))*INDEX(Fuel_LHV,MATCH(D215,Fuels_for_LHV,0)))/(D233*D214),IF(C229="kg",(D229*INDEX(Fuel_LHV,MATCH(D215,Fuels_for_LHV,0)))/(D233*D214),IF(C229="tonnes",(D229*INDEX(Fuel_LHV,MATCH(D215,Fuels_for_LHV,0))*1000)/(D233*D214),IF(C229="MWh",(D229*'Reference values'!$D$47)/(D233*D214),IF(C229="kWh",(D229*'Reference values'!$D$47/1000)/(D233*D214),"Insert unit")))))))))),"")</f>
        <v>0</v>
      </c>
      <c r="F223" s="21"/>
      <c r="G223" s="21"/>
      <c r="H223" s="21"/>
      <c r="I223" s="21"/>
      <c r="J223" s="21"/>
      <c r="K223" s="21"/>
      <c r="L223" s="35"/>
    </row>
    <row r="224" spans="2:12" s="4" customFormat="1" outlineLevel="1" x14ac:dyDescent="0.4">
      <c r="B224" s="20"/>
      <c r="C224" s="21"/>
      <c r="D224" s="21"/>
      <c r="E224" s="21"/>
      <c r="F224" s="21"/>
      <c r="G224" s="21"/>
      <c r="H224" s="21"/>
      <c r="I224" s="21"/>
      <c r="J224" s="21"/>
      <c r="K224" s="21"/>
      <c r="L224" s="35"/>
    </row>
    <row r="225" spans="2:12" s="4" customFormat="1" ht="16.5" customHeight="1" outlineLevel="1" x14ac:dyDescent="0.4">
      <c r="B225" s="20"/>
      <c r="C225" s="759" t="s">
        <v>177</v>
      </c>
      <c r="D225" s="759"/>
      <c r="E225" s="135" t="s">
        <v>178</v>
      </c>
      <c r="F225" s="21"/>
      <c r="G225" s="21"/>
      <c r="H225" s="21"/>
      <c r="I225" s="21"/>
      <c r="J225" s="21"/>
      <c r="K225" s="21"/>
      <c r="L225" s="35"/>
    </row>
    <row r="226" spans="2:12" s="4" customFormat="1" ht="12.75" customHeight="1" outlineLevel="1" x14ac:dyDescent="0.4">
      <c r="B226" s="20"/>
      <c r="C226" s="21"/>
      <c r="D226" s="21"/>
      <c r="E226" s="21"/>
      <c r="F226" s="21"/>
      <c r="G226" s="21"/>
      <c r="L226" s="35"/>
    </row>
    <row r="227" spans="2:12" s="4" customFormat="1" outlineLevel="1" x14ac:dyDescent="0.4">
      <c r="B227" s="20"/>
      <c r="C227" s="25" t="str">
        <f>IF(E225="yes", "Fuel demand for outward journey",IF(E225="No","Fuel demand for full journey (outward and return)",""))</f>
        <v>Fuel demand for full journey (outward and return)</v>
      </c>
      <c r="D227" s="21"/>
      <c r="E227" s="21"/>
      <c r="F227" s="21"/>
      <c r="G227" s="21"/>
      <c r="H227" s="21"/>
      <c r="I227" s="21"/>
      <c r="J227" s="21"/>
      <c r="K227" s="21"/>
      <c r="L227" s="35"/>
    </row>
    <row r="228" spans="2:12" s="4" customFormat="1" outlineLevel="1" x14ac:dyDescent="0.4">
      <c r="B228" s="20"/>
      <c r="C228" s="164" t="s">
        <v>151</v>
      </c>
      <c r="D228" s="164" t="s">
        <v>140</v>
      </c>
      <c r="E228" s="21"/>
      <c r="F228" s="21"/>
      <c r="G228" s="21"/>
      <c r="H228" s="21"/>
      <c r="I228" s="21"/>
      <c r="J228" s="21"/>
      <c r="K228" s="21"/>
      <c r="L228" s="35"/>
    </row>
    <row r="229" spans="2:12" s="4" customFormat="1" outlineLevel="1" x14ac:dyDescent="0.4">
      <c r="B229" s="20"/>
      <c r="C229" s="138"/>
      <c r="D229" s="135"/>
      <c r="E229" s="21"/>
      <c r="F229" s="21"/>
      <c r="G229" s="21"/>
      <c r="H229" s="21"/>
      <c r="I229" s="21"/>
      <c r="J229" s="21"/>
      <c r="K229" s="21"/>
      <c r="L229" s="35"/>
    </row>
    <row r="230" spans="2:12" s="4" customFormat="1" outlineLevel="1" x14ac:dyDescent="0.4">
      <c r="B230" s="20"/>
      <c r="C230" s="21"/>
      <c r="D230" s="21"/>
      <c r="E230" s="21"/>
      <c r="F230" s="21"/>
      <c r="G230" s="21"/>
      <c r="H230" s="21"/>
      <c r="I230" s="21"/>
      <c r="J230" s="21"/>
      <c r="K230" s="21"/>
      <c r="L230" s="35"/>
    </row>
    <row r="231" spans="2:12" s="4" customFormat="1" outlineLevel="1" x14ac:dyDescent="0.4">
      <c r="B231" s="20"/>
      <c r="C231" s="25" t="s">
        <v>180</v>
      </c>
      <c r="D231" s="21"/>
      <c r="E231" s="21"/>
      <c r="F231" s="21"/>
      <c r="G231" s="21"/>
      <c r="H231" s="21"/>
      <c r="I231" s="21"/>
      <c r="J231" s="21"/>
      <c r="K231" s="21"/>
      <c r="L231" s="35"/>
    </row>
    <row r="232" spans="2:12" s="4" customFormat="1" outlineLevel="1" x14ac:dyDescent="0.4">
      <c r="B232" s="20"/>
      <c r="C232" s="164" t="s">
        <v>151</v>
      </c>
      <c r="D232" s="164" t="s">
        <v>140</v>
      </c>
      <c r="E232" s="21"/>
      <c r="F232" s="21"/>
      <c r="G232" s="21"/>
      <c r="H232" s="21"/>
      <c r="I232" s="21"/>
      <c r="J232" s="21"/>
      <c r="K232" s="21"/>
      <c r="L232" s="35"/>
    </row>
    <row r="233" spans="2:12" s="4" customFormat="1" outlineLevel="1" x14ac:dyDescent="0.4">
      <c r="B233" s="20"/>
      <c r="C233" s="138"/>
      <c r="D233" s="135"/>
      <c r="E233" s="21"/>
      <c r="F233" s="21"/>
      <c r="G233" s="21"/>
      <c r="H233" s="21"/>
      <c r="I233" s="21"/>
      <c r="J233" s="21"/>
      <c r="K233" s="21"/>
      <c r="L233" s="35"/>
    </row>
    <row r="234" spans="2:12" s="4" customFormat="1" ht="12.75" customHeight="1" outlineLevel="1" x14ac:dyDescent="0.4">
      <c r="B234" s="28"/>
      <c r="C234" s="29"/>
      <c r="D234" s="29"/>
      <c r="E234" s="29"/>
      <c r="F234" s="29"/>
      <c r="G234" s="29"/>
      <c r="H234" s="29"/>
      <c r="I234" s="29"/>
      <c r="J234" s="29"/>
      <c r="K234" s="29"/>
      <c r="L234" s="60"/>
    </row>
    <row r="235" spans="2:12" s="4" customFormat="1" x14ac:dyDescent="0.4"/>
    <row r="236" spans="2:12" s="4" customFormat="1" hidden="1" x14ac:dyDescent="0.4"/>
    <row r="237" spans="2:12" s="4" customFormat="1" hidden="1" x14ac:dyDescent="0.4"/>
    <row r="238" spans="2:12" s="4" customFormat="1" hidden="1" x14ac:dyDescent="0.4"/>
    <row r="239" spans="2:12" s="4" customFormat="1" hidden="1" x14ac:dyDescent="0.4"/>
    <row r="240" spans="2:12" s="4" customFormat="1" hidden="1" x14ac:dyDescent="0.4"/>
    <row r="241" s="4" customFormat="1" hidden="1" x14ac:dyDescent="0.4"/>
    <row r="242" s="4" customFormat="1" hidden="1" x14ac:dyDescent="0.4"/>
    <row r="243" s="4" customFormat="1" hidden="1" x14ac:dyDescent="0.4"/>
    <row r="244" s="4" customFormat="1" hidden="1" x14ac:dyDescent="0.4"/>
    <row r="245" s="4" customFormat="1" hidden="1" x14ac:dyDescent="0.4"/>
    <row r="246" s="4" customFormat="1" hidden="1" x14ac:dyDescent="0.4"/>
    <row r="247" s="4" customFormat="1" hidden="1" x14ac:dyDescent="0.4"/>
    <row r="248" s="4" customFormat="1" hidden="1" x14ac:dyDescent="0.4"/>
    <row r="249" s="4" customFormat="1" hidden="1" x14ac:dyDescent="0.4"/>
    <row r="250" s="4" customFormat="1" hidden="1" x14ac:dyDescent="0.4"/>
    <row r="251" s="4" customFormat="1" hidden="1" x14ac:dyDescent="0.4"/>
    <row r="252" s="4" customFormat="1" hidden="1" x14ac:dyDescent="0.4"/>
    <row r="253" s="4" customFormat="1" hidden="1" x14ac:dyDescent="0.4"/>
    <row r="254" s="4" customFormat="1" hidden="1" x14ac:dyDescent="0.4"/>
    <row r="255" s="4" customFormat="1" hidden="1" x14ac:dyDescent="0.4"/>
    <row r="256" s="4" customFormat="1" hidden="1" x14ac:dyDescent="0.4"/>
    <row r="257" spans="2:12" s="4" customFormat="1" hidden="1" x14ac:dyDescent="0.4"/>
    <row r="258" spans="2:12" s="4" customFormat="1" ht="19.2" x14ac:dyDescent="0.45">
      <c r="B258" s="754" t="str">
        <f>"Transport to Plant"&amp;" - "&amp;Feedstocks!C16</f>
        <v xml:space="preserve">Transport to Plant - </v>
      </c>
      <c r="C258" s="755"/>
      <c r="D258" s="755"/>
      <c r="E258" s="755"/>
      <c r="F258" s="755"/>
      <c r="G258" s="755"/>
      <c r="H258" s="755"/>
      <c r="I258" s="755"/>
      <c r="J258" s="755"/>
      <c r="K258" s="755"/>
      <c r="L258" s="756"/>
    </row>
    <row r="259" spans="2:12" s="4" customFormat="1" outlineLevel="1" x14ac:dyDescent="0.4">
      <c r="B259" s="17"/>
      <c r="C259" s="19"/>
      <c r="D259" s="19"/>
      <c r="E259" s="19"/>
      <c r="F259" s="19"/>
      <c r="G259" s="19"/>
      <c r="H259" s="19"/>
      <c r="I259" s="19"/>
      <c r="J259" s="19"/>
      <c r="K259" s="19"/>
      <c r="L259" s="50"/>
    </row>
    <row r="260" spans="2:12" s="4" customFormat="1" outlineLevel="1" x14ac:dyDescent="0.4">
      <c r="B260" s="20"/>
      <c r="C260" s="85"/>
      <c r="D260" s="760"/>
      <c r="E260" s="761"/>
      <c r="F260" s="762"/>
      <c r="G260" s="1"/>
      <c r="H260" s="303" t="s">
        <v>122</v>
      </c>
      <c r="I260" s="47"/>
      <c r="J260" s="47"/>
      <c r="K260" s="61"/>
      <c r="L260" s="35"/>
    </row>
    <row r="261" spans="2:12" s="4" customFormat="1" outlineLevel="1" x14ac:dyDescent="0.4">
      <c r="B261" s="20"/>
      <c r="C261" s="175" t="s">
        <v>123</v>
      </c>
      <c r="D261" s="753" t="str">
        <f>IF(Feedstocks!$H$16&gt;0,Feedstocks!$H$16,"")</f>
        <v/>
      </c>
      <c r="E261" s="753"/>
      <c r="F261" s="753"/>
      <c r="G261" s="76"/>
      <c r="H261" s="43"/>
      <c r="I261" s="36"/>
      <c r="J261" s="164" t="s">
        <v>124</v>
      </c>
      <c r="K261" s="44"/>
      <c r="L261" s="35"/>
    </row>
    <row r="262" spans="2:12" s="12" customFormat="1" ht="15" outlineLevel="1" x14ac:dyDescent="0.35">
      <c r="B262" s="20"/>
      <c r="C262" s="1"/>
      <c r="D262" s="1"/>
      <c r="E262" s="1"/>
      <c r="F262" s="1"/>
      <c r="G262" s="1"/>
      <c r="H262" s="43"/>
      <c r="I262" s="164" t="s">
        <v>125</v>
      </c>
      <c r="J262" s="52" t="str">
        <f>IFERROR((J265/(('Digestion &amp; outputs'!$G$21/1000)))*'Digestion &amp; outputs'!$K$23,"")</f>
        <v/>
      </c>
      <c r="K262" s="44"/>
      <c r="L262" s="54"/>
    </row>
    <row r="263" spans="2:12" s="4" customFormat="1" outlineLevel="1" x14ac:dyDescent="0.4">
      <c r="B263" s="20"/>
      <c r="C263" s="164" t="s">
        <v>163</v>
      </c>
      <c r="D263" s="134" t="s">
        <v>164</v>
      </c>
      <c r="E263" s="1"/>
      <c r="F263" s="1"/>
      <c r="G263" s="1"/>
      <c r="H263" s="41"/>
      <c r="I263" s="34"/>
      <c r="J263" s="34"/>
      <c r="K263" s="37"/>
      <c r="L263" s="35"/>
    </row>
    <row r="264" spans="2:12" s="4" customFormat="1" outlineLevel="1" x14ac:dyDescent="0.4">
      <c r="B264" s="20"/>
      <c r="C264" s="164" t="s">
        <v>165</v>
      </c>
      <c r="D264" s="143"/>
      <c r="E264" s="1"/>
      <c r="F264" s="1"/>
      <c r="G264" s="1"/>
      <c r="H264" s="41"/>
      <c r="I264" s="36"/>
      <c r="J264" s="164" t="s">
        <v>141</v>
      </c>
      <c r="K264" s="37"/>
      <c r="L264" s="35"/>
    </row>
    <row r="265" spans="2:12" s="4" customFormat="1" outlineLevel="1" x14ac:dyDescent="0.4">
      <c r="B265" s="20"/>
      <c r="C265" s="164" t="s">
        <v>160</v>
      </c>
      <c r="D265" s="134" t="s">
        <v>166</v>
      </c>
      <c r="E265" s="1"/>
      <c r="F265" s="1"/>
      <c r="G265" s="1"/>
      <c r="H265" s="42"/>
      <c r="I265" s="164" t="s">
        <v>167</v>
      </c>
      <c r="J265" s="52">
        <f>IFERROR(J270,"Insert data")</f>
        <v>0</v>
      </c>
      <c r="K265" s="62"/>
      <c r="L265" s="35"/>
    </row>
    <row r="266" spans="2:12" s="4" customFormat="1" outlineLevel="1" x14ac:dyDescent="0.4">
      <c r="B266" s="20"/>
      <c r="C266" s="21"/>
      <c r="D266" s="21"/>
      <c r="E266" s="21"/>
      <c r="F266" s="21"/>
      <c r="G266" s="21"/>
      <c r="H266" s="46"/>
      <c r="I266" s="58"/>
      <c r="J266" s="58"/>
      <c r="K266" s="59"/>
      <c r="L266" s="35"/>
    </row>
    <row r="267" spans="2:12" s="4" customFormat="1" outlineLevel="1" x14ac:dyDescent="0.4">
      <c r="B267" s="20"/>
      <c r="C267" s="25" t="s">
        <v>168</v>
      </c>
      <c r="D267" s="21"/>
      <c r="E267" s="21"/>
      <c r="F267" s="21"/>
      <c r="G267" s="21"/>
      <c r="H267" s="21"/>
      <c r="I267" s="21"/>
      <c r="J267" s="21"/>
      <c r="K267" s="21"/>
      <c r="L267" s="35"/>
    </row>
    <row r="268" spans="2:12" s="14" customFormat="1" ht="30.6" outlineLevel="1" x14ac:dyDescent="0.4">
      <c r="B268" s="23"/>
      <c r="C268" s="166" t="s">
        <v>131</v>
      </c>
      <c r="D268" s="166" t="s">
        <v>169</v>
      </c>
      <c r="E268" s="166" t="s">
        <v>170</v>
      </c>
      <c r="F268" s="166" t="s">
        <v>171</v>
      </c>
      <c r="G268" s="24"/>
      <c r="H268" s="303" t="s">
        <v>136</v>
      </c>
      <c r="I268" s="47"/>
      <c r="J268" s="47"/>
      <c r="K268" s="45"/>
      <c r="L268" s="63"/>
    </row>
    <row r="269" spans="2:12" s="4" customFormat="1" outlineLevel="1" x14ac:dyDescent="0.4">
      <c r="B269" s="20"/>
      <c r="C269" s="138" t="s">
        <v>96</v>
      </c>
      <c r="D269" s="93">
        <v>1</v>
      </c>
      <c r="E269" s="135"/>
      <c r="F269" s="31">
        <f>IFERROR(IF(OR(C269="Default",D263="No transport required"),D269,IF(ISBLANK(E269),"Insert data",E269)),"")</f>
        <v>1</v>
      </c>
      <c r="G269" s="21"/>
      <c r="H269" s="41"/>
      <c r="I269" s="36"/>
      <c r="J269" s="164" t="s">
        <v>141</v>
      </c>
      <c r="K269" s="37"/>
      <c r="L269" s="35"/>
    </row>
    <row r="270" spans="2:12" s="4" customFormat="1" outlineLevel="1" x14ac:dyDescent="0.4">
      <c r="B270" s="20"/>
      <c r="C270" s="21"/>
      <c r="D270" s="21"/>
      <c r="E270" s="692" t="str">
        <f>IF(E269&gt;1, "this should not be greater than 1", "")</f>
        <v/>
      </c>
      <c r="F270" s="21"/>
      <c r="G270" s="21"/>
      <c r="H270" s="42"/>
      <c r="I270" s="164" t="s">
        <v>172</v>
      </c>
      <c r="J270" s="52">
        <f>IF(D263="No transport required",0,IFERROR(E273*INDEX(Fuel_EFs,MATCH(D265,Fuels_for_EF,0))*D264/1000,"Insert data"))</f>
        <v>0</v>
      </c>
      <c r="K270" s="62"/>
      <c r="L270" s="35"/>
    </row>
    <row r="271" spans="2:12" s="4" customFormat="1" outlineLevel="1" x14ac:dyDescent="0.4">
      <c r="B271" s="20"/>
      <c r="C271" s="25" t="s">
        <v>173</v>
      </c>
      <c r="D271" s="21"/>
      <c r="E271" s="21"/>
      <c r="F271" s="21"/>
      <c r="G271" s="21"/>
      <c r="H271" s="46"/>
      <c r="I271" s="58"/>
      <c r="J271" s="58"/>
      <c r="K271" s="59"/>
      <c r="L271" s="35"/>
    </row>
    <row r="272" spans="2:12" s="14" customFormat="1" outlineLevel="1" x14ac:dyDescent="0.4">
      <c r="B272" s="23"/>
      <c r="C272" s="176" t="s">
        <v>174</v>
      </c>
      <c r="D272" s="166" t="s">
        <v>175</v>
      </c>
      <c r="E272" s="166" t="s">
        <v>176</v>
      </c>
      <c r="F272" s="24"/>
      <c r="G272" s="24"/>
      <c r="H272" s="4"/>
      <c r="I272" s="4"/>
      <c r="J272" s="4"/>
      <c r="K272" s="4"/>
      <c r="L272" s="63"/>
    </row>
    <row r="273" spans="2:12" s="4" customFormat="1" outlineLevel="1" x14ac:dyDescent="0.4">
      <c r="B273" s="20"/>
      <c r="C273" s="138" t="s">
        <v>96</v>
      </c>
      <c r="D273" s="93">
        <f>IFERROR(INDEX(Transport_Fuel_Efficiencies,MATCH(D263,Transport_Modes,0)),"Insert data")</f>
        <v>0</v>
      </c>
      <c r="E273" s="31">
        <f>IFERROR(IF(C273="Default",D273,IF(OR(ISBLANK(E275),ISBLANK(D279),ISBLANK(D283)),"Insert data",(IF(C279="litres",(D279*(INDEX(Fuel_Densities,MATCH(D265,Fuels_for_Densities,0))/1000)*INDEX(Fuel_LHV,MATCH(D265,Fuels_for_LHV,0)))/(D283*D264),(IF(C279="m3",(D279*(INDEX(Fuel_Densities,MATCH(D265,Fuels_for_Densities,0)))*INDEX(Fuel_LHV,MATCH(D265,Fuels_for_LHV,0)))/(D283*D264),IF(C279="kg",(D279*INDEX(Fuel_LHV,MATCH(D265,Fuels_for_LHV,0)))/(D283*D264),IF(C279="tonnes",(D279*INDEX(Fuel_LHV,MATCH(D265,Fuels_for_LHV,0))*1000)/(D283*D264),IF(C279="MWh",(D279*'Reference values'!$D$47)/(D283*D264),IF(C279="kWh",(D279*'Reference values'!$D$47/1000)/(D283*D264),"Insert unit")))))))))),"")</f>
        <v>0</v>
      </c>
      <c r="F273" s="21"/>
      <c r="G273" s="21"/>
      <c r="L273" s="35"/>
    </row>
    <row r="274" spans="2:12" s="4" customFormat="1" outlineLevel="1" x14ac:dyDescent="0.4">
      <c r="B274" s="20"/>
      <c r="C274" s="21"/>
      <c r="D274" s="21"/>
      <c r="E274" s="21"/>
      <c r="F274" s="21"/>
      <c r="G274" s="21"/>
      <c r="H274" s="21"/>
      <c r="I274" s="21"/>
      <c r="J274" s="21"/>
      <c r="K274" s="21"/>
      <c r="L274" s="35"/>
    </row>
    <row r="275" spans="2:12" s="4" customFormat="1" ht="16.5" customHeight="1" outlineLevel="1" x14ac:dyDescent="0.4">
      <c r="B275" s="20"/>
      <c r="C275" s="759" t="s">
        <v>177</v>
      </c>
      <c r="D275" s="759"/>
      <c r="E275" s="135" t="s">
        <v>178</v>
      </c>
      <c r="F275" s="21"/>
      <c r="G275" s="21"/>
      <c r="L275" s="35"/>
    </row>
    <row r="276" spans="2:12" s="4" customFormat="1" ht="12.75" customHeight="1" outlineLevel="1" x14ac:dyDescent="0.4">
      <c r="B276" s="20"/>
      <c r="C276" s="21"/>
      <c r="D276" s="21"/>
      <c r="E276" s="21"/>
      <c r="F276" s="21"/>
      <c r="G276" s="21"/>
      <c r="L276" s="35"/>
    </row>
    <row r="277" spans="2:12" s="4" customFormat="1" outlineLevel="1" x14ac:dyDescent="0.4">
      <c r="B277" s="20"/>
      <c r="C277" s="25" t="str">
        <f>IF(E275="yes", "Fuel demand for outward journey",IF(E275="No","Fuel demand for full journey (outward and return)",""))</f>
        <v>Fuel demand for full journey (outward and return)</v>
      </c>
      <c r="D277" s="21"/>
      <c r="E277" s="21"/>
      <c r="F277" s="21"/>
      <c r="G277" s="21"/>
      <c r="H277" s="21"/>
      <c r="I277" s="21"/>
      <c r="J277" s="21"/>
      <c r="K277" s="21"/>
      <c r="L277" s="35"/>
    </row>
    <row r="278" spans="2:12" s="4" customFormat="1" outlineLevel="1" x14ac:dyDescent="0.4">
      <c r="B278" s="20"/>
      <c r="C278" s="164" t="s">
        <v>151</v>
      </c>
      <c r="D278" s="164" t="s">
        <v>140</v>
      </c>
      <c r="E278" s="21"/>
      <c r="F278" s="21"/>
      <c r="G278" s="21"/>
      <c r="H278" s="21"/>
      <c r="I278" s="21"/>
      <c r="J278" s="21"/>
      <c r="K278" s="21"/>
      <c r="L278" s="35"/>
    </row>
    <row r="279" spans="2:12" s="4" customFormat="1" outlineLevel="1" x14ac:dyDescent="0.4">
      <c r="B279" s="20"/>
      <c r="C279" s="138"/>
      <c r="D279" s="135"/>
      <c r="E279" s="21"/>
      <c r="F279" s="21"/>
      <c r="G279" s="21"/>
      <c r="H279" s="21"/>
      <c r="I279" s="21"/>
      <c r="J279" s="21"/>
      <c r="K279" s="21"/>
      <c r="L279" s="35"/>
    </row>
    <row r="280" spans="2:12" s="4" customFormat="1" outlineLevel="1" x14ac:dyDescent="0.4">
      <c r="B280" s="20"/>
      <c r="C280" s="21"/>
      <c r="D280" s="21"/>
      <c r="E280" s="21"/>
      <c r="F280" s="21"/>
      <c r="G280" s="21"/>
      <c r="H280" s="21"/>
      <c r="I280" s="21"/>
      <c r="J280" s="21"/>
      <c r="K280" s="21"/>
      <c r="L280" s="35"/>
    </row>
    <row r="281" spans="2:12" s="4" customFormat="1" outlineLevel="1" x14ac:dyDescent="0.4">
      <c r="B281" s="20"/>
      <c r="C281" s="25" t="s">
        <v>180</v>
      </c>
      <c r="D281" s="21"/>
      <c r="E281" s="21"/>
      <c r="F281" s="21"/>
      <c r="G281" s="21"/>
      <c r="H281" s="21"/>
      <c r="I281" s="21"/>
      <c r="J281" s="21"/>
      <c r="K281" s="21"/>
      <c r="L281" s="35"/>
    </row>
    <row r="282" spans="2:12" s="4" customFormat="1" outlineLevel="1" x14ac:dyDescent="0.4">
      <c r="B282" s="20"/>
      <c r="C282" s="164" t="s">
        <v>151</v>
      </c>
      <c r="D282" s="164" t="s">
        <v>140</v>
      </c>
      <c r="E282" s="21"/>
      <c r="F282" s="21"/>
      <c r="G282" s="21"/>
      <c r="H282" s="21"/>
      <c r="I282" s="21"/>
      <c r="J282" s="21"/>
      <c r="K282" s="21"/>
      <c r="L282" s="35"/>
    </row>
    <row r="283" spans="2:12" s="4" customFormat="1" outlineLevel="1" x14ac:dyDescent="0.4">
      <c r="B283" s="20"/>
      <c r="C283" s="138"/>
      <c r="D283" s="135"/>
      <c r="E283" s="21"/>
      <c r="F283" s="21"/>
      <c r="G283" s="21"/>
      <c r="H283" s="21"/>
      <c r="I283" s="21"/>
      <c r="J283" s="21"/>
      <c r="K283" s="21"/>
      <c r="L283" s="35"/>
    </row>
    <row r="284" spans="2:12" s="4" customFormat="1" ht="12.75" customHeight="1" outlineLevel="1" x14ac:dyDescent="0.4">
      <c r="B284" s="28"/>
      <c r="C284" s="29"/>
      <c r="D284" s="29"/>
      <c r="E284" s="29"/>
      <c r="F284" s="29"/>
      <c r="G284" s="29"/>
      <c r="H284" s="29"/>
      <c r="I284" s="29"/>
      <c r="J284" s="29"/>
      <c r="K284" s="29"/>
      <c r="L284" s="60"/>
    </row>
    <row r="285" spans="2:12" s="4" customFormat="1" x14ac:dyDescent="0.4"/>
    <row r="286" spans="2:12" s="4" customFormat="1" hidden="1" x14ac:dyDescent="0.4"/>
    <row r="287" spans="2:12" s="4" customFormat="1" hidden="1" x14ac:dyDescent="0.4"/>
    <row r="288" spans="2:12" s="4" customFormat="1" hidden="1" x14ac:dyDescent="0.4"/>
    <row r="289" s="4" customFormat="1" hidden="1" x14ac:dyDescent="0.4"/>
    <row r="290" s="4" customFormat="1" hidden="1" x14ac:dyDescent="0.4"/>
    <row r="291" s="4" customFormat="1" ht="16.5" hidden="1" customHeight="1" x14ac:dyDescent="0.4"/>
    <row r="292" s="4" customFormat="1" ht="16.5" hidden="1" customHeight="1" x14ac:dyDescent="0.4"/>
    <row r="293" s="4" customFormat="1" ht="16.5" hidden="1" customHeight="1" x14ac:dyDescent="0.4"/>
    <row r="294" s="4" customFormat="1" ht="16.5" hidden="1" customHeight="1" x14ac:dyDescent="0.4"/>
    <row r="295" s="4" customFormat="1" ht="16.5" hidden="1" customHeight="1" x14ac:dyDescent="0.4"/>
    <row r="296" s="4" customFormat="1" ht="16.5" hidden="1" customHeight="1" x14ac:dyDescent="0.4"/>
    <row r="297" s="4" customFormat="1" ht="16.5" hidden="1" customHeight="1" x14ac:dyDescent="0.4"/>
    <row r="298" s="4" customFormat="1" ht="16.5" hidden="1" customHeight="1" x14ac:dyDescent="0.4"/>
    <row r="299" s="4" customFormat="1" ht="16.5" hidden="1" customHeight="1" x14ac:dyDescent="0.4"/>
    <row r="300" s="4" customFormat="1" ht="16.5" hidden="1" customHeight="1" x14ac:dyDescent="0.4"/>
    <row r="301" s="4" customFormat="1" ht="16.5" hidden="1" customHeight="1" x14ac:dyDescent="0.4"/>
    <row r="302" s="4" customFormat="1" ht="16.5" hidden="1" customHeight="1" x14ac:dyDescent="0.4"/>
    <row r="303" s="4" customFormat="1" ht="16.5" hidden="1" customHeight="1" x14ac:dyDescent="0.4"/>
    <row r="304" s="4" customFormat="1" ht="16.5" hidden="1" customHeight="1" x14ac:dyDescent="0.4"/>
    <row r="305" spans="2:12" s="4" customFormat="1" ht="16.5" hidden="1" customHeight="1" x14ac:dyDescent="0.4"/>
    <row r="306" spans="2:12" s="4" customFormat="1" ht="16.5" hidden="1" customHeight="1" x14ac:dyDescent="0.4"/>
    <row r="307" spans="2:12" s="4" customFormat="1" hidden="1" x14ac:dyDescent="0.4"/>
    <row r="308" spans="2:12" s="4" customFormat="1" ht="19.2" x14ac:dyDescent="0.45">
      <c r="B308" s="754" t="str">
        <f>"Transport to Plant"&amp;" - "&amp;Feedstocks!C17</f>
        <v xml:space="preserve">Transport to Plant - </v>
      </c>
      <c r="C308" s="755"/>
      <c r="D308" s="755"/>
      <c r="E308" s="755"/>
      <c r="F308" s="755"/>
      <c r="G308" s="755"/>
      <c r="H308" s="755"/>
      <c r="I308" s="755"/>
      <c r="J308" s="755"/>
      <c r="K308" s="755"/>
      <c r="L308" s="756"/>
    </row>
    <row r="309" spans="2:12" s="4" customFormat="1" outlineLevel="1" x14ac:dyDescent="0.4">
      <c r="B309" s="17"/>
      <c r="C309" s="19"/>
      <c r="D309" s="19"/>
      <c r="E309" s="19"/>
      <c r="F309" s="19"/>
      <c r="G309" s="19"/>
      <c r="H309" s="19"/>
      <c r="I309" s="19"/>
      <c r="J309" s="19"/>
      <c r="K309" s="19"/>
      <c r="L309" s="50"/>
    </row>
    <row r="310" spans="2:12" s="4" customFormat="1" outlineLevel="1" x14ac:dyDescent="0.4">
      <c r="B310" s="20"/>
      <c r="C310" s="29"/>
      <c r="D310" s="760"/>
      <c r="E310" s="761"/>
      <c r="F310" s="762"/>
      <c r="G310" s="1"/>
      <c r="H310" s="303" t="s">
        <v>122</v>
      </c>
      <c r="I310" s="47"/>
      <c r="J310" s="47"/>
      <c r="K310" s="61"/>
      <c r="L310" s="35"/>
    </row>
    <row r="311" spans="2:12" s="4" customFormat="1" outlineLevel="1" x14ac:dyDescent="0.4">
      <c r="B311" s="20"/>
      <c r="C311" s="175" t="s">
        <v>123</v>
      </c>
      <c r="D311" s="753" t="str">
        <f>IF(Feedstocks!$H$17&gt;0,Feedstocks!$H$17,"")</f>
        <v/>
      </c>
      <c r="E311" s="753"/>
      <c r="F311" s="753"/>
      <c r="G311" s="76"/>
      <c r="H311" s="43"/>
      <c r="I311" s="36"/>
      <c r="J311" s="164" t="s">
        <v>124</v>
      </c>
      <c r="K311" s="44"/>
      <c r="L311" s="35"/>
    </row>
    <row r="312" spans="2:12" s="12" customFormat="1" ht="15" outlineLevel="1" x14ac:dyDescent="0.35">
      <c r="B312" s="20"/>
      <c r="C312" s="1"/>
      <c r="D312" s="1"/>
      <c r="E312" s="1"/>
      <c r="F312" s="1"/>
      <c r="G312" s="1"/>
      <c r="H312" s="43"/>
      <c r="I312" s="164" t="s">
        <v>125</v>
      </c>
      <c r="J312" s="52" t="str">
        <f>IFERROR((J315/(('Digestion &amp; outputs'!$G$22/1000)))*'Digestion &amp; outputs'!$K$23,"")</f>
        <v/>
      </c>
      <c r="K312" s="44"/>
      <c r="L312" s="54"/>
    </row>
    <row r="313" spans="2:12" s="4" customFormat="1" outlineLevel="1" x14ac:dyDescent="0.4">
      <c r="B313" s="20"/>
      <c r="C313" s="164" t="s">
        <v>163</v>
      </c>
      <c r="D313" s="134" t="s">
        <v>164</v>
      </c>
      <c r="E313" s="1"/>
      <c r="F313" s="1"/>
      <c r="G313" s="1"/>
      <c r="H313" s="41"/>
      <c r="I313" s="34"/>
      <c r="J313" s="34"/>
      <c r="K313" s="37"/>
      <c r="L313" s="35"/>
    </row>
    <row r="314" spans="2:12" s="4" customFormat="1" outlineLevel="1" x14ac:dyDescent="0.4">
      <c r="B314" s="20"/>
      <c r="C314" s="164" t="s">
        <v>165</v>
      </c>
      <c r="D314" s="143"/>
      <c r="E314" s="1"/>
      <c r="F314" s="1"/>
      <c r="G314" s="1"/>
      <c r="H314" s="41"/>
      <c r="I314" s="36"/>
      <c r="J314" s="164" t="s">
        <v>141</v>
      </c>
      <c r="K314" s="37"/>
      <c r="L314" s="35"/>
    </row>
    <row r="315" spans="2:12" s="4" customFormat="1" outlineLevel="1" x14ac:dyDescent="0.4">
      <c r="B315" s="20"/>
      <c r="C315" s="164" t="s">
        <v>160</v>
      </c>
      <c r="D315" s="134" t="s">
        <v>166</v>
      </c>
      <c r="E315" s="1"/>
      <c r="F315" s="1"/>
      <c r="G315" s="1"/>
      <c r="H315" s="42"/>
      <c r="I315" s="164" t="s">
        <v>167</v>
      </c>
      <c r="J315" s="52">
        <f>IFERROR(J320,"Insert data")</f>
        <v>0</v>
      </c>
      <c r="K315" s="62"/>
      <c r="L315" s="35"/>
    </row>
    <row r="316" spans="2:12" s="4" customFormat="1" outlineLevel="1" x14ac:dyDescent="0.4">
      <c r="B316" s="20"/>
      <c r="C316" s="21"/>
      <c r="D316" s="21"/>
      <c r="E316" s="21"/>
      <c r="F316" s="21"/>
      <c r="G316" s="21"/>
      <c r="H316" s="46"/>
      <c r="I316" s="58"/>
      <c r="J316" s="58"/>
      <c r="K316" s="59"/>
      <c r="L316" s="35"/>
    </row>
    <row r="317" spans="2:12" s="4" customFormat="1" outlineLevel="1" x14ac:dyDescent="0.4">
      <c r="B317" s="20"/>
      <c r="C317" s="25" t="s">
        <v>168</v>
      </c>
      <c r="D317" s="21"/>
      <c r="E317" s="21"/>
      <c r="F317" s="21"/>
      <c r="G317" s="21"/>
      <c r="H317" s="21"/>
      <c r="I317" s="21"/>
      <c r="J317" s="21"/>
      <c r="K317" s="21"/>
      <c r="L317" s="35"/>
    </row>
    <row r="318" spans="2:12" s="14" customFormat="1" ht="30.6" outlineLevel="1" x14ac:dyDescent="0.4">
      <c r="B318" s="23"/>
      <c r="C318" s="166" t="s">
        <v>131</v>
      </c>
      <c r="D318" s="166" t="s">
        <v>169</v>
      </c>
      <c r="E318" s="166" t="s">
        <v>170</v>
      </c>
      <c r="F318" s="166" t="s">
        <v>171</v>
      </c>
      <c r="G318" s="24"/>
      <c r="H318" s="303" t="s">
        <v>136</v>
      </c>
      <c r="I318" s="47"/>
      <c r="J318" s="47"/>
      <c r="K318" s="45"/>
      <c r="L318" s="63"/>
    </row>
    <row r="319" spans="2:12" s="4" customFormat="1" outlineLevel="1" x14ac:dyDescent="0.4">
      <c r="B319" s="20"/>
      <c r="C319" s="138" t="s">
        <v>96</v>
      </c>
      <c r="D319" s="93">
        <v>1</v>
      </c>
      <c r="E319" s="135"/>
      <c r="F319" s="31">
        <f>IFERROR(IF(OR(C319="Default",D313="No transport required"),D319,IF(ISBLANK(E319),"Insert data",E319)),"")</f>
        <v>1</v>
      </c>
      <c r="G319" s="21"/>
      <c r="H319" s="41"/>
      <c r="I319" s="36"/>
      <c r="J319" s="164" t="s">
        <v>141</v>
      </c>
      <c r="K319" s="37"/>
      <c r="L319" s="35"/>
    </row>
    <row r="320" spans="2:12" s="4" customFormat="1" outlineLevel="1" x14ac:dyDescent="0.4">
      <c r="B320" s="20"/>
      <c r="C320" s="21"/>
      <c r="D320" s="21"/>
      <c r="E320" s="692" t="str">
        <f>IF(E319&gt;1, "this should not be greater than 1", "")</f>
        <v/>
      </c>
      <c r="F320" s="21"/>
      <c r="G320" s="21"/>
      <c r="H320" s="42"/>
      <c r="I320" s="164" t="s">
        <v>172</v>
      </c>
      <c r="J320" s="52">
        <f>IF(D313="No transport required",0,IFERROR(E323*INDEX(Fuel_EFs,MATCH(D315,Fuels_for_EF,0))*D314/1000,"Insert data"))</f>
        <v>0</v>
      </c>
      <c r="K320" s="62"/>
      <c r="L320" s="35"/>
    </row>
    <row r="321" spans="2:12" s="4" customFormat="1" outlineLevel="1" x14ac:dyDescent="0.4">
      <c r="B321" s="20"/>
      <c r="C321" s="25" t="s">
        <v>173</v>
      </c>
      <c r="D321" s="21"/>
      <c r="E321" s="21"/>
      <c r="F321" s="21"/>
      <c r="G321" s="21"/>
      <c r="H321" s="46"/>
      <c r="I321" s="58"/>
      <c r="J321" s="58"/>
      <c r="K321" s="59"/>
      <c r="L321" s="35"/>
    </row>
    <row r="322" spans="2:12" s="14" customFormat="1" outlineLevel="1" x14ac:dyDescent="0.4">
      <c r="B322" s="23"/>
      <c r="C322" s="176" t="s">
        <v>174</v>
      </c>
      <c r="D322" s="166" t="s">
        <v>175</v>
      </c>
      <c r="E322" s="166" t="s">
        <v>176</v>
      </c>
      <c r="F322" s="24"/>
      <c r="G322" s="24"/>
      <c r="H322" s="4"/>
      <c r="I322" s="4"/>
      <c r="J322" s="4"/>
      <c r="K322" s="4"/>
      <c r="L322" s="63"/>
    </row>
    <row r="323" spans="2:12" s="4" customFormat="1" outlineLevel="1" x14ac:dyDescent="0.4">
      <c r="B323" s="20"/>
      <c r="C323" s="138" t="s">
        <v>96</v>
      </c>
      <c r="D323" s="93">
        <f>IFERROR(INDEX(Transport_Fuel_Efficiencies,MATCH(D313,Transport_Modes,0)),"Insert data")</f>
        <v>0</v>
      </c>
      <c r="E323" s="31">
        <f>IFERROR(IF(C323="Default",D323,IF(OR(ISBLANK(E325),ISBLANK(D329),ISBLANK(D333)),"Insert data",(IF(C329="litres",(D329*(INDEX(Fuel_Densities,MATCH(D315,Fuels_for_Densities,0))/1000)*INDEX(Fuel_LHV,MATCH(D315,Fuels_for_LHV,0)))/(D333*D314),(IF(C329="m3",(D329*(INDEX(Fuel_Densities,MATCH(D315,Fuels_for_Densities,0)))*INDEX(Fuel_LHV,MATCH(D315,Fuels_for_LHV,0)))/(D333*D314),IF(C329="kg",(D329*INDEX(Fuel_LHV,MATCH(D315,Fuels_for_LHV,0)))/(D333*D314),IF(C329="tonnes",(D329*INDEX(Fuel_LHV,MATCH(D315,Fuels_for_LHV,0))*1000)/(D333*D314),IF(C329="MWh",(D329*'Reference values'!$D$47)/(D333*D314),IF(C329="kWh",(D329*'Reference values'!$D$47/1000)/(D333*D314),"Insert unit")))))))))),"")</f>
        <v>0</v>
      </c>
      <c r="F323" s="21"/>
      <c r="G323" s="21"/>
      <c r="L323" s="35"/>
    </row>
    <row r="324" spans="2:12" s="4" customFormat="1" outlineLevel="1" x14ac:dyDescent="0.4">
      <c r="B324" s="20"/>
      <c r="C324" s="21"/>
      <c r="D324" s="21"/>
      <c r="E324" s="21"/>
      <c r="F324" s="21"/>
      <c r="G324" s="21"/>
      <c r="H324" s="21"/>
      <c r="I324" s="21"/>
      <c r="J324" s="21"/>
      <c r="K324" s="21"/>
      <c r="L324" s="35"/>
    </row>
    <row r="325" spans="2:12" s="4" customFormat="1" ht="16.5" customHeight="1" outlineLevel="1" x14ac:dyDescent="0.4">
      <c r="B325" s="20"/>
      <c r="C325" s="759" t="s">
        <v>177</v>
      </c>
      <c r="D325" s="759"/>
      <c r="E325" s="135" t="s">
        <v>178</v>
      </c>
      <c r="F325" s="21"/>
      <c r="G325" s="21"/>
      <c r="H325" s="21"/>
      <c r="I325" s="21"/>
      <c r="J325" s="21"/>
      <c r="K325" s="21"/>
      <c r="L325" s="35"/>
    </row>
    <row r="326" spans="2:12" s="4" customFormat="1" ht="12.75" customHeight="1" outlineLevel="1" x14ac:dyDescent="0.4">
      <c r="B326" s="20"/>
      <c r="C326" s="21"/>
      <c r="D326" s="21"/>
      <c r="E326" s="21"/>
      <c r="F326" s="21"/>
      <c r="G326" s="21"/>
      <c r="L326" s="35"/>
    </row>
    <row r="327" spans="2:12" s="4" customFormat="1" outlineLevel="1" x14ac:dyDescent="0.4">
      <c r="B327" s="20"/>
      <c r="C327" s="25" t="str">
        <f>IF(E325="yes", "Fuel demand for outward journey",IF(E325="No","Fuel demand for full journey (outward and return)",""))</f>
        <v>Fuel demand for full journey (outward and return)</v>
      </c>
      <c r="D327" s="21"/>
      <c r="E327" s="21"/>
      <c r="F327" s="21"/>
      <c r="G327" s="21"/>
      <c r="H327" s="21"/>
      <c r="I327" s="21"/>
      <c r="J327" s="21"/>
      <c r="K327" s="21"/>
      <c r="L327" s="35"/>
    </row>
    <row r="328" spans="2:12" s="4" customFormat="1" outlineLevel="1" x14ac:dyDescent="0.4">
      <c r="B328" s="20"/>
      <c r="C328" s="164" t="s">
        <v>151</v>
      </c>
      <c r="D328" s="164" t="s">
        <v>140</v>
      </c>
      <c r="E328" s="21"/>
      <c r="F328" s="21"/>
      <c r="G328" s="21"/>
      <c r="H328" s="21"/>
      <c r="I328" s="21"/>
      <c r="J328" s="21"/>
      <c r="K328" s="21"/>
      <c r="L328" s="35"/>
    </row>
    <row r="329" spans="2:12" s="4" customFormat="1" outlineLevel="1" x14ac:dyDescent="0.4">
      <c r="B329" s="20"/>
      <c r="C329" s="138"/>
      <c r="D329" s="135"/>
      <c r="E329" s="21"/>
      <c r="F329" s="21"/>
      <c r="G329" s="21"/>
      <c r="H329" s="21"/>
      <c r="I329" s="21"/>
      <c r="J329" s="21"/>
      <c r="K329" s="21"/>
      <c r="L329" s="35"/>
    </row>
    <row r="330" spans="2:12" s="4" customFormat="1" outlineLevel="1" x14ac:dyDescent="0.4">
      <c r="B330" s="20"/>
      <c r="C330" s="21"/>
      <c r="D330" s="21"/>
      <c r="E330" s="21"/>
      <c r="F330" s="21"/>
      <c r="G330" s="21"/>
      <c r="H330" s="21"/>
      <c r="I330" s="21"/>
      <c r="J330" s="21"/>
      <c r="K330" s="21"/>
      <c r="L330" s="35"/>
    </row>
    <row r="331" spans="2:12" s="4" customFormat="1" outlineLevel="1" x14ac:dyDescent="0.4">
      <c r="B331" s="20"/>
      <c r="C331" s="25" t="s">
        <v>180</v>
      </c>
      <c r="D331" s="21"/>
      <c r="E331" s="21"/>
      <c r="F331" s="21"/>
      <c r="G331" s="21"/>
      <c r="H331" s="21"/>
      <c r="I331" s="21"/>
      <c r="J331" s="21"/>
      <c r="K331" s="21"/>
      <c r="L331" s="35"/>
    </row>
    <row r="332" spans="2:12" s="4" customFormat="1" outlineLevel="1" x14ac:dyDescent="0.4">
      <c r="B332" s="20"/>
      <c r="C332" s="164" t="s">
        <v>151</v>
      </c>
      <c r="D332" s="164" t="s">
        <v>140</v>
      </c>
      <c r="E332" s="21"/>
      <c r="F332" s="21"/>
      <c r="G332" s="21"/>
      <c r="H332" s="21"/>
      <c r="I332" s="21"/>
      <c r="J332" s="21"/>
      <c r="K332" s="21"/>
      <c r="L332" s="35"/>
    </row>
    <row r="333" spans="2:12" s="4" customFormat="1" outlineLevel="1" x14ac:dyDescent="0.4">
      <c r="B333" s="20"/>
      <c r="C333" s="138"/>
      <c r="D333" s="135"/>
      <c r="E333" s="21"/>
      <c r="F333" s="21"/>
      <c r="G333" s="21"/>
      <c r="H333" s="21"/>
      <c r="I333" s="21"/>
      <c r="J333" s="21"/>
      <c r="K333" s="21"/>
      <c r="L333" s="35"/>
    </row>
    <row r="334" spans="2:12" s="4" customFormat="1" ht="12.75" customHeight="1" outlineLevel="1" x14ac:dyDescent="0.4">
      <c r="B334" s="28"/>
      <c r="C334" s="29"/>
      <c r="D334" s="29"/>
      <c r="E334" s="29"/>
      <c r="F334" s="29"/>
      <c r="G334" s="29"/>
      <c r="H334" s="29"/>
      <c r="I334" s="29"/>
      <c r="J334" s="29"/>
      <c r="K334" s="29"/>
      <c r="L334" s="60"/>
    </row>
    <row r="335" spans="2:12" s="4" customFormat="1" x14ac:dyDescent="0.4"/>
    <row r="336" spans="2:12" s="4" customFormat="1" hidden="1" x14ac:dyDescent="0.4"/>
    <row r="337" s="4" customFormat="1" hidden="1" x14ac:dyDescent="0.4"/>
    <row r="338" s="4" customFormat="1" hidden="1" x14ac:dyDescent="0.4"/>
    <row r="339" s="4" customFormat="1" ht="16.5" hidden="1" customHeight="1" x14ac:dyDescent="0.4"/>
    <row r="340" s="4" customFormat="1" ht="16.5" hidden="1" customHeight="1" x14ac:dyDescent="0.4"/>
    <row r="341" s="4" customFormat="1" ht="16.5" hidden="1" customHeight="1" x14ac:dyDescent="0.4"/>
    <row r="342" s="4" customFormat="1" ht="16.5" hidden="1" customHeight="1" x14ac:dyDescent="0.4"/>
    <row r="343" s="4" customFormat="1" ht="16.5" hidden="1" customHeight="1" x14ac:dyDescent="0.4"/>
    <row r="344" s="4" customFormat="1" ht="16.5" hidden="1" customHeight="1" x14ac:dyDescent="0.4"/>
    <row r="345" s="4" customFormat="1" ht="16.5" hidden="1" customHeight="1" x14ac:dyDescent="0.4"/>
    <row r="346" s="4" customFormat="1" ht="16.5" hidden="1" customHeight="1" x14ac:dyDescent="0.4"/>
    <row r="347" s="4" customFormat="1" ht="16.5" hidden="1" customHeight="1" x14ac:dyDescent="0.4"/>
    <row r="348" s="4" customFormat="1" ht="16.5" hidden="1" customHeight="1" x14ac:dyDescent="0.4"/>
    <row r="349" s="4" customFormat="1" ht="16.5" hidden="1" customHeight="1" x14ac:dyDescent="0.4"/>
    <row r="350" s="4" customFormat="1" ht="16.5" hidden="1" customHeight="1" x14ac:dyDescent="0.4"/>
    <row r="351" s="4" customFormat="1" ht="16.5" hidden="1" customHeight="1" x14ac:dyDescent="0.4"/>
    <row r="352" s="4" customFormat="1" ht="16.5" hidden="1" customHeight="1" x14ac:dyDescent="0.4"/>
    <row r="353" spans="2:12" s="4" customFormat="1" ht="16.5" hidden="1" customHeight="1" x14ac:dyDescent="0.4"/>
    <row r="354" spans="2:12" s="4" customFormat="1" ht="16.5" hidden="1" customHeight="1" x14ac:dyDescent="0.4"/>
    <row r="355" spans="2:12" s="4" customFormat="1" hidden="1" x14ac:dyDescent="0.4"/>
    <row r="356" spans="2:12" s="4" customFormat="1" hidden="1" x14ac:dyDescent="0.4"/>
    <row r="357" spans="2:12" s="4" customFormat="1" hidden="1" x14ac:dyDescent="0.4"/>
    <row r="358" spans="2:12" s="4" customFormat="1" ht="19.2" x14ac:dyDescent="0.45">
      <c r="B358" s="754" t="str">
        <f>"Transport to Plant"&amp;" - "&amp;Feedstocks!C18</f>
        <v xml:space="preserve">Transport to Plant - </v>
      </c>
      <c r="C358" s="755"/>
      <c r="D358" s="755"/>
      <c r="E358" s="755"/>
      <c r="F358" s="755"/>
      <c r="G358" s="755"/>
      <c r="H358" s="755"/>
      <c r="I358" s="755"/>
      <c r="J358" s="755"/>
      <c r="K358" s="755"/>
      <c r="L358" s="756"/>
    </row>
    <row r="359" spans="2:12" s="4" customFormat="1" outlineLevel="1" x14ac:dyDescent="0.4">
      <c r="B359" s="17"/>
      <c r="C359" s="19"/>
      <c r="D359" s="19"/>
      <c r="E359" s="19"/>
      <c r="F359" s="19"/>
      <c r="G359" s="19"/>
      <c r="H359" s="19"/>
      <c r="I359" s="19"/>
      <c r="J359" s="19"/>
      <c r="K359" s="19"/>
      <c r="L359" s="50"/>
    </row>
    <row r="360" spans="2:12" s="4" customFormat="1" outlineLevel="1" x14ac:dyDescent="0.4">
      <c r="B360" s="20"/>
      <c r="C360" s="85"/>
      <c r="D360" s="760"/>
      <c r="E360" s="761"/>
      <c r="F360" s="762"/>
      <c r="G360" s="1"/>
      <c r="H360" s="303" t="s">
        <v>122</v>
      </c>
      <c r="I360" s="47"/>
      <c r="J360" s="47"/>
      <c r="K360" s="61"/>
      <c r="L360" s="35"/>
    </row>
    <row r="361" spans="2:12" s="4" customFormat="1" outlineLevel="1" x14ac:dyDescent="0.4">
      <c r="B361" s="20"/>
      <c r="C361" s="175" t="s">
        <v>123</v>
      </c>
      <c r="D361" s="753" t="str">
        <f>IF(Feedstocks!$H$18&gt;0,Feedstocks!$H$18,"")</f>
        <v/>
      </c>
      <c r="E361" s="753"/>
      <c r="F361" s="753"/>
      <c r="G361" s="76"/>
      <c r="H361" s="43"/>
      <c r="I361" s="36"/>
      <c r="J361" s="164" t="s">
        <v>124</v>
      </c>
      <c r="K361" s="44"/>
      <c r="L361" s="35"/>
    </row>
    <row r="362" spans="2:12" s="12" customFormat="1" ht="15" outlineLevel="1" x14ac:dyDescent="0.35">
      <c r="B362" s="20"/>
      <c r="C362" s="1"/>
      <c r="D362" s="1"/>
      <c r="E362" s="1"/>
      <c r="F362" s="1"/>
      <c r="G362" s="1"/>
      <c r="H362" s="43"/>
      <c r="I362" s="164" t="s">
        <v>125</v>
      </c>
      <c r="J362" s="52" t="str">
        <f>IFERROR((J365/(('Digestion &amp; outputs'!$G$23/1000)))*'Digestion &amp; outputs'!$K$23,"")</f>
        <v/>
      </c>
      <c r="K362" s="44"/>
      <c r="L362" s="54"/>
    </row>
    <row r="363" spans="2:12" s="4" customFormat="1" outlineLevel="1" x14ac:dyDescent="0.4">
      <c r="B363" s="20"/>
      <c r="C363" s="164" t="s">
        <v>163</v>
      </c>
      <c r="D363" s="134" t="s">
        <v>164</v>
      </c>
      <c r="E363" s="1"/>
      <c r="F363" s="1"/>
      <c r="G363" s="1"/>
      <c r="H363" s="41"/>
      <c r="I363" s="34"/>
      <c r="J363" s="34"/>
      <c r="K363" s="37"/>
      <c r="L363" s="35"/>
    </row>
    <row r="364" spans="2:12" s="4" customFormat="1" outlineLevel="1" x14ac:dyDescent="0.4">
      <c r="B364" s="20"/>
      <c r="C364" s="164" t="s">
        <v>165</v>
      </c>
      <c r="D364" s="143"/>
      <c r="E364" s="1"/>
      <c r="F364" s="1"/>
      <c r="G364" s="1"/>
      <c r="H364" s="41"/>
      <c r="I364" s="36"/>
      <c r="J364" s="164" t="s">
        <v>141</v>
      </c>
      <c r="K364" s="37"/>
      <c r="L364" s="35"/>
    </row>
    <row r="365" spans="2:12" s="4" customFormat="1" outlineLevel="1" x14ac:dyDescent="0.4">
      <c r="B365" s="20"/>
      <c r="C365" s="164" t="s">
        <v>160</v>
      </c>
      <c r="D365" s="134" t="s">
        <v>166</v>
      </c>
      <c r="E365" s="1"/>
      <c r="F365" s="1"/>
      <c r="G365" s="1"/>
      <c r="H365" s="42"/>
      <c r="I365" s="164" t="s">
        <v>167</v>
      </c>
      <c r="J365" s="52">
        <f>IFERROR(J370,"Insert data")</f>
        <v>0</v>
      </c>
      <c r="K365" s="62"/>
      <c r="L365" s="35"/>
    </row>
    <row r="366" spans="2:12" s="4" customFormat="1" outlineLevel="1" x14ac:dyDescent="0.4">
      <c r="B366" s="20"/>
      <c r="C366" s="21"/>
      <c r="D366" s="21"/>
      <c r="E366" s="21"/>
      <c r="F366" s="21"/>
      <c r="G366" s="21"/>
      <c r="H366" s="46"/>
      <c r="I366" s="58"/>
      <c r="J366" s="58"/>
      <c r="K366" s="59"/>
      <c r="L366" s="35"/>
    </row>
    <row r="367" spans="2:12" s="4" customFormat="1" outlineLevel="1" x14ac:dyDescent="0.4">
      <c r="B367" s="20"/>
      <c r="C367" s="25" t="s">
        <v>168</v>
      </c>
      <c r="D367" s="21"/>
      <c r="E367" s="21"/>
      <c r="F367" s="21"/>
      <c r="G367" s="21"/>
      <c r="H367" s="21"/>
      <c r="I367" s="21"/>
      <c r="J367" s="21"/>
      <c r="K367" s="21"/>
      <c r="L367" s="35"/>
    </row>
    <row r="368" spans="2:12" s="14" customFormat="1" ht="30.6" outlineLevel="1" x14ac:dyDescent="0.4">
      <c r="B368" s="23"/>
      <c r="C368" s="166" t="s">
        <v>131</v>
      </c>
      <c r="D368" s="166" t="s">
        <v>169</v>
      </c>
      <c r="E368" s="166" t="s">
        <v>170</v>
      </c>
      <c r="F368" s="166" t="s">
        <v>171</v>
      </c>
      <c r="G368" s="24"/>
      <c r="H368" s="303" t="s">
        <v>136</v>
      </c>
      <c r="I368" s="47"/>
      <c r="J368" s="47"/>
      <c r="K368" s="45"/>
      <c r="L368" s="63"/>
    </row>
    <row r="369" spans="2:12" s="4" customFormat="1" outlineLevel="1" x14ac:dyDescent="0.4">
      <c r="B369" s="20"/>
      <c r="C369" s="138" t="s">
        <v>96</v>
      </c>
      <c r="D369" s="93">
        <v>1</v>
      </c>
      <c r="E369" s="135"/>
      <c r="F369" s="31">
        <f>IFERROR(IF(OR(C369="Default",D363="No transport required"),D369,IF(ISBLANK(E369),"Insert data",E369)),"")</f>
        <v>1</v>
      </c>
      <c r="G369" s="21"/>
      <c r="H369" s="41"/>
      <c r="I369" s="36"/>
      <c r="J369" s="164" t="s">
        <v>141</v>
      </c>
      <c r="K369" s="37"/>
      <c r="L369" s="35"/>
    </row>
    <row r="370" spans="2:12" s="4" customFormat="1" outlineLevel="1" x14ac:dyDescent="0.4">
      <c r="B370" s="20"/>
      <c r="C370" s="21"/>
      <c r="D370" s="21"/>
      <c r="E370" s="692" t="str">
        <f>IF(E369&gt;1, "this should not be greater than 1", "")</f>
        <v/>
      </c>
      <c r="F370" s="21"/>
      <c r="G370" s="21"/>
      <c r="H370" s="42"/>
      <c r="I370" s="164" t="s">
        <v>172</v>
      </c>
      <c r="J370" s="52">
        <f>IF(D363="No transport required",0,IFERROR(E373*INDEX(Fuel_EFs,MATCH(D365,Fuels_for_EF,0))*D364/1000,"Insert data"))</f>
        <v>0</v>
      </c>
      <c r="K370" s="62"/>
      <c r="L370" s="35"/>
    </row>
    <row r="371" spans="2:12" s="4" customFormat="1" outlineLevel="1" x14ac:dyDescent="0.4">
      <c r="B371" s="20"/>
      <c r="C371" s="25" t="s">
        <v>173</v>
      </c>
      <c r="D371" s="21"/>
      <c r="E371" s="21"/>
      <c r="F371" s="21"/>
      <c r="G371" s="21"/>
      <c r="H371" s="46"/>
      <c r="I371" s="58"/>
      <c r="J371" s="58"/>
      <c r="K371" s="59"/>
      <c r="L371" s="35"/>
    </row>
    <row r="372" spans="2:12" s="14" customFormat="1" outlineLevel="1" x14ac:dyDescent="0.4">
      <c r="B372" s="23"/>
      <c r="C372" s="176" t="s">
        <v>174</v>
      </c>
      <c r="D372" s="166" t="s">
        <v>175</v>
      </c>
      <c r="E372" s="166" t="s">
        <v>176</v>
      </c>
      <c r="F372" s="24"/>
      <c r="G372" s="24"/>
      <c r="H372" s="4"/>
      <c r="I372" s="4"/>
      <c r="J372" s="4"/>
      <c r="K372" s="4"/>
      <c r="L372" s="63"/>
    </row>
    <row r="373" spans="2:12" s="4" customFormat="1" outlineLevel="1" x14ac:dyDescent="0.4">
      <c r="B373" s="20"/>
      <c r="C373" s="138" t="s">
        <v>96</v>
      </c>
      <c r="D373" s="93">
        <f>IFERROR(INDEX(Transport_Fuel_Efficiencies,MATCH(D363,Transport_Modes,0)),"Insert data")</f>
        <v>0</v>
      </c>
      <c r="E373" s="31">
        <f>IFERROR(IF(C373="Default",D373,IF(OR(ISBLANK(E375),ISBLANK(D379),ISBLANK(D383)),"Insert data",(IF(C379="litres",(D379*(INDEX(Fuel_Densities,MATCH(D365,Fuels_for_Densities,0))/1000)*INDEX(Fuel_LHV,MATCH(D365,Fuels_for_LHV,0)))/(D383*D364),(IF(C379="m3",(D379*(INDEX(Fuel_Densities,MATCH(D365,Fuels_for_Densities,0)))*INDEX(Fuel_LHV,MATCH(D365,Fuels_for_LHV,0)))/(D383*D364),IF(C379="kg",(D379*INDEX(Fuel_LHV,MATCH(D365,Fuels_for_LHV,0)))/(D383*D364),IF(C379="tonnes",(D379*INDEX(Fuel_LHV,MATCH(D365,Fuels_for_LHV,0))*1000)/(D383*D364),IF(C379="MWh",(D379*'Reference values'!$D$47)/(D383*D364),IF(C379="kWh",(D379*'Reference values'!$D$47/1000)/(D383*D364),"Insert unit")))))))))),"")</f>
        <v>0</v>
      </c>
      <c r="F373" s="21"/>
      <c r="G373" s="21"/>
      <c r="L373" s="35"/>
    </row>
    <row r="374" spans="2:12" s="4" customFormat="1" outlineLevel="1" x14ac:dyDescent="0.4">
      <c r="B374" s="20"/>
      <c r="C374" s="21"/>
      <c r="D374" s="21"/>
      <c r="E374" s="21"/>
      <c r="F374" s="21"/>
      <c r="G374" s="21"/>
      <c r="H374" s="21"/>
      <c r="I374" s="21"/>
      <c r="J374" s="21"/>
      <c r="K374" s="21"/>
      <c r="L374" s="35"/>
    </row>
    <row r="375" spans="2:12" s="4" customFormat="1" ht="16.5" customHeight="1" outlineLevel="1" x14ac:dyDescent="0.4">
      <c r="B375" s="20"/>
      <c r="C375" s="759" t="s">
        <v>177</v>
      </c>
      <c r="D375" s="759"/>
      <c r="E375" s="135" t="s">
        <v>178</v>
      </c>
      <c r="F375" s="21"/>
      <c r="G375" s="21"/>
      <c r="H375" s="21"/>
      <c r="I375" s="21"/>
      <c r="J375" s="21"/>
      <c r="K375" s="21"/>
      <c r="L375" s="35"/>
    </row>
    <row r="376" spans="2:12" s="4" customFormat="1" ht="12.75" customHeight="1" outlineLevel="1" x14ac:dyDescent="0.4">
      <c r="B376" s="20"/>
      <c r="C376" s="21"/>
      <c r="D376" s="21"/>
      <c r="E376" s="21"/>
      <c r="F376" s="21"/>
      <c r="G376" s="21"/>
      <c r="L376" s="35"/>
    </row>
    <row r="377" spans="2:12" s="4" customFormat="1" outlineLevel="1" x14ac:dyDescent="0.4">
      <c r="B377" s="20"/>
      <c r="C377" s="25" t="str">
        <f>IF(E375="yes", "Fuel demand for outward journey",IF(E375="No","Fuel demand for full journey (outward and return)",""))</f>
        <v>Fuel demand for full journey (outward and return)</v>
      </c>
      <c r="D377" s="21"/>
      <c r="E377" s="21"/>
      <c r="F377" s="21"/>
      <c r="G377" s="21"/>
      <c r="H377" s="21"/>
      <c r="I377" s="21"/>
      <c r="J377" s="21"/>
      <c r="K377" s="21"/>
      <c r="L377" s="35"/>
    </row>
    <row r="378" spans="2:12" s="4" customFormat="1" outlineLevel="1" x14ac:dyDescent="0.4">
      <c r="B378" s="20"/>
      <c r="C378" s="164" t="s">
        <v>151</v>
      </c>
      <c r="D378" s="164" t="s">
        <v>140</v>
      </c>
      <c r="E378" s="21"/>
      <c r="F378" s="21"/>
      <c r="G378" s="21"/>
      <c r="H378" s="21"/>
      <c r="I378" s="21"/>
      <c r="J378" s="21"/>
      <c r="K378" s="21"/>
      <c r="L378" s="35"/>
    </row>
    <row r="379" spans="2:12" s="4" customFormat="1" outlineLevel="1" x14ac:dyDescent="0.4">
      <c r="B379" s="20"/>
      <c r="C379" s="138"/>
      <c r="D379" s="135"/>
      <c r="E379" s="21"/>
      <c r="F379" s="21"/>
      <c r="G379" s="21"/>
      <c r="H379" s="21"/>
      <c r="I379" s="21"/>
      <c r="J379" s="21"/>
      <c r="K379" s="21"/>
      <c r="L379" s="35"/>
    </row>
    <row r="380" spans="2:12" s="4" customFormat="1" outlineLevel="1" x14ac:dyDescent="0.4">
      <c r="B380" s="20"/>
      <c r="C380" s="21"/>
      <c r="D380" s="21"/>
      <c r="E380" s="21"/>
      <c r="F380" s="21"/>
      <c r="G380" s="21"/>
      <c r="H380" s="21"/>
      <c r="I380" s="21"/>
      <c r="J380" s="21"/>
      <c r="K380" s="21"/>
      <c r="L380" s="35"/>
    </row>
    <row r="381" spans="2:12" s="4" customFormat="1" outlineLevel="1" x14ac:dyDescent="0.4">
      <c r="B381" s="20"/>
      <c r="C381" s="25" t="s">
        <v>180</v>
      </c>
      <c r="D381" s="21"/>
      <c r="E381" s="21"/>
      <c r="F381" s="21"/>
      <c r="G381" s="21"/>
      <c r="H381" s="21"/>
      <c r="I381" s="21"/>
      <c r="J381" s="21"/>
      <c r="K381" s="21"/>
      <c r="L381" s="35"/>
    </row>
    <row r="382" spans="2:12" s="4" customFormat="1" outlineLevel="1" x14ac:dyDescent="0.4">
      <c r="B382" s="20"/>
      <c r="C382" s="164" t="s">
        <v>151</v>
      </c>
      <c r="D382" s="164" t="s">
        <v>140</v>
      </c>
      <c r="E382" s="21"/>
      <c r="F382" s="21"/>
      <c r="G382" s="21"/>
      <c r="H382" s="21"/>
      <c r="I382" s="21"/>
      <c r="J382" s="21"/>
      <c r="K382" s="21"/>
      <c r="L382" s="35"/>
    </row>
    <row r="383" spans="2:12" s="4" customFormat="1" outlineLevel="1" x14ac:dyDescent="0.4">
      <c r="B383" s="20"/>
      <c r="C383" s="138"/>
      <c r="D383" s="135"/>
      <c r="E383" s="21"/>
      <c r="F383" s="21"/>
      <c r="G383" s="21"/>
      <c r="H383" s="21"/>
      <c r="I383" s="21"/>
      <c r="J383" s="21"/>
      <c r="K383" s="21"/>
      <c r="L383" s="35"/>
    </row>
    <row r="384" spans="2:12" s="4" customFormat="1" ht="12.75" customHeight="1" outlineLevel="1" x14ac:dyDescent="0.4">
      <c r="B384" s="28"/>
      <c r="C384" s="29"/>
      <c r="D384" s="29"/>
      <c r="E384" s="29"/>
      <c r="F384" s="29"/>
      <c r="G384" s="29"/>
      <c r="H384" s="29"/>
      <c r="I384" s="29"/>
      <c r="J384" s="29"/>
      <c r="K384" s="29"/>
      <c r="L384" s="60"/>
    </row>
    <row r="385" s="4" customFormat="1" x14ac:dyDescent="0.4"/>
    <row r="386" s="4" customFormat="1" hidden="1" x14ac:dyDescent="0.4"/>
    <row r="387" s="4" customFormat="1" ht="16.5" hidden="1" customHeight="1" x14ac:dyDescent="0.4"/>
    <row r="388" s="4" customFormat="1" ht="16.5" hidden="1" customHeight="1" x14ac:dyDescent="0.4"/>
    <row r="389" s="4" customFormat="1" ht="16.5" hidden="1" customHeight="1" x14ac:dyDescent="0.4"/>
    <row r="390" s="4" customFormat="1" ht="16.5" hidden="1" customHeight="1" x14ac:dyDescent="0.4"/>
    <row r="391" s="4" customFormat="1" ht="16.5" hidden="1" customHeight="1" x14ac:dyDescent="0.4"/>
    <row r="392" s="4" customFormat="1" ht="16.5" hidden="1" customHeight="1" x14ac:dyDescent="0.4"/>
    <row r="393" s="4" customFormat="1" ht="16.5" hidden="1" customHeight="1" x14ac:dyDescent="0.4"/>
    <row r="394" s="4" customFormat="1" ht="16.5" hidden="1" customHeight="1" x14ac:dyDescent="0.4"/>
    <row r="395" s="4" customFormat="1" ht="16.5" hidden="1" customHeight="1" x14ac:dyDescent="0.4"/>
    <row r="396" s="4" customFormat="1" ht="16.5" hidden="1" customHeight="1" x14ac:dyDescent="0.4"/>
    <row r="397" s="4" customFormat="1" ht="16.5" hidden="1" customHeight="1" x14ac:dyDescent="0.4"/>
    <row r="398" s="4" customFormat="1" ht="16.5" hidden="1" customHeight="1" x14ac:dyDescent="0.4"/>
    <row r="399" s="4" customFormat="1" ht="16.5" hidden="1" customHeight="1" x14ac:dyDescent="0.4"/>
    <row r="400" s="4" customFormat="1" ht="16.5" hidden="1" customHeight="1" x14ac:dyDescent="0.4"/>
    <row r="401" spans="2:12" s="4" customFormat="1" ht="16.5" hidden="1" customHeight="1" x14ac:dyDescent="0.4"/>
    <row r="402" spans="2:12" s="4" customFormat="1" ht="16.5" hidden="1" customHeight="1" x14ac:dyDescent="0.4"/>
    <row r="403" spans="2:12" s="4" customFormat="1" hidden="1" x14ac:dyDescent="0.4"/>
    <row r="404" spans="2:12" s="4" customFormat="1" hidden="1" x14ac:dyDescent="0.4"/>
    <row r="405" spans="2:12" s="4" customFormat="1" hidden="1" x14ac:dyDescent="0.4"/>
    <row r="406" spans="2:12" s="4" customFormat="1" hidden="1" x14ac:dyDescent="0.4"/>
    <row r="407" spans="2:12" s="4" customFormat="1" hidden="1" x14ac:dyDescent="0.4"/>
    <row r="408" spans="2:12" s="4" customFormat="1" ht="19.2" x14ac:dyDescent="0.45">
      <c r="B408" s="754" t="str">
        <f>"Transport to Plant"&amp;" - "&amp;Feedstocks!C19</f>
        <v xml:space="preserve">Transport to Plant - </v>
      </c>
      <c r="C408" s="755"/>
      <c r="D408" s="755"/>
      <c r="E408" s="755"/>
      <c r="F408" s="755"/>
      <c r="G408" s="755"/>
      <c r="H408" s="755"/>
      <c r="I408" s="755"/>
      <c r="J408" s="755"/>
      <c r="K408" s="755"/>
      <c r="L408" s="756"/>
    </row>
    <row r="409" spans="2:12" s="4" customFormat="1" outlineLevel="1" x14ac:dyDescent="0.4">
      <c r="B409" s="17"/>
      <c r="C409" s="19"/>
      <c r="D409" s="19"/>
      <c r="E409" s="19"/>
      <c r="F409" s="19"/>
      <c r="G409" s="19"/>
      <c r="H409" s="19"/>
      <c r="I409" s="19"/>
      <c r="J409" s="19"/>
      <c r="K409" s="19"/>
      <c r="L409" s="50"/>
    </row>
    <row r="410" spans="2:12" s="4" customFormat="1" outlineLevel="1" x14ac:dyDescent="0.4">
      <c r="B410" s="20"/>
      <c r="C410" s="85"/>
      <c r="D410" s="760"/>
      <c r="E410" s="761"/>
      <c r="F410" s="762"/>
      <c r="G410" s="1"/>
      <c r="H410" s="303" t="s">
        <v>122</v>
      </c>
      <c r="I410" s="47"/>
      <c r="J410" s="47"/>
      <c r="K410" s="61"/>
      <c r="L410" s="35"/>
    </row>
    <row r="411" spans="2:12" s="4" customFormat="1" outlineLevel="1" x14ac:dyDescent="0.4">
      <c r="B411" s="20"/>
      <c r="C411" s="175" t="s">
        <v>123</v>
      </c>
      <c r="D411" s="753" t="str">
        <f>IF(Feedstocks!$H$19&gt;0,Feedstocks!$H$19,"")</f>
        <v/>
      </c>
      <c r="E411" s="753"/>
      <c r="F411" s="753"/>
      <c r="G411" s="76"/>
      <c r="H411" s="43"/>
      <c r="I411" s="36"/>
      <c r="J411" s="164" t="s">
        <v>124</v>
      </c>
      <c r="K411" s="44"/>
      <c r="L411" s="35"/>
    </row>
    <row r="412" spans="2:12" s="12" customFormat="1" ht="15" outlineLevel="1" x14ac:dyDescent="0.35">
      <c r="B412" s="20"/>
      <c r="C412" s="1"/>
      <c r="D412" s="1"/>
      <c r="E412" s="1"/>
      <c r="F412" s="1"/>
      <c r="G412" s="1"/>
      <c r="H412" s="43"/>
      <c r="I412" s="164" t="s">
        <v>125</v>
      </c>
      <c r="J412" s="52" t="str">
        <f>IFERROR((J415/(('Digestion &amp; outputs'!$G$24/1000)))*'Digestion &amp; outputs'!$K$23,"")</f>
        <v/>
      </c>
      <c r="K412" s="44"/>
      <c r="L412" s="54"/>
    </row>
    <row r="413" spans="2:12" s="4" customFormat="1" outlineLevel="1" x14ac:dyDescent="0.4">
      <c r="B413" s="20"/>
      <c r="C413" s="164" t="s">
        <v>163</v>
      </c>
      <c r="D413" s="134" t="s">
        <v>164</v>
      </c>
      <c r="E413" s="1"/>
      <c r="F413" s="1"/>
      <c r="G413" s="1"/>
      <c r="H413" s="41"/>
      <c r="I413" s="34"/>
      <c r="J413" s="34"/>
      <c r="K413" s="37"/>
      <c r="L413" s="35"/>
    </row>
    <row r="414" spans="2:12" s="4" customFormat="1" outlineLevel="1" x14ac:dyDescent="0.4">
      <c r="B414" s="20"/>
      <c r="C414" s="164" t="s">
        <v>165</v>
      </c>
      <c r="D414" s="143"/>
      <c r="E414" s="1"/>
      <c r="F414" s="1"/>
      <c r="G414" s="1"/>
      <c r="H414" s="41"/>
      <c r="I414" s="36"/>
      <c r="J414" s="164" t="s">
        <v>141</v>
      </c>
      <c r="K414" s="37"/>
      <c r="L414" s="35"/>
    </row>
    <row r="415" spans="2:12" s="4" customFormat="1" outlineLevel="1" x14ac:dyDescent="0.4">
      <c r="B415" s="20"/>
      <c r="C415" s="164" t="s">
        <v>160</v>
      </c>
      <c r="D415" s="134"/>
      <c r="E415" s="1"/>
      <c r="F415" s="1"/>
      <c r="G415" s="1"/>
      <c r="H415" s="42"/>
      <c r="I415" s="164" t="s">
        <v>167</v>
      </c>
      <c r="J415" s="52">
        <f>IFERROR(J420,"Insert data")</f>
        <v>0</v>
      </c>
      <c r="K415" s="62"/>
      <c r="L415" s="35"/>
    </row>
    <row r="416" spans="2:12" s="4" customFormat="1" outlineLevel="1" x14ac:dyDescent="0.4">
      <c r="B416" s="20"/>
      <c r="C416" s="21"/>
      <c r="D416" s="21"/>
      <c r="E416" s="21"/>
      <c r="F416" s="21"/>
      <c r="G416" s="21"/>
      <c r="H416" s="46"/>
      <c r="I416" s="58"/>
      <c r="J416" s="58"/>
      <c r="K416" s="59"/>
      <c r="L416" s="35"/>
    </row>
    <row r="417" spans="2:12" s="4" customFormat="1" outlineLevel="1" x14ac:dyDescent="0.4">
      <c r="B417" s="20"/>
      <c r="C417" s="25" t="s">
        <v>168</v>
      </c>
      <c r="D417" s="21"/>
      <c r="E417" s="21"/>
      <c r="F417" s="21"/>
      <c r="G417" s="21"/>
      <c r="H417" s="21"/>
      <c r="I417" s="21"/>
      <c r="J417" s="21"/>
      <c r="K417" s="21"/>
      <c r="L417" s="35"/>
    </row>
    <row r="418" spans="2:12" s="14" customFormat="1" ht="30.6" outlineLevel="1" x14ac:dyDescent="0.4">
      <c r="B418" s="23"/>
      <c r="C418" s="166" t="s">
        <v>131</v>
      </c>
      <c r="D418" s="166" t="s">
        <v>169</v>
      </c>
      <c r="E418" s="166" t="s">
        <v>170</v>
      </c>
      <c r="F418" s="166" t="s">
        <v>171</v>
      </c>
      <c r="G418" s="24"/>
      <c r="H418" s="303" t="s">
        <v>136</v>
      </c>
      <c r="I418" s="47"/>
      <c r="J418" s="47"/>
      <c r="K418" s="45"/>
      <c r="L418" s="63"/>
    </row>
    <row r="419" spans="2:12" s="4" customFormat="1" outlineLevel="1" x14ac:dyDescent="0.4">
      <c r="B419" s="20"/>
      <c r="C419" s="138" t="s">
        <v>96</v>
      </c>
      <c r="D419" s="93">
        <v>1</v>
      </c>
      <c r="E419" s="135"/>
      <c r="F419" s="31">
        <f>IFERROR(IF(OR(C419="Default",D413="No transport required"),D419,IF(ISBLANK(E419),"Insert data",E419)),"")</f>
        <v>1</v>
      </c>
      <c r="G419" s="21"/>
      <c r="H419" s="41"/>
      <c r="I419" s="36"/>
      <c r="J419" s="164" t="s">
        <v>141</v>
      </c>
      <c r="K419" s="37"/>
      <c r="L419" s="35"/>
    </row>
    <row r="420" spans="2:12" s="4" customFormat="1" outlineLevel="1" x14ac:dyDescent="0.4">
      <c r="B420" s="20"/>
      <c r="C420" s="21"/>
      <c r="D420" s="21"/>
      <c r="E420" s="692" t="str">
        <f>IF(E419&gt;1, "this should not be greater than 1", "")</f>
        <v/>
      </c>
      <c r="F420" s="21"/>
      <c r="G420" s="21"/>
      <c r="H420" s="42"/>
      <c r="I420" s="164" t="s">
        <v>172</v>
      </c>
      <c r="J420" s="52">
        <f>IF(D413="No transport required",0,IFERROR(E423*INDEX(Fuel_EFs,MATCH(D415,Fuels_for_EF,0))*D414/1000,"Insert data"))</f>
        <v>0</v>
      </c>
      <c r="K420" s="62"/>
      <c r="L420" s="35"/>
    </row>
    <row r="421" spans="2:12" s="4" customFormat="1" outlineLevel="1" x14ac:dyDescent="0.4">
      <c r="B421" s="20"/>
      <c r="C421" s="25" t="s">
        <v>173</v>
      </c>
      <c r="D421" s="21"/>
      <c r="E421" s="21"/>
      <c r="F421" s="21"/>
      <c r="G421" s="21"/>
      <c r="H421" s="46"/>
      <c r="I421" s="58"/>
      <c r="J421" s="58"/>
      <c r="K421" s="59"/>
      <c r="L421" s="35"/>
    </row>
    <row r="422" spans="2:12" s="14" customFormat="1" outlineLevel="1" x14ac:dyDescent="0.4">
      <c r="B422" s="23"/>
      <c r="C422" s="176" t="s">
        <v>174</v>
      </c>
      <c r="D422" s="166" t="s">
        <v>175</v>
      </c>
      <c r="E422" s="166" t="s">
        <v>176</v>
      </c>
      <c r="F422" s="24"/>
      <c r="G422" s="24"/>
      <c r="H422" s="4"/>
      <c r="I422" s="4"/>
      <c r="J422" s="4"/>
      <c r="K422" s="4"/>
      <c r="L422" s="63"/>
    </row>
    <row r="423" spans="2:12" s="4" customFormat="1" outlineLevel="1" x14ac:dyDescent="0.4">
      <c r="B423" s="20"/>
      <c r="C423" s="138" t="s">
        <v>96</v>
      </c>
      <c r="D423" s="93">
        <f>IFERROR(INDEX(Transport_Fuel_Efficiencies,MATCH(D413,Transport_Modes,0)),"Insert data")</f>
        <v>0</v>
      </c>
      <c r="E423" s="31">
        <f>IFERROR(IF(C423="Default",D423,IF(OR(ISBLANK(E425),ISBLANK(D429),ISBLANK(D433)),"Insert data",(IF(C429="litres",(D429*(INDEX(Fuel_Densities,MATCH(D415,Fuels_for_Densities,0))/1000)*INDEX(Fuel_LHV,MATCH(D415,Fuels_for_LHV,0)))/(D433*D414),(IF(C429="m3",(D429*(INDEX(Fuel_Densities,MATCH(D415,Fuels_for_Densities,0)))*INDEX(Fuel_LHV,MATCH(D415,Fuels_for_LHV,0)))/(D433*D414),IF(C429="kg",(D429*INDEX(Fuel_LHV,MATCH(D415,Fuels_for_LHV,0)))/(D433*D414),IF(C429="tonnes",(D429*INDEX(Fuel_LHV,MATCH(D415,Fuels_for_LHV,0))*1000)/(D433*D414),IF(C429="MWh",(D429*'Reference values'!$D$47)/(D433*D414),IF(C429="kWh",(D429*'Reference values'!$D$47/1000)/(D433*D414),"Insert unit")))))))))),"")</f>
        <v>0</v>
      </c>
      <c r="F423" s="21"/>
      <c r="G423" s="21"/>
      <c r="L423" s="35"/>
    </row>
    <row r="424" spans="2:12" s="4" customFormat="1" outlineLevel="1" x14ac:dyDescent="0.4">
      <c r="B424" s="20"/>
      <c r="C424" s="21"/>
      <c r="D424" s="21"/>
      <c r="E424" s="21"/>
      <c r="F424" s="21"/>
      <c r="G424" s="21"/>
      <c r="H424" s="21"/>
      <c r="I424" s="21"/>
      <c r="J424" s="21"/>
      <c r="K424" s="21"/>
      <c r="L424" s="35"/>
    </row>
    <row r="425" spans="2:12" s="4" customFormat="1" ht="16.5" customHeight="1" outlineLevel="1" x14ac:dyDescent="0.4">
      <c r="B425" s="20"/>
      <c r="C425" s="759" t="s">
        <v>177</v>
      </c>
      <c r="D425" s="759"/>
      <c r="E425" s="135" t="s">
        <v>178</v>
      </c>
      <c r="F425" s="21"/>
      <c r="G425" s="21"/>
      <c r="L425" s="35"/>
    </row>
    <row r="426" spans="2:12" s="4" customFormat="1" ht="12.75" customHeight="1" outlineLevel="1" x14ac:dyDescent="0.4">
      <c r="B426" s="20"/>
      <c r="C426" s="21"/>
      <c r="D426" s="21"/>
      <c r="E426" s="21"/>
      <c r="F426" s="21"/>
      <c r="G426" s="21"/>
      <c r="L426" s="35"/>
    </row>
    <row r="427" spans="2:12" s="4" customFormat="1" outlineLevel="1" x14ac:dyDescent="0.4">
      <c r="B427" s="20"/>
      <c r="C427" s="25" t="str">
        <f>IF(E425="yes", "Fuel demand for outward journey",IF(E425="No","Fuel demand for full journey (outward and return)",""))</f>
        <v>Fuel demand for full journey (outward and return)</v>
      </c>
      <c r="D427" s="21"/>
      <c r="E427" s="21"/>
      <c r="F427" s="21"/>
      <c r="G427" s="21"/>
      <c r="H427" s="21"/>
      <c r="I427" s="21"/>
      <c r="J427" s="21"/>
      <c r="K427" s="21"/>
      <c r="L427" s="35"/>
    </row>
    <row r="428" spans="2:12" s="4" customFormat="1" outlineLevel="1" x14ac:dyDescent="0.4">
      <c r="B428" s="20"/>
      <c r="C428" s="164" t="s">
        <v>151</v>
      </c>
      <c r="D428" s="164" t="s">
        <v>140</v>
      </c>
      <c r="E428" s="21"/>
      <c r="F428" s="21"/>
      <c r="G428" s="21"/>
      <c r="H428" s="21"/>
      <c r="I428" s="21"/>
      <c r="J428" s="21"/>
      <c r="K428" s="21"/>
      <c r="L428" s="35"/>
    </row>
    <row r="429" spans="2:12" s="4" customFormat="1" outlineLevel="1" x14ac:dyDescent="0.4">
      <c r="B429" s="20"/>
      <c r="C429" s="138"/>
      <c r="D429" s="135"/>
      <c r="E429" s="21"/>
      <c r="F429" s="21"/>
      <c r="G429" s="21"/>
      <c r="H429" s="21"/>
      <c r="I429" s="21"/>
      <c r="J429" s="21"/>
      <c r="K429" s="21"/>
      <c r="L429" s="35"/>
    </row>
    <row r="430" spans="2:12" s="4" customFormat="1" outlineLevel="1" x14ac:dyDescent="0.4">
      <c r="B430" s="20"/>
      <c r="C430" s="21"/>
      <c r="D430" s="21"/>
      <c r="E430" s="21"/>
      <c r="F430" s="21"/>
      <c r="G430" s="21"/>
      <c r="H430" s="21"/>
      <c r="I430" s="21"/>
      <c r="J430" s="21"/>
      <c r="K430" s="21"/>
      <c r="L430" s="35"/>
    </row>
    <row r="431" spans="2:12" s="4" customFormat="1" outlineLevel="1" x14ac:dyDescent="0.4">
      <c r="B431" s="20"/>
      <c r="C431" s="25" t="s">
        <v>180</v>
      </c>
      <c r="D431" s="21"/>
      <c r="E431" s="21"/>
      <c r="F431" s="21"/>
      <c r="G431" s="21"/>
      <c r="H431" s="21"/>
      <c r="I431" s="21"/>
      <c r="J431" s="21"/>
      <c r="K431" s="21"/>
      <c r="L431" s="35"/>
    </row>
    <row r="432" spans="2:12" s="4" customFormat="1" outlineLevel="1" x14ac:dyDescent="0.4">
      <c r="B432" s="20"/>
      <c r="C432" s="164" t="s">
        <v>151</v>
      </c>
      <c r="D432" s="164" t="s">
        <v>140</v>
      </c>
      <c r="E432" s="21"/>
      <c r="F432" s="21"/>
      <c r="G432" s="21"/>
      <c r="H432" s="21"/>
      <c r="I432" s="21"/>
      <c r="J432" s="21"/>
      <c r="K432" s="21"/>
      <c r="L432" s="35"/>
    </row>
    <row r="433" spans="2:12" s="4" customFormat="1" outlineLevel="1" x14ac:dyDescent="0.4">
      <c r="B433" s="20"/>
      <c r="C433" s="138"/>
      <c r="D433" s="135"/>
      <c r="E433" s="21"/>
      <c r="F433" s="21"/>
      <c r="G433" s="21"/>
      <c r="H433" s="21"/>
      <c r="I433" s="21"/>
      <c r="J433" s="21"/>
      <c r="K433" s="21"/>
      <c r="L433" s="35"/>
    </row>
    <row r="434" spans="2:12" s="4" customFormat="1" ht="12.75" customHeight="1" outlineLevel="1" x14ac:dyDescent="0.4">
      <c r="B434" s="28"/>
      <c r="C434" s="29"/>
      <c r="D434" s="29"/>
      <c r="E434" s="29"/>
      <c r="F434" s="29"/>
      <c r="G434" s="29"/>
      <c r="H434" s="29"/>
      <c r="I434" s="29"/>
      <c r="J434" s="29"/>
      <c r="K434" s="29"/>
      <c r="L434" s="60"/>
    </row>
    <row r="435" spans="2:12" s="4" customFormat="1" x14ac:dyDescent="0.4"/>
    <row r="436" spans="2:12" s="4" customFormat="1" ht="16.5" hidden="1" customHeight="1" x14ac:dyDescent="0.4"/>
    <row r="437" spans="2:12" s="4" customFormat="1" ht="16.5" hidden="1" customHeight="1" x14ac:dyDescent="0.4"/>
    <row r="438" spans="2:12" s="4" customFormat="1" ht="16.5" hidden="1" customHeight="1" x14ac:dyDescent="0.4"/>
    <row r="439" spans="2:12" s="4" customFormat="1" ht="16.5" hidden="1" customHeight="1" x14ac:dyDescent="0.4"/>
    <row r="440" spans="2:12" s="4" customFormat="1" ht="16.5" hidden="1" customHeight="1" x14ac:dyDescent="0.4"/>
    <row r="441" spans="2:12" s="4" customFormat="1" ht="16.5" hidden="1" customHeight="1" x14ac:dyDescent="0.4"/>
    <row r="442" spans="2:12" s="4" customFormat="1" ht="16.5" hidden="1" customHeight="1" x14ac:dyDescent="0.4"/>
    <row r="443" spans="2:12" s="4" customFormat="1" ht="16.5" hidden="1" customHeight="1" x14ac:dyDescent="0.4"/>
    <row r="444" spans="2:12" s="4" customFormat="1" ht="16.5" hidden="1" customHeight="1" x14ac:dyDescent="0.4"/>
    <row r="445" spans="2:12" s="4" customFormat="1" ht="16.5" hidden="1" customHeight="1" x14ac:dyDescent="0.4"/>
    <row r="446" spans="2:12" s="4" customFormat="1" ht="16.5" hidden="1" customHeight="1" x14ac:dyDescent="0.4"/>
    <row r="447" spans="2:12" s="4" customFormat="1" ht="16.5" hidden="1" customHeight="1" x14ac:dyDescent="0.4"/>
    <row r="448" spans="2:12" s="4" customFormat="1" ht="16.5" hidden="1" customHeight="1" x14ac:dyDescent="0.4"/>
    <row r="449" spans="2:12" s="4" customFormat="1" ht="16.5" hidden="1" customHeight="1" x14ac:dyDescent="0.4"/>
    <row r="450" spans="2:12" s="4" customFormat="1" ht="16.5" hidden="1" customHeight="1" x14ac:dyDescent="0.4"/>
    <row r="451" spans="2:12" s="4" customFormat="1" hidden="1" x14ac:dyDescent="0.4"/>
    <row r="452" spans="2:12" s="4" customFormat="1" hidden="1" x14ac:dyDescent="0.4"/>
    <row r="453" spans="2:12" s="4" customFormat="1" hidden="1" x14ac:dyDescent="0.4"/>
    <row r="454" spans="2:12" s="4" customFormat="1" hidden="1" x14ac:dyDescent="0.4"/>
    <row r="455" spans="2:12" s="4" customFormat="1" hidden="1" x14ac:dyDescent="0.4"/>
    <row r="456" spans="2:12" s="4" customFormat="1" hidden="1" x14ac:dyDescent="0.4"/>
    <row r="457" spans="2:12" s="4" customFormat="1" hidden="1" x14ac:dyDescent="0.4"/>
    <row r="458" spans="2:12" s="4" customFormat="1" ht="19.2" x14ac:dyDescent="0.45">
      <c r="B458" s="754" t="str">
        <f>"Transport to Plant"&amp;" - "&amp;Feedstocks!C20</f>
        <v xml:space="preserve">Transport to Plant - </v>
      </c>
      <c r="C458" s="755"/>
      <c r="D458" s="755"/>
      <c r="E458" s="755"/>
      <c r="F458" s="755"/>
      <c r="G458" s="755"/>
      <c r="H458" s="755"/>
      <c r="I458" s="755"/>
      <c r="J458" s="755"/>
      <c r="K458" s="755"/>
      <c r="L458" s="756"/>
    </row>
    <row r="459" spans="2:12" s="4" customFormat="1" outlineLevel="1" x14ac:dyDescent="0.4">
      <c r="B459" s="17"/>
      <c r="C459" s="19"/>
      <c r="D459" s="19"/>
      <c r="E459" s="19"/>
      <c r="F459" s="19"/>
      <c r="G459" s="19"/>
      <c r="H459" s="19"/>
      <c r="I459" s="19"/>
      <c r="J459" s="19"/>
      <c r="K459" s="19"/>
      <c r="L459" s="50"/>
    </row>
    <row r="460" spans="2:12" s="4" customFormat="1" outlineLevel="1" x14ac:dyDescent="0.4">
      <c r="B460" s="20"/>
      <c r="C460" s="85"/>
      <c r="D460" s="760"/>
      <c r="E460" s="761"/>
      <c r="F460" s="762"/>
      <c r="G460" s="1"/>
      <c r="H460" s="303" t="s">
        <v>122</v>
      </c>
      <c r="I460" s="47"/>
      <c r="J460" s="47"/>
      <c r="K460" s="61"/>
      <c r="L460" s="35"/>
    </row>
    <row r="461" spans="2:12" s="4" customFormat="1" outlineLevel="1" x14ac:dyDescent="0.4">
      <c r="B461" s="20"/>
      <c r="C461" s="175" t="s">
        <v>123</v>
      </c>
      <c r="D461" s="753" t="str">
        <f>IF(Feedstocks!$H$20&gt;0,Feedstocks!$H$20,"")</f>
        <v/>
      </c>
      <c r="E461" s="753"/>
      <c r="F461" s="753"/>
      <c r="G461" s="76"/>
      <c r="H461" s="43"/>
      <c r="I461" s="36"/>
      <c r="J461" s="164" t="s">
        <v>124</v>
      </c>
      <c r="K461" s="44"/>
      <c r="L461" s="35"/>
    </row>
    <row r="462" spans="2:12" s="12" customFormat="1" ht="15" outlineLevel="1" x14ac:dyDescent="0.35">
      <c r="B462" s="20"/>
      <c r="C462" s="1"/>
      <c r="D462" s="1"/>
      <c r="E462" s="1"/>
      <c r="F462" s="1"/>
      <c r="G462" s="1"/>
      <c r="H462" s="43"/>
      <c r="I462" s="164" t="s">
        <v>125</v>
      </c>
      <c r="J462" s="52" t="str">
        <f>IFERROR((J465/(('Digestion &amp; outputs'!$G$25/1000)))*'Digestion &amp; outputs'!$K$23,"")</f>
        <v/>
      </c>
      <c r="K462" s="44"/>
      <c r="L462" s="54"/>
    </row>
    <row r="463" spans="2:12" s="4" customFormat="1" outlineLevel="1" x14ac:dyDescent="0.4">
      <c r="B463" s="20"/>
      <c r="C463" s="164" t="s">
        <v>163</v>
      </c>
      <c r="D463" s="134" t="s">
        <v>164</v>
      </c>
      <c r="E463" s="1"/>
      <c r="F463" s="1"/>
      <c r="G463" s="1"/>
      <c r="H463" s="41"/>
      <c r="I463" s="34"/>
      <c r="J463" s="34"/>
      <c r="K463" s="37"/>
      <c r="L463" s="35"/>
    </row>
    <row r="464" spans="2:12" s="4" customFormat="1" outlineLevel="1" x14ac:dyDescent="0.4">
      <c r="B464" s="20"/>
      <c r="C464" s="164" t="s">
        <v>165</v>
      </c>
      <c r="D464" s="143"/>
      <c r="E464" s="1"/>
      <c r="F464" s="1"/>
      <c r="G464" s="1"/>
      <c r="H464" s="41"/>
      <c r="I464" s="36"/>
      <c r="J464" s="164" t="s">
        <v>141</v>
      </c>
      <c r="K464" s="37"/>
      <c r="L464" s="35"/>
    </row>
    <row r="465" spans="2:12" s="4" customFormat="1" outlineLevel="1" x14ac:dyDescent="0.4">
      <c r="B465" s="20"/>
      <c r="C465" s="164" t="s">
        <v>160</v>
      </c>
      <c r="D465" s="134"/>
      <c r="E465" s="1"/>
      <c r="F465" s="1"/>
      <c r="G465" s="1"/>
      <c r="H465" s="42"/>
      <c r="I465" s="164" t="s">
        <v>167</v>
      </c>
      <c r="J465" s="52">
        <f>IFERROR(J470,"Insert data")</f>
        <v>0</v>
      </c>
      <c r="K465" s="62"/>
      <c r="L465" s="35"/>
    </row>
    <row r="466" spans="2:12" s="4" customFormat="1" outlineLevel="1" x14ac:dyDescent="0.4">
      <c r="B466" s="20"/>
      <c r="C466" s="21"/>
      <c r="D466" s="21"/>
      <c r="E466" s="21"/>
      <c r="F466" s="21"/>
      <c r="G466" s="21"/>
      <c r="H466" s="46"/>
      <c r="I466" s="58"/>
      <c r="J466" s="58"/>
      <c r="K466" s="59"/>
      <c r="L466" s="35"/>
    </row>
    <row r="467" spans="2:12" s="4" customFormat="1" outlineLevel="1" x14ac:dyDescent="0.4">
      <c r="B467" s="20"/>
      <c r="C467" s="25" t="s">
        <v>168</v>
      </c>
      <c r="D467" s="21"/>
      <c r="E467" s="21"/>
      <c r="F467" s="21"/>
      <c r="G467" s="21"/>
      <c r="H467" s="21"/>
      <c r="I467" s="21"/>
      <c r="J467" s="21"/>
      <c r="K467" s="21"/>
      <c r="L467" s="35"/>
    </row>
    <row r="468" spans="2:12" s="14" customFormat="1" ht="30.6" outlineLevel="1" x14ac:dyDescent="0.4">
      <c r="B468" s="23"/>
      <c r="C468" s="166" t="s">
        <v>131</v>
      </c>
      <c r="D468" s="166" t="s">
        <v>169</v>
      </c>
      <c r="E468" s="166" t="s">
        <v>170</v>
      </c>
      <c r="F468" s="166" t="s">
        <v>171</v>
      </c>
      <c r="G468" s="24"/>
      <c r="H468" s="303" t="s">
        <v>136</v>
      </c>
      <c r="I468" s="47"/>
      <c r="J468" s="47"/>
      <c r="K468" s="45"/>
      <c r="L468" s="63"/>
    </row>
    <row r="469" spans="2:12" s="4" customFormat="1" outlineLevel="1" x14ac:dyDescent="0.4">
      <c r="B469" s="20"/>
      <c r="C469" s="138" t="s">
        <v>96</v>
      </c>
      <c r="D469" s="93">
        <v>1</v>
      </c>
      <c r="E469" s="135"/>
      <c r="F469" s="31">
        <f>IFERROR(IF(OR(C469="Default",D463="No transport required"),D469,IF(ISBLANK(E469),"Insert data",E469)),"")</f>
        <v>1</v>
      </c>
      <c r="G469" s="21"/>
      <c r="H469" s="41"/>
      <c r="I469" s="36"/>
      <c r="J469" s="164" t="s">
        <v>141</v>
      </c>
      <c r="K469" s="37"/>
      <c r="L469" s="35"/>
    </row>
    <row r="470" spans="2:12" s="4" customFormat="1" outlineLevel="1" x14ac:dyDescent="0.4">
      <c r="B470" s="20"/>
      <c r="C470" s="21"/>
      <c r="D470" s="21"/>
      <c r="E470" s="692" t="str">
        <f>IF(E469&gt;1, "this should not be greater than 1", "")</f>
        <v/>
      </c>
      <c r="F470" s="21"/>
      <c r="G470" s="21"/>
      <c r="H470" s="42"/>
      <c r="I470" s="164" t="s">
        <v>172</v>
      </c>
      <c r="J470" s="52">
        <f>IF(D463="No transport required",0,IFERROR(E473*INDEX(Fuel_EFs,MATCH(D465,Fuels_for_EF,0))*D464/1000,"Insert data"))</f>
        <v>0</v>
      </c>
      <c r="K470" s="62"/>
      <c r="L470" s="35"/>
    </row>
    <row r="471" spans="2:12" s="4" customFormat="1" outlineLevel="1" x14ac:dyDescent="0.4">
      <c r="B471" s="20"/>
      <c r="C471" s="25" t="s">
        <v>173</v>
      </c>
      <c r="D471" s="21"/>
      <c r="E471" s="21"/>
      <c r="F471" s="21"/>
      <c r="G471" s="21"/>
      <c r="H471" s="46"/>
      <c r="I471" s="58"/>
      <c r="J471" s="58"/>
      <c r="K471" s="59"/>
      <c r="L471" s="35"/>
    </row>
    <row r="472" spans="2:12" s="14" customFormat="1" outlineLevel="1" x14ac:dyDescent="0.4">
      <c r="B472" s="23"/>
      <c r="C472" s="176" t="s">
        <v>174</v>
      </c>
      <c r="D472" s="166" t="s">
        <v>175</v>
      </c>
      <c r="E472" s="166" t="s">
        <v>176</v>
      </c>
      <c r="F472" s="24"/>
      <c r="G472" s="24"/>
      <c r="H472" s="4"/>
      <c r="I472" s="4"/>
      <c r="J472" s="4"/>
      <c r="K472" s="4"/>
      <c r="L472" s="63"/>
    </row>
    <row r="473" spans="2:12" s="4" customFormat="1" outlineLevel="1" x14ac:dyDescent="0.4">
      <c r="B473" s="20"/>
      <c r="C473" s="138" t="s">
        <v>96</v>
      </c>
      <c r="D473" s="93">
        <f>IFERROR(INDEX(Transport_Fuel_Efficiencies,MATCH(D463,Transport_Modes,0)),"Insert data")</f>
        <v>0</v>
      </c>
      <c r="E473" s="31">
        <f>IFERROR(IF(C473="Default",D473,IF(OR(ISBLANK(E475),ISBLANK(D479),ISBLANK(D483)),"Insert data",(IF(C479="litres",(D479*(INDEX(Fuel_Densities,MATCH(D465,Fuels_for_Densities,0))/1000)*INDEX(Fuel_LHV,MATCH(D465,Fuels_for_LHV,0)))/(D483*D464),(IF(C479="m3",(D479*(INDEX(Fuel_Densities,MATCH(D465,Fuels_for_Densities,0)))*INDEX(Fuel_LHV,MATCH(D465,Fuels_for_LHV,0)))/(D483*D464),IF(C479="kg",(D479*INDEX(Fuel_LHV,MATCH(D465,Fuels_for_LHV,0)))/(D483*D464),IF(C479="tonnes",(D479*INDEX(Fuel_LHV,MATCH(D465,Fuels_for_LHV,0))*1000)/(D483*D464),IF(C479="MWh",(D479*'Reference values'!$D$47)/(D483*D464),IF(C479="kWh",(D479*'Reference values'!$D$47/1000)/(D483*D464),"Insert unit")))))))))),"")</f>
        <v>0</v>
      </c>
      <c r="F473" s="21"/>
      <c r="G473" s="21"/>
      <c r="L473" s="35"/>
    </row>
    <row r="474" spans="2:12" s="4" customFormat="1" outlineLevel="1" x14ac:dyDescent="0.4">
      <c r="B474" s="20"/>
      <c r="C474" s="21"/>
      <c r="D474" s="21"/>
      <c r="E474" s="21"/>
      <c r="F474" s="21"/>
      <c r="G474" s="21"/>
      <c r="H474" s="21"/>
      <c r="I474" s="21"/>
      <c r="J474" s="21"/>
      <c r="K474" s="21"/>
      <c r="L474" s="35"/>
    </row>
    <row r="475" spans="2:12" s="4" customFormat="1" ht="16.5" customHeight="1" outlineLevel="1" x14ac:dyDescent="0.4">
      <c r="B475" s="20"/>
      <c r="C475" s="759" t="s">
        <v>177</v>
      </c>
      <c r="D475" s="759"/>
      <c r="E475" s="135" t="s">
        <v>178</v>
      </c>
      <c r="F475" s="21"/>
      <c r="G475" s="21"/>
      <c r="H475" s="21"/>
      <c r="I475" s="21"/>
      <c r="J475" s="21"/>
      <c r="K475" s="21"/>
      <c r="L475" s="35"/>
    </row>
    <row r="476" spans="2:12" s="4" customFormat="1" ht="12.75" customHeight="1" outlineLevel="1" x14ac:dyDescent="0.4">
      <c r="B476" s="20"/>
      <c r="C476" s="21"/>
      <c r="D476" s="21"/>
      <c r="E476" s="21"/>
      <c r="F476" s="21"/>
      <c r="G476" s="21"/>
      <c r="L476" s="35"/>
    </row>
    <row r="477" spans="2:12" s="4" customFormat="1" outlineLevel="1" x14ac:dyDescent="0.4">
      <c r="B477" s="20"/>
      <c r="C477" s="25" t="str">
        <f>IF(E475="yes", "Fuel demand for outward journey",IF(E475="No","Fuel demand for full journey (outward and return)",""))</f>
        <v>Fuel demand for full journey (outward and return)</v>
      </c>
      <c r="D477" s="21"/>
      <c r="E477" s="21"/>
      <c r="F477" s="21"/>
      <c r="G477" s="21"/>
      <c r="H477" s="21"/>
      <c r="I477" s="21"/>
      <c r="J477" s="21"/>
      <c r="K477" s="21"/>
      <c r="L477" s="35"/>
    </row>
    <row r="478" spans="2:12" s="4" customFormat="1" outlineLevel="1" x14ac:dyDescent="0.4">
      <c r="B478" s="20"/>
      <c r="C478" s="164" t="s">
        <v>151</v>
      </c>
      <c r="D478" s="164" t="s">
        <v>140</v>
      </c>
      <c r="E478" s="21"/>
      <c r="F478" s="21"/>
      <c r="G478" s="21"/>
      <c r="H478" s="21"/>
      <c r="I478" s="21"/>
      <c r="J478" s="21"/>
      <c r="K478" s="21"/>
      <c r="L478" s="35"/>
    </row>
    <row r="479" spans="2:12" s="4" customFormat="1" outlineLevel="1" x14ac:dyDescent="0.4">
      <c r="B479" s="20"/>
      <c r="C479" s="138"/>
      <c r="D479" s="135"/>
      <c r="E479" s="21"/>
      <c r="F479" s="21"/>
      <c r="G479" s="21"/>
      <c r="H479" s="21"/>
      <c r="I479" s="21"/>
      <c r="J479" s="21"/>
      <c r="K479" s="21"/>
      <c r="L479" s="35"/>
    </row>
    <row r="480" spans="2:12" s="4" customFormat="1" outlineLevel="1" x14ac:dyDescent="0.4">
      <c r="B480" s="20"/>
      <c r="C480" s="21"/>
      <c r="D480" s="21"/>
      <c r="E480" s="21"/>
      <c r="F480" s="21"/>
      <c r="G480" s="21"/>
      <c r="H480" s="21"/>
      <c r="I480" s="21"/>
      <c r="J480" s="21"/>
      <c r="K480" s="21"/>
      <c r="L480" s="35"/>
    </row>
    <row r="481" spans="2:12" s="4" customFormat="1" outlineLevel="1" x14ac:dyDescent="0.4">
      <c r="B481" s="20"/>
      <c r="C481" s="25" t="s">
        <v>180</v>
      </c>
      <c r="D481" s="21"/>
      <c r="E481" s="21"/>
      <c r="F481" s="21"/>
      <c r="G481" s="21"/>
      <c r="H481" s="21"/>
      <c r="I481" s="21"/>
      <c r="J481" s="21"/>
      <c r="K481" s="21"/>
      <c r="L481" s="35"/>
    </row>
    <row r="482" spans="2:12" s="4" customFormat="1" outlineLevel="1" x14ac:dyDescent="0.4">
      <c r="B482" s="20"/>
      <c r="C482" s="164" t="s">
        <v>151</v>
      </c>
      <c r="D482" s="164" t="s">
        <v>140</v>
      </c>
      <c r="E482" s="21"/>
      <c r="F482" s="21"/>
      <c r="G482" s="21"/>
      <c r="H482" s="21"/>
      <c r="I482" s="21"/>
      <c r="J482" s="21"/>
      <c r="K482" s="21"/>
      <c r="L482" s="35"/>
    </row>
    <row r="483" spans="2:12" s="4" customFormat="1" outlineLevel="1" x14ac:dyDescent="0.4">
      <c r="B483" s="20"/>
      <c r="C483" s="138"/>
      <c r="D483" s="135"/>
      <c r="E483" s="21"/>
      <c r="F483" s="21"/>
      <c r="G483" s="21"/>
      <c r="H483" s="21"/>
      <c r="I483" s="21"/>
      <c r="J483" s="21"/>
      <c r="K483" s="21"/>
      <c r="L483" s="35"/>
    </row>
    <row r="484" spans="2:12" s="4" customFormat="1" ht="12.75" customHeight="1" outlineLevel="1" x14ac:dyDescent="0.4">
      <c r="B484" s="28"/>
      <c r="C484" s="29"/>
      <c r="D484" s="29"/>
      <c r="E484" s="29"/>
      <c r="F484" s="29"/>
      <c r="G484" s="29"/>
      <c r="H484" s="29"/>
      <c r="I484" s="29"/>
      <c r="J484" s="29"/>
      <c r="K484" s="29"/>
      <c r="L484" s="60"/>
    </row>
    <row r="485" spans="2:12" s="4" customFormat="1" ht="15.9" customHeight="1" x14ac:dyDescent="0.4"/>
    <row r="486" spans="2:12" s="4" customFormat="1" hidden="1" x14ac:dyDescent="0.4"/>
    <row r="487" spans="2:12" s="4" customFormat="1" ht="0.6" hidden="1" customHeight="1" x14ac:dyDescent="0.4"/>
    <row r="488" spans="2:12" s="4" customFormat="1" hidden="1" x14ac:dyDescent="0.4"/>
    <row r="489" spans="2:12" s="4" customFormat="1" hidden="1" x14ac:dyDescent="0.4"/>
    <row r="490" spans="2:12" s="4" customFormat="1" hidden="1" x14ac:dyDescent="0.4"/>
    <row r="491" spans="2:12" s="4" customFormat="1" hidden="1" x14ac:dyDescent="0.4"/>
    <row r="492" spans="2:12" s="4" customFormat="1" hidden="1" x14ac:dyDescent="0.4"/>
    <row r="493" spans="2:12" s="4" customFormat="1" hidden="1" x14ac:dyDescent="0.4"/>
    <row r="494" spans="2:12" s="4" customFormat="1" hidden="1" x14ac:dyDescent="0.4"/>
    <row r="495" spans="2:12" s="4" customFormat="1" hidden="1" x14ac:dyDescent="0.4"/>
    <row r="496" spans="2:12" s="4" customFormat="1" hidden="1" x14ac:dyDescent="0.4"/>
    <row r="497" spans="2:12" s="4" customFormat="1" hidden="1" x14ac:dyDescent="0.4"/>
    <row r="498" spans="2:12" s="4" customFormat="1" hidden="1" x14ac:dyDescent="0.4"/>
    <row r="499" spans="2:12" s="4" customFormat="1" hidden="1" x14ac:dyDescent="0.4"/>
    <row r="500" spans="2:12" s="4" customFormat="1" hidden="1" x14ac:dyDescent="0.4"/>
    <row r="501" spans="2:12" s="4" customFormat="1" ht="2.1" hidden="1" customHeight="1" x14ac:dyDescent="0.4"/>
    <row r="502" spans="2:12" s="4" customFormat="1" hidden="1" x14ac:dyDescent="0.4"/>
    <row r="503" spans="2:12" s="4" customFormat="1" hidden="1" x14ac:dyDescent="0.4"/>
    <row r="504" spans="2:12" s="4" customFormat="1" hidden="1" x14ac:dyDescent="0.4"/>
    <row r="505" spans="2:12" s="4" customFormat="1" hidden="1" x14ac:dyDescent="0.4"/>
    <row r="506" spans="2:12" s="4" customFormat="1" hidden="1" x14ac:dyDescent="0.4"/>
    <row r="507" spans="2:12" s="4" customFormat="1" hidden="1" x14ac:dyDescent="0.4"/>
    <row r="508" spans="2:12" s="4" customFormat="1" ht="19.2" x14ac:dyDescent="0.45">
      <c r="B508" s="754" t="str">
        <f>"Transport to Plant"&amp;" - "&amp;Feedstocks!C24</f>
        <v xml:space="preserve">Transport to Plant - </v>
      </c>
      <c r="C508" s="755"/>
      <c r="D508" s="755"/>
      <c r="E508" s="755"/>
      <c r="F508" s="755"/>
      <c r="G508" s="755"/>
      <c r="H508" s="755"/>
      <c r="I508" s="755"/>
      <c r="J508" s="755"/>
      <c r="K508" s="755"/>
      <c r="L508" s="756"/>
    </row>
    <row r="509" spans="2:12" s="4" customFormat="1" outlineLevel="1" x14ac:dyDescent="0.4">
      <c r="B509" s="17"/>
      <c r="C509" s="18"/>
      <c r="D509" s="19"/>
      <c r="E509" s="19"/>
      <c r="F509" s="19"/>
      <c r="G509" s="19"/>
      <c r="H509" s="19"/>
      <c r="I509" s="19"/>
      <c r="J509" s="19"/>
      <c r="K509" s="19"/>
      <c r="L509" s="50"/>
    </row>
    <row r="510" spans="2:12" s="4" customFormat="1" outlineLevel="1" x14ac:dyDescent="0.4">
      <c r="B510" s="20"/>
      <c r="C510" s="174" t="s">
        <v>87</v>
      </c>
      <c r="D510" s="778" t="str">
        <f>IF(Feedstocks!$C$24&gt;0,Feedstocks!$C$24,"")</f>
        <v/>
      </c>
      <c r="E510" s="778"/>
      <c r="F510" s="778"/>
      <c r="G510" s="1"/>
      <c r="H510" s="303" t="s">
        <v>122</v>
      </c>
      <c r="I510" s="47"/>
      <c r="J510" s="47"/>
      <c r="K510" s="61"/>
      <c r="L510" s="35"/>
    </row>
    <row r="511" spans="2:12" s="4" customFormat="1" outlineLevel="1" x14ac:dyDescent="0.4">
      <c r="B511" s="20"/>
      <c r="C511" s="19"/>
      <c r="D511" s="19"/>
      <c r="E511" s="19"/>
      <c r="F511" s="19"/>
      <c r="G511" s="76"/>
      <c r="H511" s="43"/>
      <c r="I511" s="36"/>
      <c r="J511" s="164" t="s">
        <v>124</v>
      </c>
      <c r="K511" s="44"/>
      <c r="L511" s="35"/>
    </row>
    <row r="512" spans="2:12" s="12" customFormat="1" ht="15" outlineLevel="1" x14ac:dyDescent="0.35">
      <c r="B512" s="20"/>
      <c r="C512" s="85"/>
      <c r="D512" s="1"/>
      <c r="E512" s="1"/>
      <c r="F512" s="1"/>
      <c r="G512" s="1"/>
      <c r="H512" s="43"/>
      <c r="I512" s="164" t="s">
        <v>125</v>
      </c>
      <c r="J512" s="52" t="str">
        <f>IFERROR((J515/(('Digestion &amp; outputs'!$G$27/1000)))*'Digestion &amp; outputs'!$K$23,"")</f>
        <v/>
      </c>
      <c r="K512" s="44"/>
      <c r="L512" s="54"/>
    </row>
    <row r="513" spans="2:12" s="4" customFormat="1" outlineLevel="1" x14ac:dyDescent="0.4">
      <c r="B513" s="20"/>
      <c r="C513" s="164" t="s">
        <v>163</v>
      </c>
      <c r="D513" s="134" t="s">
        <v>164</v>
      </c>
      <c r="E513" s="1"/>
      <c r="F513" s="1"/>
      <c r="G513" s="1"/>
      <c r="H513" s="41"/>
      <c r="I513" s="34"/>
      <c r="J513" s="34"/>
      <c r="K513" s="37"/>
      <c r="L513" s="35"/>
    </row>
    <row r="514" spans="2:12" s="4" customFormat="1" outlineLevel="1" x14ac:dyDescent="0.4">
      <c r="B514" s="20"/>
      <c r="C514" s="164" t="s">
        <v>165</v>
      </c>
      <c r="D514" s="143"/>
      <c r="E514" s="1"/>
      <c r="F514" s="1"/>
      <c r="G514" s="1"/>
      <c r="H514" s="41"/>
      <c r="I514" s="36"/>
      <c r="J514" s="164" t="s">
        <v>141</v>
      </c>
      <c r="K514" s="37"/>
      <c r="L514" s="35"/>
    </row>
    <row r="515" spans="2:12" s="4" customFormat="1" outlineLevel="1" x14ac:dyDescent="0.4">
      <c r="B515" s="20"/>
      <c r="C515" s="164" t="s">
        <v>160</v>
      </c>
      <c r="D515" s="134" t="s">
        <v>166</v>
      </c>
      <c r="E515" s="1"/>
      <c r="F515" s="1"/>
      <c r="G515" s="1"/>
      <c r="H515" s="42"/>
      <c r="I515" s="164" t="s">
        <v>167</v>
      </c>
      <c r="J515" s="52">
        <f>IFERROR(J520,"Insert data")</f>
        <v>0</v>
      </c>
      <c r="K515" s="62"/>
      <c r="L515" s="35"/>
    </row>
    <row r="516" spans="2:12" s="4" customFormat="1" outlineLevel="1" x14ac:dyDescent="0.4">
      <c r="B516" s="20"/>
      <c r="C516" s="21"/>
      <c r="D516" s="21"/>
      <c r="E516" s="21"/>
      <c r="F516" s="21"/>
      <c r="G516" s="21"/>
      <c r="H516" s="46"/>
      <c r="I516" s="58"/>
      <c r="J516" s="58"/>
      <c r="K516" s="59"/>
      <c r="L516" s="35"/>
    </row>
    <row r="517" spans="2:12" s="4" customFormat="1" outlineLevel="1" x14ac:dyDescent="0.4">
      <c r="B517" s="20"/>
      <c r="C517" s="25" t="s">
        <v>168</v>
      </c>
      <c r="D517" s="21"/>
      <c r="E517" s="21"/>
      <c r="F517" s="21"/>
      <c r="G517" s="21"/>
      <c r="H517" s="21"/>
      <c r="I517" s="21"/>
      <c r="J517" s="21"/>
      <c r="K517" s="21"/>
      <c r="L517" s="35"/>
    </row>
    <row r="518" spans="2:12" s="14" customFormat="1" ht="30.6" outlineLevel="1" x14ac:dyDescent="0.4">
      <c r="B518" s="23"/>
      <c r="C518" s="166" t="s">
        <v>131</v>
      </c>
      <c r="D518" s="166" t="s">
        <v>169</v>
      </c>
      <c r="E518" s="166" t="s">
        <v>170</v>
      </c>
      <c r="F518" s="166" t="s">
        <v>171</v>
      </c>
      <c r="G518" s="24"/>
      <c r="H518" s="303" t="s">
        <v>136</v>
      </c>
      <c r="I518" s="47"/>
      <c r="J518" s="47"/>
      <c r="K518" s="45"/>
      <c r="L518" s="63"/>
    </row>
    <row r="519" spans="2:12" s="4" customFormat="1" outlineLevel="1" x14ac:dyDescent="0.4">
      <c r="B519" s="20"/>
      <c r="C519" s="138" t="s">
        <v>96</v>
      </c>
      <c r="D519" s="93">
        <v>1</v>
      </c>
      <c r="E519" s="135"/>
      <c r="F519" s="31">
        <f>IFERROR(IF(OR(C519="Default",D513="No transport required"),D519,IF(ISBLANK(E519),"Insert data",E519)),"")</f>
        <v>1</v>
      </c>
      <c r="G519" s="21"/>
      <c r="H519" s="41"/>
      <c r="I519" s="36"/>
      <c r="J519" s="164" t="s">
        <v>141</v>
      </c>
      <c r="K519" s="37"/>
      <c r="L519" s="35"/>
    </row>
    <row r="520" spans="2:12" s="4" customFormat="1" outlineLevel="1" x14ac:dyDescent="0.4">
      <c r="B520" s="20"/>
      <c r="C520" s="21"/>
      <c r="D520" s="21"/>
      <c r="E520" s="692" t="str">
        <f>IF(E519&gt;1, "this should not be greater than 1", "")</f>
        <v/>
      </c>
      <c r="F520" s="21"/>
      <c r="G520" s="21"/>
      <c r="H520" s="42"/>
      <c r="I520" s="164" t="s">
        <v>172</v>
      </c>
      <c r="J520" s="52">
        <f>IF(D513="No transport required",0,IFERROR(E523*INDEX(Fuel_EFs,MATCH(D515,Fuels_for_EF,0))*D514/1000,"Insert data"))</f>
        <v>0</v>
      </c>
      <c r="K520" s="62"/>
      <c r="L520" s="35"/>
    </row>
    <row r="521" spans="2:12" s="4" customFormat="1" outlineLevel="1" x14ac:dyDescent="0.4">
      <c r="B521" s="20"/>
      <c r="C521" s="25" t="s">
        <v>173</v>
      </c>
      <c r="D521" s="21"/>
      <c r="E521" s="21"/>
      <c r="F521" s="21"/>
      <c r="G521" s="21"/>
      <c r="H521" s="46"/>
      <c r="I521" s="58"/>
      <c r="J521" s="58"/>
      <c r="K521" s="59"/>
      <c r="L521" s="35"/>
    </row>
    <row r="522" spans="2:12" s="14" customFormat="1" outlineLevel="1" x14ac:dyDescent="0.4">
      <c r="B522" s="23"/>
      <c r="C522" s="176" t="s">
        <v>174</v>
      </c>
      <c r="D522" s="166" t="s">
        <v>175</v>
      </c>
      <c r="E522" s="166" t="s">
        <v>176</v>
      </c>
      <c r="F522" s="24"/>
      <c r="G522" s="24"/>
      <c r="H522" s="4"/>
      <c r="I522" s="4"/>
      <c r="J522" s="4"/>
      <c r="K522" s="4"/>
      <c r="L522" s="63"/>
    </row>
    <row r="523" spans="2:12" s="4" customFormat="1" outlineLevel="1" x14ac:dyDescent="0.4">
      <c r="B523" s="20"/>
      <c r="C523" s="138" t="s">
        <v>96</v>
      </c>
      <c r="D523" s="93">
        <f>IFERROR(INDEX(Transport_Fuel_Efficiencies,MATCH(D513,Transport_Modes,0)),"Insert data")</f>
        <v>0</v>
      </c>
      <c r="E523" s="31">
        <f>IFERROR(IF(C523="Default",D523,IF(OR(ISBLANK(E525),ISBLANK(D529),ISBLANK(D533)),"Insert data",(IF(C529="litres",(D529*(INDEX(Fuel_Densities,MATCH(D515,Fuels_for_Densities,0))/1000)*INDEX(Fuel_LHV,MATCH(D515,Fuels_for_LHV,0)))/(D533*D514),(IF(C529="m3",(D529*(INDEX(Fuel_Densities,MATCH(D515,Fuels_for_Densities,0)))*INDEX(Fuel_LHV,MATCH(D515,Fuels_for_LHV,0)))/(D533*D514),IF(C529="kg",(D529*INDEX(Fuel_LHV,MATCH(D515,Fuels_for_LHV,0)))/(D533*D514),IF(C529="tonnes",(D529*INDEX(Fuel_LHV,MATCH(D515,Fuels_for_LHV,0))*1000)/(D533*D514),IF(C529="MWh",(D529*'Reference values'!$D$47)/(D533*D514),IF(C529="kWh",(D529*'Reference values'!$D$47/1000)/(D533*D514),"Insert unit")))))))))),"")</f>
        <v>0</v>
      </c>
      <c r="F523" s="21"/>
      <c r="G523" s="21"/>
      <c r="L523" s="35"/>
    </row>
    <row r="524" spans="2:12" s="4" customFormat="1" outlineLevel="1" x14ac:dyDescent="0.4">
      <c r="B524" s="20"/>
      <c r="C524" s="21"/>
      <c r="D524" s="21"/>
      <c r="E524" s="21"/>
      <c r="F524" s="21"/>
      <c r="G524" s="21"/>
      <c r="H524" s="21"/>
      <c r="I524" s="21"/>
      <c r="J524" s="21"/>
      <c r="K524" s="21"/>
      <c r="L524" s="35"/>
    </row>
    <row r="525" spans="2:12" s="4" customFormat="1" outlineLevel="1" x14ac:dyDescent="0.4">
      <c r="B525" s="20"/>
      <c r="C525" s="759" t="s">
        <v>177</v>
      </c>
      <c r="D525" s="759"/>
      <c r="E525" s="135" t="s">
        <v>178</v>
      </c>
      <c r="F525" s="21"/>
      <c r="G525" s="21"/>
      <c r="L525" s="35"/>
    </row>
    <row r="526" spans="2:12" s="4" customFormat="1" ht="12.75" customHeight="1" outlineLevel="1" x14ac:dyDescent="0.4">
      <c r="B526" s="20"/>
      <c r="C526" s="21"/>
      <c r="D526" s="21"/>
      <c r="E526" s="21"/>
      <c r="F526" s="21"/>
      <c r="G526" s="21"/>
      <c r="L526" s="35"/>
    </row>
    <row r="527" spans="2:12" s="4" customFormat="1" outlineLevel="1" x14ac:dyDescent="0.4">
      <c r="B527" s="20"/>
      <c r="C527" s="25" t="str">
        <f>IF(E525="yes", "Fuel demand for outward journey",IF(E525="No","Fuel demand for full journey (outward and return)",""))</f>
        <v>Fuel demand for full journey (outward and return)</v>
      </c>
      <c r="D527" s="21"/>
      <c r="E527" s="21"/>
      <c r="F527" s="21"/>
      <c r="G527" s="21"/>
      <c r="H527" s="21"/>
      <c r="I527" s="21"/>
      <c r="J527" s="21"/>
      <c r="K527" s="21"/>
      <c r="L527" s="35"/>
    </row>
    <row r="528" spans="2:12" s="4" customFormat="1" outlineLevel="1" x14ac:dyDescent="0.4">
      <c r="B528" s="20"/>
      <c r="C528" s="164" t="s">
        <v>151</v>
      </c>
      <c r="D528" s="164" t="s">
        <v>140</v>
      </c>
      <c r="E528" s="21"/>
      <c r="F528" s="21"/>
      <c r="G528" s="21"/>
      <c r="H528" s="21"/>
      <c r="I528" s="21"/>
      <c r="J528" s="21"/>
      <c r="K528" s="21"/>
      <c r="L528" s="35"/>
    </row>
    <row r="529" spans="2:12" s="4" customFormat="1" outlineLevel="1" x14ac:dyDescent="0.4">
      <c r="B529" s="20"/>
      <c r="C529" s="138"/>
      <c r="D529" s="135"/>
      <c r="E529" s="21"/>
      <c r="F529" s="21"/>
      <c r="G529" s="21"/>
      <c r="H529" s="21"/>
      <c r="I529" s="21"/>
      <c r="J529" s="21"/>
      <c r="K529" s="21"/>
      <c r="L529" s="35"/>
    </row>
    <row r="530" spans="2:12" s="4" customFormat="1" outlineLevel="1" x14ac:dyDescent="0.4">
      <c r="B530" s="20"/>
      <c r="C530" s="21"/>
      <c r="D530" s="21"/>
      <c r="E530" s="21"/>
      <c r="F530" s="21"/>
      <c r="G530" s="21"/>
      <c r="H530" s="21"/>
      <c r="I530" s="21"/>
      <c r="J530" s="21"/>
      <c r="K530" s="21"/>
      <c r="L530" s="35"/>
    </row>
    <row r="531" spans="2:12" s="4" customFormat="1" outlineLevel="1" x14ac:dyDescent="0.4">
      <c r="B531" s="20"/>
      <c r="C531" s="25" t="s">
        <v>180</v>
      </c>
      <c r="D531" s="21"/>
      <c r="E531" s="21"/>
      <c r="F531" s="21"/>
      <c r="G531" s="21"/>
      <c r="H531" s="21"/>
      <c r="I531" s="21"/>
      <c r="J531" s="21"/>
      <c r="K531" s="21"/>
      <c r="L531" s="35"/>
    </row>
    <row r="532" spans="2:12" s="4" customFormat="1" outlineLevel="1" x14ac:dyDescent="0.4">
      <c r="B532" s="20"/>
      <c r="C532" s="164" t="s">
        <v>151</v>
      </c>
      <c r="D532" s="164" t="s">
        <v>140</v>
      </c>
      <c r="E532" s="21"/>
      <c r="F532" s="21"/>
      <c r="G532" s="21"/>
      <c r="H532" s="21"/>
      <c r="I532" s="21"/>
      <c r="J532" s="21"/>
      <c r="K532" s="21"/>
      <c r="L532" s="35"/>
    </row>
    <row r="533" spans="2:12" s="4" customFormat="1" outlineLevel="1" x14ac:dyDescent="0.4">
      <c r="B533" s="20"/>
      <c r="C533" s="138"/>
      <c r="D533" s="135"/>
      <c r="E533" s="21"/>
      <c r="F533" s="21"/>
      <c r="G533" s="21"/>
      <c r="H533" s="21"/>
      <c r="I533" s="21"/>
      <c r="J533" s="21"/>
      <c r="K533" s="21"/>
      <c r="L533" s="35"/>
    </row>
    <row r="534" spans="2:12" s="4" customFormat="1" ht="12.75" customHeight="1" outlineLevel="1" x14ac:dyDescent="0.4">
      <c r="B534" s="28"/>
      <c r="C534" s="29"/>
      <c r="D534" s="29"/>
      <c r="E534" s="29"/>
      <c r="F534" s="29"/>
      <c r="G534" s="29"/>
      <c r="H534" s="29"/>
      <c r="I534" s="29"/>
      <c r="J534" s="29"/>
      <c r="K534" s="29"/>
      <c r="L534" s="60"/>
    </row>
    <row r="535" spans="2:12" s="4" customFormat="1" x14ac:dyDescent="0.4"/>
    <row r="536" spans="2:12" s="4" customFormat="1" ht="16.5" hidden="1" customHeight="1" x14ac:dyDescent="0.4"/>
    <row r="537" spans="2:12" s="4" customFormat="1" ht="16.5" hidden="1" customHeight="1" x14ac:dyDescent="0.4">
      <c r="I537" s="32"/>
    </row>
    <row r="538" spans="2:12" s="4" customFormat="1" ht="16.5" hidden="1" customHeight="1" x14ac:dyDescent="0.4"/>
    <row r="539" spans="2:12" s="4" customFormat="1" ht="16.5" hidden="1" customHeight="1" x14ac:dyDescent="0.4"/>
    <row r="540" spans="2:12" s="4" customFormat="1" ht="16.5" hidden="1" customHeight="1" x14ac:dyDescent="0.4"/>
    <row r="541" spans="2:12" s="4" customFormat="1" ht="16.5" hidden="1" customHeight="1" x14ac:dyDescent="0.4"/>
    <row r="542" spans="2:12" s="4" customFormat="1" ht="16.5" hidden="1" customHeight="1" x14ac:dyDescent="0.4"/>
    <row r="543" spans="2:12" s="4" customFormat="1" ht="16.5" hidden="1" customHeight="1" x14ac:dyDescent="0.4"/>
    <row r="544" spans="2:12" s="4" customFormat="1" ht="16.5" hidden="1" customHeight="1" x14ac:dyDescent="0.4"/>
    <row r="545" spans="2:12" s="4" customFormat="1" ht="16.5" hidden="1" customHeight="1" x14ac:dyDescent="0.4"/>
    <row r="546" spans="2:12" s="4" customFormat="1" ht="16.5" hidden="1" customHeight="1" x14ac:dyDescent="0.4"/>
    <row r="547" spans="2:12" s="4" customFormat="1" ht="16.5" hidden="1" customHeight="1" x14ac:dyDescent="0.4"/>
    <row r="548" spans="2:12" s="4" customFormat="1" ht="16.5" hidden="1" customHeight="1" x14ac:dyDescent="0.4"/>
    <row r="549" spans="2:12" s="4" customFormat="1" ht="31.5" hidden="1" customHeight="1" x14ac:dyDescent="0.4"/>
    <row r="550" spans="2:12" s="4" customFormat="1" ht="24" hidden="1" customHeight="1" x14ac:dyDescent="0.4"/>
    <row r="551" spans="2:12" s="4" customFormat="1" hidden="1" x14ac:dyDescent="0.4"/>
    <row r="552" spans="2:12" s="4" customFormat="1" hidden="1" x14ac:dyDescent="0.4"/>
    <row r="553" spans="2:12" s="4" customFormat="1" hidden="1" x14ac:dyDescent="0.4"/>
    <row r="554" spans="2:12" s="4" customFormat="1" hidden="1" x14ac:dyDescent="0.4"/>
    <row r="555" spans="2:12" s="4" customFormat="1" hidden="1" x14ac:dyDescent="0.4"/>
    <row r="556" spans="2:12" s="4" customFormat="1" hidden="1" x14ac:dyDescent="0.4"/>
    <row r="557" spans="2:12" s="4" customFormat="1" hidden="1" x14ac:dyDescent="0.4"/>
    <row r="558" spans="2:12" s="4" customFormat="1" ht="19.2" x14ac:dyDescent="0.45">
      <c r="B558" s="754" t="str">
        <f>"Transport to Plant"&amp;" - "&amp;Feedstocks!C25</f>
        <v xml:space="preserve">Transport to Plant - </v>
      </c>
      <c r="C558" s="755"/>
      <c r="D558" s="755"/>
      <c r="E558" s="755"/>
      <c r="F558" s="755"/>
      <c r="G558" s="755"/>
      <c r="H558" s="755"/>
      <c r="I558" s="755"/>
      <c r="J558" s="755"/>
      <c r="K558" s="755"/>
      <c r="L558" s="756"/>
    </row>
    <row r="559" spans="2:12" s="4" customFormat="1" outlineLevel="1" x14ac:dyDescent="0.4">
      <c r="B559" s="17"/>
      <c r="C559" s="18"/>
      <c r="D559" s="19"/>
      <c r="E559" s="19"/>
      <c r="F559" s="19"/>
      <c r="G559" s="19"/>
      <c r="H559" s="19"/>
      <c r="I559" s="19"/>
      <c r="J559" s="19"/>
      <c r="K559" s="19"/>
      <c r="L559" s="50"/>
    </row>
    <row r="560" spans="2:12" s="4" customFormat="1" outlineLevel="1" x14ac:dyDescent="0.4">
      <c r="B560" s="20"/>
      <c r="C560" s="174" t="s">
        <v>87</v>
      </c>
      <c r="D560" s="746" t="str">
        <f>IF(Feedstocks!$C$25&gt;0,Feedstocks!$C$25,"")</f>
        <v/>
      </c>
      <c r="E560" s="779"/>
      <c r="F560" s="747"/>
      <c r="G560" s="1"/>
      <c r="H560" s="303" t="s">
        <v>122</v>
      </c>
      <c r="I560" s="47"/>
      <c r="J560" s="47"/>
      <c r="K560" s="61"/>
      <c r="L560" s="35"/>
    </row>
    <row r="561" spans="2:12" s="4" customFormat="1" outlineLevel="1" x14ac:dyDescent="0.4">
      <c r="B561" s="20"/>
      <c r="C561" s="1"/>
      <c r="D561" s="1"/>
      <c r="E561" s="1"/>
      <c r="F561" s="1"/>
      <c r="G561" s="76"/>
      <c r="H561" s="43"/>
      <c r="I561" s="36"/>
      <c r="J561" s="164" t="s">
        <v>124</v>
      </c>
      <c r="K561" s="44"/>
      <c r="L561" s="35"/>
    </row>
    <row r="562" spans="2:12" s="12" customFormat="1" ht="15" outlineLevel="1" x14ac:dyDescent="0.35">
      <c r="B562" s="20"/>
      <c r="C562" s="1"/>
      <c r="D562" s="1"/>
      <c r="E562" s="1"/>
      <c r="F562" s="1"/>
      <c r="G562" s="1"/>
      <c r="H562" s="43"/>
      <c r="I562" s="164" t="s">
        <v>125</v>
      </c>
      <c r="J562" s="52" t="str">
        <f>IFERROR((J565/(('Digestion &amp; outputs'!$G$28/1000)))*'Digestion &amp; outputs'!$K$23,"")</f>
        <v/>
      </c>
      <c r="K562" s="44"/>
      <c r="L562" s="54"/>
    </row>
    <row r="563" spans="2:12" s="4" customFormat="1" outlineLevel="1" x14ac:dyDescent="0.4">
      <c r="B563" s="20"/>
      <c r="C563" s="164" t="s">
        <v>163</v>
      </c>
      <c r="D563" s="134" t="s">
        <v>164</v>
      </c>
      <c r="E563" s="1"/>
      <c r="F563" s="1"/>
      <c r="G563" s="1"/>
      <c r="H563" s="41"/>
      <c r="I563" s="34"/>
      <c r="J563" s="34"/>
      <c r="K563" s="37"/>
      <c r="L563" s="35"/>
    </row>
    <row r="564" spans="2:12" s="4" customFormat="1" outlineLevel="1" x14ac:dyDescent="0.4">
      <c r="B564" s="20"/>
      <c r="C564" s="164" t="s">
        <v>165</v>
      </c>
      <c r="D564" s="143"/>
      <c r="E564" s="1"/>
      <c r="F564" s="1"/>
      <c r="G564" s="1"/>
      <c r="H564" s="41"/>
      <c r="I564" s="36"/>
      <c r="J564" s="164" t="s">
        <v>141</v>
      </c>
      <c r="K564" s="37"/>
      <c r="L564" s="35"/>
    </row>
    <row r="565" spans="2:12" s="4" customFormat="1" outlineLevel="1" x14ac:dyDescent="0.4">
      <c r="B565" s="20"/>
      <c r="C565" s="164" t="s">
        <v>160</v>
      </c>
      <c r="D565" s="134" t="s">
        <v>166</v>
      </c>
      <c r="E565" s="1"/>
      <c r="F565" s="1"/>
      <c r="G565" s="1"/>
      <c r="H565" s="42"/>
      <c r="I565" s="164" t="s">
        <v>167</v>
      </c>
      <c r="J565" s="52">
        <f>IFERROR(J570,"Insert data")</f>
        <v>0</v>
      </c>
      <c r="K565" s="62"/>
      <c r="L565" s="35"/>
    </row>
    <row r="566" spans="2:12" s="4" customFormat="1" outlineLevel="1" x14ac:dyDescent="0.4">
      <c r="B566" s="20"/>
      <c r="C566" s="21"/>
      <c r="D566" s="21"/>
      <c r="E566" s="21"/>
      <c r="F566" s="21"/>
      <c r="G566" s="21"/>
      <c r="H566" s="46"/>
      <c r="I566" s="58"/>
      <c r="J566" s="58"/>
      <c r="K566" s="59"/>
      <c r="L566" s="35"/>
    </row>
    <row r="567" spans="2:12" s="4" customFormat="1" outlineLevel="1" x14ac:dyDescent="0.4">
      <c r="B567" s="20"/>
      <c r="C567" s="25" t="s">
        <v>168</v>
      </c>
      <c r="D567" s="21"/>
      <c r="E567" s="21"/>
      <c r="F567" s="21"/>
      <c r="G567" s="21"/>
      <c r="H567" s="21"/>
      <c r="I567" s="21"/>
      <c r="J567" s="21"/>
      <c r="K567" s="21"/>
      <c r="L567" s="35"/>
    </row>
    <row r="568" spans="2:12" s="14" customFormat="1" ht="30.6" outlineLevel="1" x14ac:dyDescent="0.4">
      <c r="B568" s="23"/>
      <c r="C568" s="166" t="s">
        <v>131</v>
      </c>
      <c r="D568" s="166" t="s">
        <v>169</v>
      </c>
      <c r="E568" s="166" t="s">
        <v>170</v>
      </c>
      <c r="F568" s="166" t="s">
        <v>171</v>
      </c>
      <c r="G568" s="24"/>
      <c r="H568" s="303" t="s">
        <v>136</v>
      </c>
      <c r="I568" s="47"/>
      <c r="J568" s="47"/>
      <c r="K568" s="45"/>
      <c r="L568" s="63"/>
    </row>
    <row r="569" spans="2:12" s="4" customFormat="1" outlineLevel="1" x14ac:dyDescent="0.4">
      <c r="B569" s="20"/>
      <c r="C569" s="138" t="s">
        <v>96</v>
      </c>
      <c r="D569" s="93">
        <v>1</v>
      </c>
      <c r="E569" s="135"/>
      <c r="F569" s="31">
        <f>IFERROR(IF(OR(C569="Default",D563="No transport required"),D569,IF(ISBLANK(E569),"Insert data",E569)),"")</f>
        <v>1</v>
      </c>
      <c r="G569" s="21"/>
      <c r="H569" s="41"/>
      <c r="I569" s="36"/>
      <c r="J569" s="164" t="s">
        <v>141</v>
      </c>
      <c r="K569" s="37"/>
      <c r="L569" s="35"/>
    </row>
    <row r="570" spans="2:12" s="4" customFormat="1" outlineLevel="1" x14ac:dyDescent="0.4">
      <c r="B570" s="20"/>
      <c r="C570" s="21"/>
      <c r="D570" s="21"/>
      <c r="E570" s="692" t="str">
        <f>IF(E569&gt;1, "this should not be greater than 1", "")</f>
        <v/>
      </c>
      <c r="F570" s="21"/>
      <c r="G570" s="21"/>
      <c r="H570" s="42"/>
      <c r="I570" s="164" t="s">
        <v>172</v>
      </c>
      <c r="J570" s="52">
        <f>IF(D563="No transport required",0,IFERROR(E573*INDEX(Fuel_EFs,MATCH(D565,Fuels_for_EF,0))*D564/1000,"Insert data"))</f>
        <v>0</v>
      </c>
      <c r="K570" s="62"/>
      <c r="L570" s="35"/>
    </row>
    <row r="571" spans="2:12" s="4" customFormat="1" outlineLevel="1" x14ac:dyDescent="0.4">
      <c r="B571" s="20"/>
      <c r="C571" s="25" t="s">
        <v>173</v>
      </c>
      <c r="D571" s="21"/>
      <c r="E571" s="21"/>
      <c r="F571" s="21"/>
      <c r="G571" s="21"/>
      <c r="H571" s="46"/>
      <c r="I571" s="58"/>
      <c r="J571" s="58"/>
      <c r="K571" s="59"/>
      <c r="L571" s="35"/>
    </row>
    <row r="572" spans="2:12" s="14" customFormat="1" outlineLevel="1" x14ac:dyDescent="0.4">
      <c r="B572" s="23"/>
      <c r="C572" s="176" t="s">
        <v>174</v>
      </c>
      <c r="D572" s="166" t="s">
        <v>175</v>
      </c>
      <c r="E572" s="166" t="s">
        <v>176</v>
      </c>
      <c r="F572" s="24"/>
      <c r="G572" s="24"/>
      <c r="H572" s="4"/>
      <c r="I572" s="4"/>
      <c r="J572" s="4"/>
      <c r="K572" s="4"/>
      <c r="L572" s="63"/>
    </row>
    <row r="573" spans="2:12" s="4" customFormat="1" outlineLevel="1" x14ac:dyDescent="0.4">
      <c r="B573" s="20"/>
      <c r="C573" s="138" t="s">
        <v>96</v>
      </c>
      <c r="D573" s="93">
        <f>IFERROR(INDEX(Transport_Fuel_Efficiencies,MATCH(D563,Transport_Modes,0)),"Insert data")</f>
        <v>0</v>
      </c>
      <c r="E573" s="31">
        <f>IFERROR(IF(C573="Default",D573,IF(OR(ISBLANK(E575),ISBLANK(D579),ISBLANK(D583)),"Insert data",(IF(C579="litres",(D579*(INDEX(Fuel_Densities,MATCH(D565,Fuels_for_Densities,0))/1000)*INDEX(Fuel_LHV,MATCH(D565,Fuels_for_LHV,0)))/(D583*D564),(IF(C579="m3",(D579*(INDEX(Fuel_Densities,MATCH(D565,Fuels_for_Densities,0)))*INDEX(Fuel_LHV,MATCH(D565,Fuels_for_LHV,0)))/(D583*D564),IF(C579="kg",(D579*INDEX(Fuel_LHV,MATCH(D565,Fuels_for_LHV,0)))/(D583*D564),IF(C579="tonnes",(D579*INDEX(Fuel_LHV,MATCH(D565,Fuels_for_LHV,0))*1000)/(D583*D564),IF(C579="MWh",(D579*'Reference values'!$D$47)/(D583*D564),IF(C579="kWh",(D579*'Reference values'!$D$47/1000)/(D583*D564),"Insert unit")))))))))),"")</f>
        <v>0</v>
      </c>
      <c r="F573" s="21"/>
      <c r="G573" s="21"/>
      <c r="L573" s="35"/>
    </row>
    <row r="574" spans="2:12" s="4" customFormat="1" outlineLevel="1" x14ac:dyDescent="0.4">
      <c r="B574" s="20"/>
      <c r="C574" s="21"/>
      <c r="D574" s="21"/>
      <c r="E574" s="21"/>
      <c r="F574" s="21"/>
      <c r="G574" s="21"/>
      <c r="H574" s="21"/>
      <c r="I574" s="21"/>
      <c r="J574" s="21"/>
      <c r="K574" s="21"/>
      <c r="L574" s="35"/>
    </row>
    <row r="575" spans="2:12" s="4" customFormat="1" ht="16.5" customHeight="1" outlineLevel="1" x14ac:dyDescent="0.4">
      <c r="B575" s="20"/>
      <c r="C575" s="759" t="s">
        <v>177</v>
      </c>
      <c r="D575" s="759"/>
      <c r="E575" s="135" t="s">
        <v>178</v>
      </c>
      <c r="F575" s="21"/>
      <c r="G575" s="21"/>
      <c r="H575" s="21"/>
      <c r="I575" s="21"/>
      <c r="J575" s="21"/>
      <c r="K575" s="21"/>
      <c r="L575" s="35"/>
    </row>
    <row r="576" spans="2:12" s="4" customFormat="1" ht="12.75" customHeight="1" outlineLevel="1" x14ac:dyDescent="0.4">
      <c r="B576" s="20"/>
      <c r="C576" s="21"/>
      <c r="D576" s="21"/>
      <c r="E576" s="21"/>
      <c r="F576" s="21"/>
      <c r="G576" s="21"/>
      <c r="L576" s="35"/>
    </row>
    <row r="577" spans="2:12" s="4" customFormat="1" outlineLevel="1" x14ac:dyDescent="0.4">
      <c r="B577" s="20"/>
      <c r="C577" s="25" t="str">
        <f>IF(E575="yes", "Fuel demand for outward journey",IF(E575="No","Fuel demand for full journey (outward and return)",""))</f>
        <v>Fuel demand for full journey (outward and return)</v>
      </c>
      <c r="D577" s="21"/>
      <c r="E577" s="21"/>
      <c r="F577" s="21"/>
      <c r="G577" s="21"/>
      <c r="H577" s="21"/>
      <c r="I577" s="21"/>
      <c r="J577" s="21"/>
      <c r="K577" s="21"/>
      <c r="L577" s="35"/>
    </row>
    <row r="578" spans="2:12" s="4" customFormat="1" outlineLevel="1" x14ac:dyDescent="0.4">
      <c r="B578" s="20"/>
      <c r="C578" s="164" t="s">
        <v>151</v>
      </c>
      <c r="D578" s="164" t="s">
        <v>140</v>
      </c>
      <c r="E578" s="21"/>
      <c r="F578" s="21"/>
      <c r="G578" s="21"/>
      <c r="H578" s="21"/>
      <c r="I578" s="21"/>
      <c r="J578" s="21"/>
      <c r="K578" s="21"/>
      <c r="L578" s="35"/>
    </row>
    <row r="579" spans="2:12" s="4" customFormat="1" outlineLevel="1" x14ac:dyDescent="0.4">
      <c r="B579" s="20"/>
      <c r="C579" s="138"/>
      <c r="D579" s="135"/>
      <c r="E579" s="21"/>
      <c r="F579" s="21"/>
      <c r="G579" s="21"/>
      <c r="H579" s="21"/>
      <c r="I579" s="21"/>
      <c r="J579" s="21"/>
      <c r="K579" s="21"/>
      <c r="L579" s="35"/>
    </row>
    <row r="580" spans="2:12" s="4" customFormat="1" outlineLevel="1" x14ac:dyDescent="0.4">
      <c r="B580" s="20"/>
      <c r="C580" s="21"/>
      <c r="D580" s="21"/>
      <c r="E580" s="21"/>
      <c r="F580" s="21"/>
      <c r="G580" s="21"/>
      <c r="H580" s="21"/>
      <c r="I580" s="21"/>
      <c r="J580" s="21"/>
      <c r="K580" s="21"/>
      <c r="L580" s="35"/>
    </row>
    <row r="581" spans="2:12" s="4" customFormat="1" outlineLevel="1" x14ac:dyDescent="0.4">
      <c r="B581" s="20"/>
      <c r="C581" s="25" t="s">
        <v>180</v>
      </c>
      <c r="D581" s="21"/>
      <c r="E581" s="21"/>
      <c r="F581" s="21"/>
      <c r="G581" s="21"/>
      <c r="H581" s="21"/>
      <c r="I581" s="21"/>
      <c r="J581" s="21"/>
      <c r="K581" s="21"/>
      <c r="L581" s="35"/>
    </row>
    <row r="582" spans="2:12" s="4" customFormat="1" outlineLevel="1" x14ac:dyDescent="0.4">
      <c r="B582" s="20"/>
      <c r="C582" s="164" t="s">
        <v>151</v>
      </c>
      <c r="D582" s="164" t="s">
        <v>140</v>
      </c>
      <c r="E582" s="21"/>
      <c r="F582" s="21"/>
      <c r="G582" s="21"/>
      <c r="H582" s="21"/>
      <c r="I582" s="21"/>
      <c r="J582" s="21"/>
      <c r="K582" s="21"/>
      <c r="L582" s="35"/>
    </row>
    <row r="583" spans="2:12" s="4" customFormat="1" outlineLevel="1" x14ac:dyDescent="0.4">
      <c r="B583" s="20"/>
      <c r="C583" s="138"/>
      <c r="D583" s="135"/>
      <c r="E583" s="21"/>
      <c r="F583" s="21"/>
      <c r="G583" s="21"/>
      <c r="H583" s="21"/>
      <c r="I583" s="21"/>
      <c r="J583" s="21"/>
      <c r="K583" s="21"/>
      <c r="L583" s="35"/>
    </row>
    <row r="584" spans="2:12" s="4" customFormat="1" ht="12.75" customHeight="1" outlineLevel="1" x14ac:dyDescent="0.4">
      <c r="B584" s="28"/>
      <c r="C584" s="29"/>
      <c r="D584" s="29"/>
      <c r="E584" s="29"/>
      <c r="F584" s="29"/>
      <c r="G584" s="29"/>
      <c r="H584" s="29"/>
      <c r="I584" s="29"/>
      <c r="J584" s="29"/>
      <c r="K584" s="29"/>
      <c r="L584" s="60"/>
    </row>
    <row r="585" spans="2:12" s="4" customFormat="1" x14ac:dyDescent="0.4"/>
    <row r="586" spans="2:12" s="4" customFormat="1" hidden="1" x14ac:dyDescent="0.4"/>
    <row r="587" spans="2:12" s="4" customFormat="1" hidden="1" x14ac:dyDescent="0.4"/>
    <row r="588" spans="2:12" s="4" customFormat="1" hidden="1" x14ac:dyDescent="0.4"/>
    <row r="589" spans="2:12" s="4" customFormat="1" hidden="1" x14ac:dyDescent="0.4"/>
    <row r="590" spans="2:12" s="4" customFormat="1" hidden="1" x14ac:dyDescent="0.4"/>
    <row r="591" spans="2:12" s="4" customFormat="1" hidden="1" x14ac:dyDescent="0.4"/>
    <row r="592" spans="2:12" s="4" customFormat="1" hidden="1" x14ac:dyDescent="0.4"/>
    <row r="593" spans="2:12" s="4" customFormat="1" hidden="1" x14ac:dyDescent="0.4"/>
    <row r="594" spans="2:12" s="4" customFormat="1" hidden="1" x14ac:dyDescent="0.4"/>
    <row r="595" spans="2:12" s="4" customFormat="1" hidden="1" x14ac:dyDescent="0.4"/>
    <row r="596" spans="2:12" s="4" customFormat="1" hidden="1" x14ac:dyDescent="0.4"/>
    <row r="597" spans="2:12" s="4" customFormat="1" hidden="1" x14ac:dyDescent="0.4"/>
    <row r="598" spans="2:12" s="4" customFormat="1" hidden="1" x14ac:dyDescent="0.4"/>
    <row r="599" spans="2:12" s="4" customFormat="1" hidden="1" x14ac:dyDescent="0.4"/>
    <row r="600" spans="2:12" s="4" customFormat="1" hidden="1" x14ac:dyDescent="0.4"/>
    <row r="601" spans="2:12" s="4" customFormat="1" hidden="1" x14ac:dyDescent="0.4"/>
    <row r="602" spans="2:12" s="4" customFormat="1" hidden="1" x14ac:dyDescent="0.4"/>
    <row r="603" spans="2:12" s="4" customFormat="1" hidden="1" x14ac:dyDescent="0.4"/>
    <row r="604" spans="2:12" s="4" customFormat="1" hidden="1" x14ac:dyDescent="0.4"/>
    <row r="605" spans="2:12" s="4" customFormat="1" hidden="1" x14ac:dyDescent="0.4"/>
    <row r="606" spans="2:12" s="4" customFormat="1" hidden="1" x14ac:dyDescent="0.4"/>
    <row r="607" spans="2:12" s="4" customFormat="1" hidden="1" x14ac:dyDescent="0.4"/>
    <row r="608" spans="2:12" s="4" customFormat="1" ht="19.2" x14ac:dyDescent="0.45">
      <c r="B608" s="754" t="str">
        <f>"Transport to Plant"&amp;" - "&amp;Feedstocks!C26</f>
        <v xml:space="preserve">Transport to Plant - </v>
      </c>
      <c r="C608" s="755"/>
      <c r="D608" s="755"/>
      <c r="E608" s="755"/>
      <c r="F608" s="755"/>
      <c r="G608" s="755"/>
      <c r="H608" s="755"/>
      <c r="I608" s="755"/>
      <c r="J608" s="755"/>
      <c r="K608" s="755"/>
      <c r="L608" s="756"/>
    </row>
    <row r="609" spans="2:12" s="4" customFormat="1" outlineLevel="1" x14ac:dyDescent="0.4">
      <c r="B609" s="17"/>
      <c r="C609" s="18"/>
      <c r="D609" s="19"/>
      <c r="E609" s="19"/>
      <c r="F609" s="19"/>
      <c r="G609" s="19"/>
      <c r="H609" s="19"/>
      <c r="I609" s="19"/>
      <c r="J609" s="19"/>
      <c r="K609" s="19"/>
      <c r="L609" s="50"/>
    </row>
    <row r="610" spans="2:12" s="4" customFormat="1" outlineLevel="1" x14ac:dyDescent="0.4">
      <c r="B610" s="20"/>
      <c r="C610" s="174" t="s">
        <v>87</v>
      </c>
      <c r="D610" s="778" t="str">
        <f>IF(Feedstocks!$C$26&gt;0,Feedstocks!$C$26,"")</f>
        <v/>
      </c>
      <c r="E610" s="778"/>
      <c r="F610" s="778"/>
      <c r="G610" s="1"/>
      <c r="H610" s="303" t="s">
        <v>122</v>
      </c>
      <c r="I610" s="47"/>
      <c r="J610" s="47"/>
      <c r="K610" s="61"/>
      <c r="L610" s="35"/>
    </row>
    <row r="611" spans="2:12" s="4" customFormat="1" outlineLevel="1" x14ac:dyDescent="0.4">
      <c r="B611" s="20"/>
      <c r="C611" s="1"/>
      <c r="D611" s="1"/>
      <c r="E611" s="1"/>
      <c r="F611" s="1"/>
      <c r="G611" s="76"/>
      <c r="H611" s="43"/>
      <c r="I611" s="36"/>
      <c r="J611" s="164" t="s">
        <v>124</v>
      </c>
      <c r="K611" s="44"/>
      <c r="L611" s="35"/>
    </row>
    <row r="612" spans="2:12" s="12" customFormat="1" ht="15" outlineLevel="1" x14ac:dyDescent="0.35">
      <c r="B612" s="20"/>
      <c r="C612" s="1"/>
      <c r="D612" s="1"/>
      <c r="E612" s="1"/>
      <c r="F612" s="1"/>
      <c r="G612" s="1"/>
      <c r="H612" s="43"/>
      <c r="I612" s="164" t="s">
        <v>125</v>
      </c>
      <c r="J612" s="52" t="str">
        <f>IFERROR((J615/(('Digestion &amp; outputs'!$G$29/1000)))*'Digestion &amp; outputs'!$K$23,"")</f>
        <v/>
      </c>
      <c r="K612" s="44"/>
      <c r="L612" s="54"/>
    </row>
    <row r="613" spans="2:12" s="4" customFormat="1" outlineLevel="1" x14ac:dyDescent="0.4">
      <c r="B613" s="20"/>
      <c r="C613" s="164" t="s">
        <v>163</v>
      </c>
      <c r="D613" s="134" t="s">
        <v>164</v>
      </c>
      <c r="E613" s="1"/>
      <c r="F613" s="1"/>
      <c r="G613" s="1"/>
      <c r="H613" s="41"/>
      <c r="I613" s="34"/>
      <c r="J613" s="34"/>
      <c r="K613" s="37"/>
      <c r="L613" s="35"/>
    </row>
    <row r="614" spans="2:12" s="4" customFormat="1" outlineLevel="1" x14ac:dyDescent="0.4">
      <c r="B614" s="20"/>
      <c r="C614" s="164" t="s">
        <v>165</v>
      </c>
      <c r="D614" s="143"/>
      <c r="E614" s="1"/>
      <c r="F614" s="1"/>
      <c r="G614" s="1"/>
      <c r="H614" s="41"/>
      <c r="I614" s="36"/>
      <c r="J614" s="164" t="s">
        <v>141</v>
      </c>
      <c r="K614" s="37"/>
      <c r="L614" s="35"/>
    </row>
    <row r="615" spans="2:12" s="4" customFormat="1" outlineLevel="1" x14ac:dyDescent="0.4">
      <c r="B615" s="20"/>
      <c r="C615" s="164" t="s">
        <v>160</v>
      </c>
      <c r="D615" s="134" t="s">
        <v>166</v>
      </c>
      <c r="E615" s="1"/>
      <c r="F615" s="1"/>
      <c r="G615" s="1"/>
      <c r="H615" s="42"/>
      <c r="I615" s="164" t="s">
        <v>167</v>
      </c>
      <c r="J615" s="52">
        <f>IFERROR(J620,"Insert data")</f>
        <v>0</v>
      </c>
      <c r="K615" s="62"/>
      <c r="L615" s="35"/>
    </row>
    <row r="616" spans="2:12" s="4" customFormat="1" outlineLevel="1" x14ac:dyDescent="0.4">
      <c r="B616" s="20"/>
      <c r="C616" s="21"/>
      <c r="D616" s="21"/>
      <c r="E616" s="21"/>
      <c r="F616" s="21"/>
      <c r="G616" s="21"/>
      <c r="H616" s="46"/>
      <c r="I616" s="58"/>
      <c r="J616" s="58"/>
      <c r="K616" s="59"/>
      <c r="L616" s="35"/>
    </row>
    <row r="617" spans="2:12" s="4" customFormat="1" outlineLevel="1" x14ac:dyDescent="0.4">
      <c r="B617" s="20"/>
      <c r="C617" s="25" t="s">
        <v>168</v>
      </c>
      <c r="D617" s="21"/>
      <c r="E617" s="21"/>
      <c r="F617" s="21"/>
      <c r="G617" s="21"/>
      <c r="H617" s="21"/>
      <c r="I617" s="21"/>
      <c r="J617" s="21"/>
      <c r="K617" s="21"/>
      <c r="L617" s="35"/>
    </row>
    <row r="618" spans="2:12" s="14" customFormat="1" ht="30.6" outlineLevel="1" x14ac:dyDescent="0.4">
      <c r="B618" s="23"/>
      <c r="C618" s="166" t="s">
        <v>131</v>
      </c>
      <c r="D618" s="166" t="s">
        <v>169</v>
      </c>
      <c r="E618" s="166" t="s">
        <v>170</v>
      </c>
      <c r="F618" s="166" t="s">
        <v>171</v>
      </c>
      <c r="G618" s="24"/>
      <c r="H618" s="303" t="s">
        <v>136</v>
      </c>
      <c r="I618" s="47"/>
      <c r="J618" s="47"/>
      <c r="K618" s="45"/>
      <c r="L618" s="63"/>
    </row>
    <row r="619" spans="2:12" s="4" customFormat="1" outlineLevel="1" x14ac:dyDescent="0.4">
      <c r="B619" s="20"/>
      <c r="C619" s="138" t="s">
        <v>96</v>
      </c>
      <c r="D619" s="93">
        <v>1</v>
      </c>
      <c r="E619" s="135"/>
      <c r="F619" s="31">
        <f>IFERROR(IF(OR(C619="Default",D613="No transport required"),D619,IF(ISBLANK(E619),"Insert data",E619)),"")</f>
        <v>1</v>
      </c>
      <c r="G619" s="21"/>
      <c r="H619" s="41"/>
      <c r="I619" s="36"/>
      <c r="J619" s="164" t="s">
        <v>141</v>
      </c>
      <c r="K619" s="37"/>
      <c r="L619" s="35"/>
    </row>
    <row r="620" spans="2:12" s="4" customFormat="1" outlineLevel="1" x14ac:dyDescent="0.4">
      <c r="B620" s="20"/>
      <c r="C620" s="21"/>
      <c r="D620" s="21"/>
      <c r="E620" s="692" t="str">
        <f>IF(E619&gt;1, "this should not be greater than 1", "")</f>
        <v/>
      </c>
      <c r="F620" s="21"/>
      <c r="G620" s="21"/>
      <c r="H620" s="42"/>
      <c r="I620" s="164" t="s">
        <v>172</v>
      </c>
      <c r="J620" s="52">
        <f>IF(D613="No transport required",0,IFERROR(E623*INDEX(Fuel_EFs,MATCH(D615,Fuels_for_EF,0))*D614/1000,"Insert data"))</f>
        <v>0</v>
      </c>
      <c r="K620" s="62"/>
      <c r="L620" s="35"/>
    </row>
    <row r="621" spans="2:12" s="4" customFormat="1" outlineLevel="1" x14ac:dyDescent="0.4">
      <c r="B621" s="20"/>
      <c r="C621" s="25" t="s">
        <v>173</v>
      </c>
      <c r="D621" s="21"/>
      <c r="E621" s="21"/>
      <c r="F621" s="21"/>
      <c r="G621" s="21"/>
      <c r="H621" s="46"/>
      <c r="I621" s="58"/>
      <c r="J621" s="58"/>
      <c r="K621" s="59"/>
      <c r="L621" s="35"/>
    </row>
    <row r="622" spans="2:12" s="14" customFormat="1" outlineLevel="1" x14ac:dyDescent="0.4">
      <c r="B622" s="23"/>
      <c r="C622" s="176" t="s">
        <v>174</v>
      </c>
      <c r="D622" s="166" t="s">
        <v>175</v>
      </c>
      <c r="E622" s="166" t="s">
        <v>176</v>
      </c>
      <c r="F622" s="24"/>
      <c r="G622" s="24"/>
      <c r="H622" s="4"/>
      <c r="I622" s="4"/>
      <c r="J622" s="4"/>
      <c r="K622" s="4"/>
      <c r="L622" s="63"/>
    </row>
    <row r="623" spans="2:12" s="4" customFormat="1" outlineLevel="1" x14ac:dyDescent="0.4">
      <c r="B623" s="20"/>
      <c r="C623" s="138" t="s">
        <v>96</v>
      </c>
      <c r="D623" s="93">
        <f>IFERROR(INDEX(Transport_Fuel_Efficiencies,MATCH(D613,Transport_Modes,0)),"Insert data")</f>
        <v>0</v>
      </c>
      <c r="E623" s="31">
        <f>IFERROR(IF(C623="Default",D623,IF(OR(ISBLANK(E625),ISBLANK(D629),ISBLANK(D633)),"Insert data",(IF(C629="litres",(D629*(INDEX(Fuel_Densities,MATCH(D615,Fuels_for_Densities,0))/1000)*INDEX(Fuel_LHV,MATCH(D615,Fuels_for_LHV,0)))/(D633*D614),(IF(C629="m3",(D629*(INDEX(Fuel_Densities,MATCH(D615,Fuels_for_Densities,0)))*INDEX(Fuel_LHV,MATCH(D615,Fuels_for_LHV,0)))/(D633*D614),IF(C629="kg",(D629*INDEX(Fuel_LHV,MATCH(D615,Fuels_for_LHV,0)))/(D633*D614),IF(C629="tonnes",(D629*INDEX(Fuel_LHV,MATCH(D615,Fuels_for_LHV,0))*1000)/(D633*D614),IF(C629="MWh",(D629*'Reference values'!$D$47)/(D633*D614),IF(C629="kWh",(D629*'Reference values'!$D$47/1000)/(D633*D614),"Insert unit")))))))))),"")</f>
        <v>0</v>
      </c>
      <c r="F623" s="21"/>
      <c r="G623" s="21"/>
      <c r="L623" s="35"/>
    </row>
    <row r="624" spans="2:12" s="4" customFormat="1" outlineLevel="1" x14ac:dyDescent="0.4">
      <c r="B624" s="20"/>
      <c r="C624" s="21"/>
      <c r="D624" s="21"/>
      <c r="E624" s="21"/>
      <c r="F624" s="21"/>
      <c r="G624" s="21"/>
      <c r="H624" s="21"/>
      <c r="I624" s="21"/>
      <c r="J624" s="21"/>
      <c r="K624" s="21"/>
      <c r="L624" s="35"/>
    </row>
    <row r="625" spans="2:12" s="4" customFormat="1" ht="16.5" customHeight="1" outlineLevel="1" x14ac:dyDescent="0.4">
      <c r="B625" s="20"/>
      <c r="C625" s="759" t="s">
        <v>177</v>
      </c>
      <c r="D625" s="759"/>
      <c r="E625" s="135" t="s">
        <v>178</v>
      </c>
      <c r="F625" s="21"/>
      <c r="G625" s="21"/>
      <c r="H625" s="21"/>
      <c r="I625" s="21"/>
      <c r="J625" s="21"/>
      <c r="K625" s="21"/>
      <c r="L625" s="35"/>
    </row>
    <row r="626" spans="2:12" s="4" customFormat="1" ht="12.75" customHeight="1" outlineLevel="1" x14ac:dyDescent="0.4">
      <c r="B626" s="20"/>
      <c r="C626" s="21"/>
      <c r="D626" s="21"/>
      <c r="E626" s="21"/>
      <c r="F626" s="21"/>
      <c r="G626" s="21"/>
      <c r="L626" s="35"/>
    </row>
    <row r="627" spans="2:12" s="4" customFormat="1" outlineLevel="1" x14ac:dyDescent="0.4">
      <c r="B627" s="20"/>
      <c r="C627" s="25" t="str">
        <f>IF(E625="yes", "Fuel demand for outward journey",IF(E625="No","Fuel demand for full journey (outward and return)",""))</f>
        <v>Fuel demand for full journey (outward and return)</v>
      </c>
      <c r="D627" s="21"/>
      <c r="E627" s="21"/>
      <c r="F627" s="21"/>
      <c r="G627" s="21"/>
      <c r="H627" s="21"/>
      <c r="I627" s="21"/>
      <c r="J627" s="21"/>
      <c r="K627" s="21"/>
      <c r="L627" s="35"/>
    </row>
    <row r="628" spans="2:12" s="4" customFormat="1" outlineLevel="1" x14ac:dyDescent="0.4">
      <c r="B628" s="20"/>
      <c r="C628" s="164" t="s">
        <v>151</v>
      </c>
      <c r="D628" s="164" t="s">
        <v>140</v>
      </c>
      <c r="E628" s="21"/>
      <c r="F628" s="21"/>
      <c r="G628" s="21"/>
      <c r="H628" s="21"/>
      <c r="I628" s="21"/>
      <c r="J628" s="21"/>
      <c r="K628" s="21"/>
      <c r="L628" s="35"/>
    </row>
    <row r="629" spans="2:12" s="4" customFormat="1" outlineLevel="1" x14ac:dyDescent="0.4">
      <c r="B629" s="20"/>
      <c r="C629" s="138"/>
      <c r="D629" s="135"/>
      <c r="E629" s="21"/>
      <c r="F629" s="21"/>
      <c r="G629" s="21"/>
      <c r="H629" s="21"/>
      <c r="I629" s="21"/>
      <c r="J629" s="21"/>
      <c r="K629" s="21"/>
      <c r="L629" s="35"/>
    </row>
    <row r="630" spans="2:12" s="4" customFormat="1" outlineLevel="1" x14ac:dyDescent="0.4">
      <c r="B630" s="20"/>
      <c r="C630" s="21"/>
      <c r="D630" s="21"/>
      <c r="E630" s="21"/>
      <c r="F630" s="21"/>
      <c r="G630" s="21"/>
      <c r="H630" s="21"/>
      <c r="I630" s="21"/>
      <c r="J630" s="21"/>
      <c r="K630" s="21"/>
      <c r="L630" s="35"/>
    </row>
    <row r="631" spans="2:12" s="4" customFormat="1" outlineLevel="1" x14ac:dyDescent="0.4">
      <c r="B631" s="20"/>
      <c r="C631" s="25" t="s">
        <v>180</v>
      </c>
      <c r="D631" s="21"/>
      <c r="E631" s="21"/>
      <c r="F631" s="21"/>
      <c r="G631" s="21"/>
      <c r="H631" s="21"/>
      <c r="I631" s="21"/>
      <c r="J631" s="21"/>
      <c r="K631" s="21"/>
      <c r="L631" s="35"/>
    </row>
    <row r="632" spans="2:12" s="4" customFormat="1" outlineLevel="1" x14ac:dyDescent="0.4">
      <c r="B632" s="20"/>
      <c r="C632" s="164" t="s">
        <v>151</v>
      </c>
      <c r="D632" s="164" t="s">
        <v>140</v>
      </c>
      <c r="E632" s="21"/>
      <c r="F632" s="21"/>
      <c r="G632" s="21"/>
      <c r="H632" s="21"/>
      <c r="I632" s="21"/>
      <c r="J632" s="21"/>
      <c r="K632" s="21"/>
      <c r="L632" s="35"/>
    </row>
    <row r="633" spans="2:12" s="4" customFormat="1" outlineLevel="1" x14ac:dyDescent="0.4">
      <c r="B633" s="20"/>
      <c r="C633" s="138"/>
      <c r="D633" s="135"/>
      <c r="E633" s="21"/>
      <c r="F633" s="21"/>
      <c r="G633" s="21"/>
      <c r="H633" s="21"/>
      <c r="I633" s="21"/>
      <c r="J633" s="21"/>
      <c r="K633" s="21"/>
      <c r="L633" s="35"/>
    </row>
    <row r="634" spans="2:12" s="4" customFormat="1" ht="12.75" customHeight="1" outlineLevel="1" x14ac:dyDescent="0.4">
      <c r="B634" s="28"/>
      <c r="C634" s="29"/>
      <c r="D634" s="29"/>
      <c r="E634" s="29"/>
      <c r="F634" s="29"/>
      <c r="G634" s="29"/>
      <c r="H634" s="29"/>
      <c r="I634" s="29"/>
      <c r="J634" s="29"/>
      <c r="K634" s="29"/>
      <c r="L634" s="60"/>
    </row>
    <row r="635" spans="2:12" s="4" customFormat="1" x14ac:dyDescent="0.4"/>
    <row r="636" spans="2:12" s="4" customFormat="1" hidden="1" x14ac:dyDescent="0.4"/>
    <row r="637" spans="2:12" s="4" customFormat="1" hidden="1" x14ac:dyDescent="0.4"/>
    <row r="638" spans="2:12" s="4" customFormat="1" hidden="1" x14ac:dyDescent="0.4"/>
    <row r="639" spans="2:12" s="4" customFormat="1" hidden="1" x14ac:dyDescent="0.4"/>
    <row r="640" spans="2:12" s="4" customFormat="1" hidden="1" x14ac:dyDescent="0.4"/>
    <row r="641" s="4" customFormat="1" hidden="1" x14ac:dyDescent="0.4"/>
    <row r="642" s="4" customFormat="1" hidden="1" x14ac:dyDescent="0.4"/>
    <row r="643" s="4" customFormat="1" hidden="1" x14ac:dyDescent="0.4"/>
    <row r="644" s="4" customFormat="1" hidden="1" x14ac:dyDescent="0.4"/>
    <row r="645" s="4" customFormat="1" hidden="1" x14ac:dyDescent="0.4"/>
    <row r="646" s="4" customFormat="1" hidden="1" x14ac:dyDescent="0.4"/>
    <row r="647" s="4" customFormat="1" hidden="1" x14ac:dyDescent="0.4"/>
    <row r="648" s="4" customFormat="1" hidden="1" x14ac:dyDescent="0.4"/>
    <row r="649" s="4" customFormat="1" hidden="1" x14ac:dyDescent="0.4"/>
    <row r="650" s="4" customFormat="1" hidden="1" x14ac:dyDescent="0.4"/>
    <row r="651" s="4" customFormat="1" hidden="1" x14ac:dyDescent="0.4"/>
    <row r="652" s="4" customFormat="1" hidden="1" x14ac:dyDescent="0.4"/>
    <row r="653" s="4" customFormat="1" hidden="1" x14ac:dyDescent="0.4"/>
    <row r="654" s="4" customFormat="1" hidden="1" x14ac:dyDescent="0.4"/>
    <row r="655" s="4" customFormat="1" hidden="1" x14ac:dyDescent="0.4"/>
    <row r="656" s="4" customFormat="1" hidden="1" x14ac:dyDescent="0.4"/>
    <row r="657" spans="2:12" s="4" customFormat="1" hidden="1" x14ac:dyDescent="0.4"/>
    <row r="658" spans="2:12" s="4" customFormat="1" ht="19.2" x14ac:dyDescent="0.45">
      <c r="B658" s="754" t="str">
        <f>"Transport to Plant"&amp;" - "&amp;Feedstocks!C27</f>
        <v xml:space="preserve">Transport to Plant - </v>
      </c>
      <c r="C658" s="755"/>
      <c r="D658" s="755"/>
      <c r="E658" s="755"/>
      <c r="F658" s="755"/>
      <c r="G658" s="755"/>
      <c r="H658" s="755"/>
      <c r="I658" s="755"/>
      <c r="J658" s="755"/>
      <c r="K658" s="755"/>
      <c r="L658" s="756"/>
    </row>
    <row r="659" spans="2:12" s="4" customFormat="1" outlineLevel="1" x14ac:dyDescent="0.4">
      <c r="B659" s="17"/>
      <c r="C659" s="18"/>
      <c r="D659" s="19"/>
      <c r="E659" s="19"/>
      <c r="F659" s="19"/>
      <c r="G659" s="19"/>
      <c r="H659" s="19"/>
      <c r="I659" s="19"/>
      <c r="J659" s="19"/>
      <c r="K659" s="19"/>
      <c r="L659" s="50"/>
    </row>
    <row r="660" spans="2:12" s="4" customFormat="1" outlineLevel="1" x14ac:dyDescent="0.4">
      <c r="B660" s="20"/>
      <c r="C660" s="174" t="s">
        <v>87</v>
      </c>
      <c r="D660" s="778" t="str">
        <f>IF(Feedstocks!$C$27&gt;0,Feedstocks!$C$27,"")</f>
        <v/>
      </c>
      <c r="E660" s="778"/>
      <c r="F660" s="778"/>
      <c r="G660" s="1"/>
      <c r="H660" s="303" t="s">
        <v>122</v>
      </c>
      <c r="I660" s="47"/>
      <c r="J660" s="47"/>
      <c r="K660" s="61"/>
      <c r="L660" s="35"/>
    </row>
    <row r="661" spans="2:12" s="4" customFormat="1" outlineLevel="1" x14ac:dyDescent="0.4">
      <c r="B661" s="20"/>
      <c r="C661" s="1"/>
      <c r="D661" s="1"/>
      <c r="E661" s="1"/>
      <c r="F661" s="1"/>
      <c r="G661" s="76"/>
      <c r="H661" s="43"/>
      <c r="I661" s="36"/>
      <c r="J661" s="164" t="s">
        <v>124</v>
      </c>
      <c r="K661" s="44"/>
      <c r="L661" s="35"/>
    </row>
    <row r="662" spans="2:12" s="12" customFormat="1" ht="15" outlineLevel="1" x14ac:dyDescent="0.35">
      <c r="B662" s="20"/>
      <c r="C662" s="1"/>
      <c r="D662" s="1"/>
      <c r="E662" s="1"/>
      <c r="F662" s="1"/>
      <c r="G662" s="1"/>
      <c r="H662" s="43"/>
      <c r="I662" s="164" t="s">
        <v>125</v>
      </c>
      <c r="J662" s="52" t="str">
        <f>IFERROR((J665/(('Digestion &amp; outputs'!$G$30/1000)))*'Digestion &amp; outputs'!$K$23,"")</f>
        <v/>
      </c>
      <c r="K662" s="44"/>
      <c r="L662" s="54"/>
    </row>
    <row r="663" spans="2:12" s="4" customFormat="1" outlineLevel="1" x14ac:dyDescent="0.4">
      <c r="B663" s="20"/>
      <c r="C663" s="164" t="s">
        <v>163</v>
      </c>
      <c r="D663" s="134" t="s">
        <v>164</v>
      </c>
      <c r="E663" s="1"/>
      <c r="F663" s="1"/>
      <c r="G663" s="1"/>
      <c r="H663" s="41"/>
      <c r="I663" s="34"/>
      <c r="J663" s="34"/>
      <c r="K663" s="37"/>
      <c r="L663" s="35"/>
    </row>
    <row r="664" spans="2:12" s="4" customFormat="1" outlineLevel="1" x14ac:dyDescent="0.4">
      <c r="B664" s="20"/>
      <c r="C664" s="164" t="s">
        <v>165</v>
      </c>
      <c r="D664" s="143"/>
      <c r="E664" s="1"/>
      <c r="F664" s="1"/>
      <c r="G664" s="1"/>
      <c r="H664" s="41"/>
      <c r="I664" s="36"/>
      <c r="J664" s="164" t="s">
        <v>141</v>
      </c>
      <c r="K664" s="37"/>
      <c r="L664" s="35"/>
    </row>
    <row r="665" spans="2:12" s="4" customFormat="1" outlineLevel="1" x14ac:dyDescent="0.4">
      <c r="B665" s="20"/>
      <c r="C665" s="164" t="s">
        <v>160</v>
      </c>
      <c r="D665" s="134" t="s">
        <v>166</v>
      </c>
      <c r="E665" s="1"/>
      <c r="F665" s="1"/>
      <c r="G665" s="1"/>
      <c r="H665" s="42"/>
      <c r="I665" s="164" t="s">
        <v>167</v>
      </c>
      <c r="J665" s="52">
        <f>IFERROR(J670,"Insert data")</f>
        <v>0</v>
      </c>
      <c r="K665" s="62"/>
      <c r="L665" s="35"/>
    </row>
    <row r="666" spans="2:12" s="4" customFormat="1" outlineLevel="1" x14ac:dyDescent="0.4">
      <c r="B666" s="20"/>
      <c r="C666" s="21"/>
      <c r="D666" s="21"/>
      <c r="E666" s="21"/>
      <c r="F666" s="21"/>
      <c r="G666" s="21"/>
      <c r="H666" s="46"/>
      <c r="I666" s="58"/>
      <c r="J666" s="58"/>
      <c r="K666" s="59"/>
      <c r="L666" s="35"/>
    </row>
    <row r="667" spans="2:12" s="4" customFormat="1" outlineLevel="1" x14ac:dyDescent="0.4">
      <c r="B667" s="20"/>
      <c r="C667" s="25" t="s">
        <v>168</v>
      </c>
      <c r="D667" s="21"/>
      <c r="E667" s="21"/>
      <c r="F667" s="21"/>
      <c r="G667" s="21"/>
      <c r="H667" s="21"/>
      <c r="I667" s="21"/>
      <c r="J667" s="21"/>
      <c r="K667" s="21"/>
      <c r="L667" s="35"/>
    </row>
    <row r="668" spans="2:12" s="14" customFormat="1" ht="30.6" outlineLevel="1" x14ac:dyDescent="0.4">
      <c r="B668" s="23"/>
      <c r="C668" s="166" t="s">
        <v>131</v>
      </c>
      <c r="D668" s="166" t="s">
        <v>169</v>
      </c>
      <c r="E668" s="166" t="s">
        <v>170</v>
      </c>
      <c r="F668" s="166" t="s">
        <v>171</v>
      </c>
      <c r="G668" s="24"/>
      <c r="H668" s="303" t="s">
        <v>136</v>
      </c>
      <c r="I668" s="47"/>
      <c r="J668" s="47"/>
      <c r="K668" s="45"/>
      <c r="L668" s="63"/>
    </row>
    <row r="669" spans="2:12" s="4" customFormat="1" outlineLevel="1" x14ac:dyDescent="0.4">
      <c r="B669" s="20"/>
      <c r="C669" s="138" t="s">
        <v>96</v>
      </c>
      <c r="D669" s="93">
        <v>1</v>
      </c>
      <c r="E669" s="135"/>
      <c r="F669" s="31">
        <f>IFERROR(IF(OR(C669="Default",D663="No transport required"),D669,IF(ISBLANK(E669),"Insert data",E669)),"")</f>
        <v>1</v>
      </c>
      <c r="G669" s="21"/>
      <c r="H669" s="41"/>
      <c r="I669" s="36"/>
      <c r="J669" s="164" t="s">
        <v>141</v>
      </c>
      <c r="K669" s="37"/>
      <c r="L669" s="35"/>
    </row>
    <row r="670" spans="2:12" s="4" customFormat="1" outlineLevel="1" x14ac:dyDescent="0.4">
      <c r="B670" s="20"/>
      <c r="C670" s="21"/>
      <c r="D670" s="21"/>
      <c r="E670" s="692" t="str">
        <f>IF(E669&gt;1, "this should not be greater than 1", "")</f>
        <v/>
      </c>
      <c r="F670" s="21"/>
      <c r="G670" s="21"/>
      <c r="H670" s="42"/>
      <c r="I670" s="164" t="s">
        <v>172</v>
      </c>
      <c r="J670" s="52">
        <f>IF(D663="No transport required",0,IFERROR(E673*INDEX(Fuel_EFs,MATCH(D665,Fuels_for_EF,0))*D664/1000,"Insert data"))</f>
        <v>0</v>
      </c>
      <c r="K670" s="62"/>
      <c r="L670" s="35"/>
    </row>
    <row r="671" spans="2:12" s="4" customFormat="1" outlineLevel="1" x14ac:dyDescent="0.4">
      <c r="B671" s="20"/>
      <c r="C671" s="25" t="s">
        <v>173</v>
      </c>
      <c r="D671" s="21"/>
      <c r="E671" s="21"/>
      <c r="F671" s="21"/>
      <c r="G671" s="21"/>
      <c r="H671" s="46"/>
      <c r="I671" s="58"/>
      <c r="J671" s="58"/>
      <c r="K671" s="59"/>
      <c r="L671" s="35"/>
    </row>
    <row r="672" spans="2:12" s="14" customFormat="1" outlineLevel="1" x14ac:dyDescent="0.4">
      <c r="B672" s="23"/>
      <c r="C672" s="176" t="s">
        <v>174</v>
      </c>
      <c r="D672" s="166" t="s">
        <v>175</v>
      </c>
      <c r="E672" s="166" t="s">
        <v>176</v>
      </c>
      <c r="F672" s="24"/>
      <c r="G672" s="24"/>
      <c r="H672" s="4"/>
      <c r="I672" s="4"/>
      <c r="J672" s="4"/>
      <c r="K672" s="4"/>
      <c r="L672" s="63"/>
    </row>
    <row r="673" spans="2:12" s="4" customFormat="1" outlineLevel="1" x14ac:dyDescent="0.4">
      <c r="B673" s="20"/>
      <c r="C673" s="138" t="s">
        <v>96</v>
      </c>
      <c r="D673" s="93">
        <f>IFERROR(INDEX(Transport_Fuel_Efficiencies,MATCH(D663,Transport_Modes,0)),"Insert data")</f>
        <v>0</v>
      </c>
      <c r="E673" s="31">
        <f>IFERROR(IF(C673="Default",D673,IF(OR(ISBLANK(E675),ISBLANK(D679),ISBLANK(D683)),"Insert data",(IF(C679="litres",(D679*(INDEX(Fuel_Densities,MATCH(D665,Fuels_for_Densities,0))/1000)*INDEX(Fuel_LHV,MATCH(D665,Fuels_for_LHV,0)))/(D683*D664),(IF(C679="m3",(D679*(INDEX(Fuel_Densities,MATCH(D665,Fuels_for_Densities,0)))*INDEX(Fuel_LHV,MATCH(D665,Fuels_for_LHV,0)))/(D683*D664),IF(C679="kg",(D679*INDEX(Fuel_LHV,MATCH(D665,Fuels_for_LHV,0)))/(D683*D664),IF(C679="tonnes",(D679*INDEX(Fuel_LHV,MATCH(D665,Fuels_for_LHV,0))*1000)/(D683*D664),IF(C679="MWh",(D679*'Reference values'!$D$47)/(D683*D664),IF(C679="kWh",(D679*'Reference values'!$D$47/1000)/(D683*D664),"Insert unit")))))))))),"")</f>
        <v>0</v>
      </c>
      <c r="F673" s="21"/>
      <c r="G673" s="21"/>
      <c r="L673" s="35"/>
    </row>
    <row r="674" spans="2:12" s="4" customFormat="1" outlineLevel="1" x14ac:dyDescent="0.4">
      <c r="B674" s="20"/>
      <c r="C674" s="21"/>
      <c r="D674" s="21"/>
      <c r="E674" s="21"/>
      <c r="F674" s="21"/>
      <c r="G674" s="21"/>
      <c r="H674" s="21"/>
      <c r="I674" s="21"/>
      <c r="J674" s="21"/>
      <c r="K674" s="21"/>
      <c r="L674" s="35"/>
    </row>
    <row r="675" spans="2:12" s="4" customFormat="1" ht="16.5" customHeight="1" outlineLevel="1" x14ac:dyDescent="0.4">
      <c r="B675" s="20"/>
      <c r="C675" s="759" t="s">
        <v>177</v>
      </c>
      <c r="D675" s="759"/>
      <c r="E675" s="135" t="s">
        <v>178</v>
      </c>
      <c r="F675" s="21"/>
      <c r="G675" s="21"/>
      <c r="L675" s="35"/>
    </row>
    <row r="676" spans="2:12" s="4" customFormat="1" ht="12.75" customHeight="1" outlineLevel="1" x14ac:dyDescent="0.4">
      <c r="B676" s="20"/>
      <c r="C676" s="21"/>
      <c r="D676" s="21"/>
      <c r="E676" s="21"/>
      <c r="F676" s="21"/>
      <c r="G676" s="21"/>
      <c r="L676" s="35"/>
    </row>
    <row r="677" spans="2:12" s="4" customFormat="1" outlineLevel="1" x14ac:dyDescent="0.4">
      <c r="B677" s="20"/>
      <c r="C677" s="25" t="str">
        <f>IF(E675="yes", "Fuel demand for outward journey",IF(E675="No","Fuel demand for full journey (outward and return)",""))</f>
        <v>Fuel demand for full journey (outward and return)</v>
      </c>
      <c r="D677" s="21"/>
      <c r="E677" s="21"/>
      <c r="F677" s="21"/>
      <c r="G677" s="21"/>
      <c r="H677" s="21"/>
      <c r="I677" s="21"/>
      <c r="J677" s="21"/>
      <c r="K677" s="21"/>
      <c r="L677" s="35"/>
    </row>
    <row r="678" spans="2:12" s="4" customFormat="1" outlineLevel="1" x14ac:dyDescent="0.4">
      <c r="B678" s="20"/>
      <c r="C678" s="164" t="s">
        <v>151</v>
      </c>
      <c r="D678" s="164" t="s">
        <v>140</v>
      </c>
      <c r="E678" s="21"/>
      <c r="F678" s="21"/>
      <c r="G678" s="21"/>
      <c r="H678" s="21"/>
      <c r="I678" s="21"/>
      <c r="J678" s="21"/>
      <c r="K678" s="21"/>
      <c r="L678" s="35"/>
    </row>
    <row r="679" spans="2:12" s="4" customFormat="1" outlineLevel="1" x14ac:dyDescent="0.4">
      <c r="B679" s="20"/>
      <c r="C679" s="138"/>
      <c r="D679" s="135"/>
      <c r="E679" s="21"/>
      <c r="F679" s="21"/>
      <c r="G679" s="21"/>
      <c r="H679" s="21"/>
      <c r="I679" s="21"/>
      <c r="J679" s="21"/>
      <c r="K679" s="21"/>
      <c r="L679" s="35"/>
    </row>
    <row r="680" spans="2:12" s="4" customFormat="1" outlineLevel="1" x14ac:dyDescent="0.4">
      <c r="B680" s="20"/>
      <c r="C680" s="21"/>
      <c r="D680" s="21"/>
      <c r="E680" s="21"/>
      <c r="F680" s="21"/>
      <c r="G680" s="21"/>
      <c r="H680" s="21"/>
      <c r="I680" s="21"/>
      <c r="J680" s="21"/>
      <c r="K680" s="21"/>
      <c r="L680" s="35"/>
    </row>
    <row r="681" spans="2:12" s="4" customFormat="1" outlineLevel="1" x14ac:dyDescent="0.4">
      <c r="B681" s="20"/>
      <c r="C681" s="25" t="s">
        <v>180</v>
      </c>
      <c r="D681" s="21"/>
      <c r="E681" s="21"/>
      <c r="F681" s="21"/>
      <c r="G681" s="21"/>
      <c r="H681" s="21"/>
      <c r="I681" s="21"/>
      <c r="J681" s="21"/>
      <c r="K681" s="21"/>
      <c r="L681" s="35"/>
    </row>
    <row r="682" spans="2:12" s="4" customFormat="1" outlineLevel="1" x14ac:dyDescent="0.4">
      <c r="B682" s="20"/>
      <c r="C682" s="164" t="s">
        <v>151</v>
      </c>
      <c r="D682" s="164" t="s">
        <v>140</v>
      </c>
      <c r="E682" s="21"/>
      <c r="F682" s="21"/>
      <c r="G682" s="21"/>
      <c r="H682" s="21"/>
      <c r="I682" s="21"/>
      <c r="J682" s="21"/>
      <c r="K682" s="21"/>
      <c r="L682" s="35"/>
    </row>
    <row r="683" spans="2:12" s="4" customFormat="1" outlineLevel="1" x14ac:dyDescent="0.4">
      <c r="B683" s="20"/>
      <c r="C683" s="138"/>
      <c r="D683" s="135"/>
      <c r="E683" s="21"/>
      <c r="F683" s="21"/>
      <c r="G683" s="21"/>
      <c r="H683" s="21"/>
      <c r="I683" s="21"/>
      <c r="J683" s="21"/>
      <c r="K683" s="21"/>
      <c r="L683" s="35"/>
    </row>
    <row r="684" spans="2:12" s="4" customFormat="1" ht="12.75" customHeight="1" outlineLevel="1" x14ac:dyDescent="0.4">
      <c r="B684" s="28"/>
      <c r="C684" s="29"/>
      <c r="D684" s="29"/>
      <c r="E684" s="29"/>
      <c r="F684" s="29"/>
      <c r="G684" s="29"/>
      <c r="H684" s="29"/>
      <c r="I684" s="29"/>
      <c r="J684" s="29"/>
      <c r="K684" s="29"/>
      <c r="L684" s="60"/>
    </row>
    <row r="685" spans="2:12" s="4" customFormat="1" x14ac:dyDescent="0.4"/>
    <row r="686" spans="2:12" s="4" customFormat="1" hidden="1" x14ac:dyDescent="0.4"/>
    <row r="687" spans="2:12" s="4" customFormat="1" hidden="1" x14ac:dyDescent="0.4"/>
    <row r="688" spans="2:12" s="4" customFormat="1" hidden="1" x14ac:dyDescent="0.4"/>
    <row r="689" s="4" customFormat="1" hidden="1" x14ac:dyDescent="0.4"/>
    <row r="690" s="4" customFormat="1" hidden="1" x14ac:dyDescent="0.4"/>
    <row r="691" s="4" customFormat="1" hidden="1" x14ac:dyDescent="0.4"/>
    <row r="692" s="4" customFormat="1" hidden="1" x14ac:dyDescent="0.4"/>
    <row r="693" s="4" customFormat="1" hidden="1" x14ac:dyDescent="0.4"/>
    <row r="694" s="4" customFormat="1" hidden="1" x14ac:dyDescent="0.4"/>
    <row r="695" s="4" customFormat="1" hidden="1" x14ac:dyDescent="0.4"/>
    <row r="696" s="4" customFormat="1" hidden="1" x14ac:dyDescent="0.4"/>
    <row r="697" s="4" customFormat="1" hidden="1" x14ac:dyDescent="0.4"/>
    <row r="698" s="4" customFormat="1" hidden="1" x14ac:dyDescent="0.4"/>
    <row r="699" s="4" customFormat="1" hidden="1" x14ac:dyDescent="0.4"/>
    <row r="700" s="4" customFormat="1" hidden="1" x14ac:dyDescent="0.4"/>
    <row r="701" s="4" customFormat="1" hidden="1" x14ac:dyDescent="0.4"/>
    <row r="702" s="4" customFormat="1" hidden="1" x14ac:dyDescent="0.4"/>
    <row r="703" s="4" customFormat="1" hidden="1" x14ac:dyDescent="0.4"/>
    <row r="704" s="4" customFormat="1" hidden="1" x14ac:dyDescent="0.4"/>
    <row r="705" spans="2:12" s="4" customFormat="1" hidden="1" x14ac:dyDescent="0.4"/>
    <row r="706" spans="2:12" s="4" customFormat="1" hidden="1" x14ac:dyDescent="0.4"/>
    <row r="707" spans="2:12" s="4" customFormat="1" hidden="1" x14ac:dyDescent="0.4"/>
    <row r="708" spans="2:12" s="4" customFormat="1" ht="19.2" x14ac:dyDescent="0.45">
      <c r="B708" s="754" t="str">
        <f>"Transport to Plant"&amp;" - "&amp;Feedstocks!C28</f>
        <v xml:space="preserve">Transport to Plant - </v>
      </c>
      <c r="C708" s="755"/>
      <c r="D708" s="755"/>
      <c r="E708" s="755"/>
      <c r="F708" s="755"/>
      <c r="G708" s="755"/>
      <c r="H708" s="755"/>
      <c r="I708" s="755"/>
      <c r="J708" s="755"/>
      <c r="K708" s="755"/>
      <c r="L708" s="756"/>
    </row>
    <row r="709" spans="2:12" s="4" customFormat="1" outlineLevel="1" x14ac:dyDescent="0.4">
      <c r="B709" s="17"/>
      <c r="C709" s="18"/>
      <c r="D709" s="19"/>
      <c r="E709" s="19"/>
      <c r="F709" s="19"/>
      <c r="G709" s="19"/>
      <c r="H709" s="19"/>
      <c r="I709" s="19"/>
      <c r="J709" s="19"/>
      <c r="K709" s="19"/>
      <c r="L709" s="50"/>
    </row>
    <row r="710" spans="2:12" s="4" customFormat="1" outlineLevel="1" x14ac:dyDescent="0.4">
      <c r="B710" s="20"/>
      <c r="C710" s="174" t="s">
        <v>87</v>
      </c>
      <c r="D710" s="778" t="str">
        <f>IF(Feedstocks!$C$28&gt;0,Feedstocks!$C$28,"")</f>
        <v/>
      </c>
      <c r="E710" s="778"/>
      <c r="F710" s="778"/>
      <c r="G710" s="1"/>
      <c r="H710" s="303" t="s">
        <v>122</v>
      </c>
      <c r="I710" s="47"/>
      <c r="J710" s="47"/>
      <c r="K710" s="61"/>
      <c r="L710" s="35"/>
    </row>
    <row r="711" spans="2:12" s="4" customFormat="1" outlineLevel="1" x14ac:dyDescent="0.4">
      <c r="B711" s="20"/>
      <c r="C711" s="1"/>
      <c r="D711" s="1"/>
      <c r="E711" s="1"/>
      <c r="F711" s="1"/>
      <c r="G711" s="76"/>
      <c r="H711" s="43"/>
      <c r="I711" s="36"/>
      <c r="J711" s="164" t="s">
        <v>124</v>
      </c>
      <c r="K711" s="44"/>
      <c r="L711" s="35"/>
    </row>
    <row r="712" spans="2:12" s="12" customFormat="1" ht="15" outlineLevel="1" x14ac:dyDescent="0.35">
      <c r="B712" s="20"/>
      <c r="C712" s="1"/>
      <c r="D712" s="1"/>
      <c r="E712" s="1"/>
      <c r="F712" s="1"/>
      <c r="G712" s="1"/>
      <c r="H712" s="43"/>
      <c r="I712" s="164" t="s">
        <v>125</v>
      </c>
      <c r="J712" s="52" t="str">
        <f>IFERROR((J715/(('Digestion &amp; outputs'!$G$31/1000)))*'Digestion &amp; outputs'!$K$23,"")</f>
        <v/>
      </c>
      <c r="K712" s="44"/>
      <c r="L712" s="54"/>
    </row>
    <row r="713" spans="2:12" s="4" customFormat="1" outlineLevel="1" x14ac:dyDescent="0.4">
      <c r="B713" s="20"/>
      <c r="C713" s="164" t="s">
        <v>163</v>
      </c>
      <c r="D713" s="134" t="s">
        <v>164</v>
      </c>
      <c r="E713" s="1"/>
      <c r="F713" s="1"/>
      <c r="G713" s="1"/>
      <c r="H713" s="41"/>
      <c r="I713" s="34"/>
      <c r="J713" s="34"/>
      <c r="K713" s="37"/>
      <c r="L713" s="35"/>
    </row>
    <row r="714" spans="2:12" s="4" customFormat="1" outlineLevel="1" x14ac:dyDescent="0.4">
      <c r="B714" s="20"/>
      <c r="C714" s="164" t="s">
        <v>165</v>
      </c>
      <c r="D714" s="143"/>
      <c r="E714" s="1"/>
      <c r="F714" s="1"/>
      <c r="G714" s="1"/>
      <c r="H714" s="41"/>
      <c r="I714" s="36"/>
      <c r="J714" s="164" t="s">
        <v>141</v>
      </c>
      <c r="K714" s="37"/>
      <c r="L714" s="35"/>
    </row>
    <row r="715" spans="2:12" s="4" customFormat="1" outlineLevel="1" x14ac:dyDescent="0.4">
      <c r="B715" s="20"/>
      <c r="C715" s="164" t="s">
        <v>160</v>
      </c>
      <c r="D715" s="134" t="s">
        <v>166</v>
      </c>
      <c r="E715" s="1"/>
      <c r="F715" s="1"/>
      <c r="G715" s="1"/>
      <c r="H715" s="42"/>
      <c r="I715" s="164" t="s">
        <v>167</v>
      </c>
      <c r="J715" s="52">
        <f>IFERROR(J720,"Insert data")</f>
        <v>0</v>
      </c>
      <c r="K715" s="62"/>
      <c r="L715" s="35"/>
    </row>
    <row r="716" spans="2:12" s="4" customFormat="1" outlineLevel="1" x14ac:dyDescent="0.4">
      <c r="B716" s="20"/>
      <c r="C716" s="21"/>
      <c r="D716" s="21"/>
      <c r="E716" s="21"/>
      <c r="F716" s="21"/>
      <c r="G716" s="21"/>
      <c r="H716" s="46"/>
      <c r="I716" s="58"/>
      <c r="J716" s="58"/>
      <c r="K716" s="59"/>
      <c r="L716" s="35"/>
    </row>
    <row r="717" spans="2:12" s="4" customFormat="1" outlineLevel="1" x14ac:dyDescent="0.4">
      <c r="B717" s="20"/>
      <c r="C717" s="25" t="s">
        <v>168</v>
      </c>
      <c r="D717" s="21"/>
      <c r="E717" s="21"/>
      <c r="F717" s="21"/>
      <c r="G717" s="21"/>
      <c r="H717" s="21"/>
      <c r="I717" s="21"/>
      <c r="J717" s="21"/>
      <c r="K717" s="21"/>
      <c r="L717" s="35"/>
    </row>
    <row r="718" spans="2:12" s="14" customFormat="1" ht="30.6" outlineLevel="1" x14ac:dyDescent="0.4">
      <c r="B718" s="23"/>
      <c r="C718" s="166" t="s">
        <v>131</v>
      </c>
      <c r="D718" s="166" t="s">
        <v>169</v>
      </c>
      <c r="E718" s="166" t="s">
        <v>170</v>
      </c>
      <c r="F718" s="166" t="s">
        <v>171</v>
      </c>
      <c r="G718" s="24"/>
      <c r="H718" s="303" t="s">
        <v>136</v>
      </c>
      <c r="I718" s="47"/>
      <c r="J718" s="47"/>
      <c r="K718" s="45"/>
      <c r="L718" s="63"/>
    </row>
    <row r="719" spans="2:12" s="4" customFormat="1" outlineLevel="1" x14ac:dyDescent="0.4">
      <c r="B719" s="20"/>
      <c r="C719" s="138" t="s">
        <v>96</v>
      </c>
      <c r="D719" s="93">
        <v>1</v>
      </c>
      <c r="E719" s="135"/>
      <c r="F719" s="31">
        <f>IFERROR(IF(OR(C719="Default",D713="No transport required"),D719,IF(ISBLANK(E719),"Insert data",E719)),"")</f>
        <v>1</v>
      </c>
      <c r="G719" s="21"/>
      <c r="H719" s="41"/>
      <c r="I719" s="36"/>
      <c r="J719" s="164" t="s">
        <v>141</v>
      </c>
      <c r="K719" s="37"/>
      <c r="L719" s="35"/>
    </row>
    <row r="720" spans="2:12" s="4" customFormat="1" outlineLevel="1" x14ac:dyDescent="0.4">
      <c r="B720" s="20"/>
      <c r="C720" s="21"/>
      <c r="D720" s="21"/>
      <c r="E720" s="692" t="str">
        <f>IF(E719&gt;1, "this should not be greater than 1", "")</f>
        <v/>
      </c>
      <c r="F720" s="21"/>
      <c r="G720" s="21"/>
      <c r="H720" s="42"/>
      <c r="I720" s="164" t="s">
        <v>172</v>
      </c>
      <c r="J720" s="52">
        <f>IF(D713="No transport required",0,IFERROR(E723*INDEX(Fuel_EFs,MATCH(D715,Fuels_for_EF,0))*D714/1000,"Insert data"))</f>
        <v>0</v>
      </c>
      <c r="K720" s="62"/>
      <c r="L720" s="35"/>
    </row>
    <row r="721" spans="2:12" s="4" customFormat="1" outlineLevel="1" x14ac:dyDescent="0.4">
      <c r="B721" s="20"/>
      <c r="C721" s="25" t="s">
        <v>173</v>
      </c>
      <c r="D721" s="21"/>
      <c r="E721" s="21"/>
      <c r="F721" s="21"/>
      <c r="G721" s="21"/>
      <c r="H721" s="46"/>
      <c r="I721" s="58"/>
      <c r="J721" s="58"/>
      <c r="K721" s="59"/>
      <c r="L721" s="35"/>
    </row>
    <row r="722" spans="2:12" s="14" customFormat="1" outlineLevel="1" x14ac:dyDescent="0.4">
      <c r="B722" s="23"/>
      <c r="C722" s="176" t="s">
        <v>174</v>
      </c>
      <c r="D722" s="166" t="s">
        <v>175</v>
      </c>
      <c r="E722" s="166" t="s">
        <v>176</v>
      </c>
      <c r="F722" s="24"/>
      <c r="G722" s="24"/>
      <c r="H722" s="4"/>
      <c r="I722" s="4"/>
      <c r="J722" s="4"/>
      <c r="K722" s="4"/>
      <c r="L722" s="63"/>
    </row>
    <row r="723" spans="2:12" s="4" customFormat="1" outlineLevel="1" x14ac:dyDescent="0.4">
      <c r="B723" s="20"/>
      <c r="C723" s="138" t="s">
        <v>96</v>
      </c>
      <c r="D723" s="93">
        <f>IFERROR(INDEX(Transport_Fuel_Efficiencies,MATCH(D713,Transport_Modes,0)),"Insert data")</f>
        <v>0</v>
      </c>
      <c r="E723" s="31">
        <f>IFERROR(IF(C723="Default",D723,IF(OR(ISBLANK(E725),ISBLANK(D729),ISBLANK(D733)),"Insert data",(IF(C729="litres",(D729*(INDEX(Fuel_Densities,MATCH(D715,Fuels_for_Densities,0))/1000)*INDEX(Fuel_LHV,MATCH(D715,Fuels_for_LHV,0)))/(D733*D714),(IF(C729="m3",(D729*(INDEX(Fuel_Densities,MATCH(D715,Fuels_for_Densities,0)))*INDEX(Fuel_LHV,MATCH(D715,Fuels_for_LHV,0)))/(D733*D714),IF(C729="kg",(D729*INDEX(Fuel_LHV,MATCH(D715,Fuels_for_LHV,0)))/(D733*D714),IF(C729="tonnes",(D729*INDEX(Fuel_LHV,MATCH(D715,Fuels_for_LHV,0))*1000)/(D733*D714),IF(C729="MWh",(D729*'Reference values'!$D$47)/(D733*D714),IF(C729="kWh",(D729*'Reference values'!$D$47/1000)/(D733*D714),"Insert unit")))))))))),"")</f>
        <v>0</v>
      </c>
      <c r="F723" s="21"/>
      <c r="G723" s="21"/>
      <c r="L723" s="35"/>
    </row>
    <row r="724" spans="2:12" s="4" customFormat="1" outlineLevel="1" x14ac:dyDescent="0.4">
      <c r="B724" s="20"/>
      <c r="C724" s="21"/>
      <c r="D724" s="21"/>
      <c r="E724" s="21"/>
      <c r="F724" s="21"/>
      <c r="G724" s="21"/>
      <c r="H724" s="21"/>
      <c r="I724" s="21"/>
      <c r="J724" s="21"/>
      <c r="K724" s="21"/>
      <c r="L724" s="35"/>
    </row>
    <row r="725" spans="2:12" s="4" customFormat="1" ht="16.5" customHeight="1" outlineLevel="1" x14ac:dyDescent="0.4">
      <c r="B725" s="20"/>
      <c r="C725" s="759" t="s">
        <v>177</v>
      </c>
      <c r="D725" s="759"/>
      <c r="E725" s="135" t="s">
        <v>178</v>
      </c>
      <c r="F725" s="21"/>
      <c r="G725" s="21"/>
      <c r="H725" s="21"/>
      <c r="I725" s="21"/>
      <c r="J725" s="21"/>
      <c r="K725" s="21"/>
      <c r="L725" s="35"/>
    </row>
    <row r="726" spans="2:12" s="4" customFormat="1" ht="12.75" customHeight="1" outlineLevel="1" x14ac:dyDescent="0.4">
      <c r="B726" s="20"/>
      <c r="C726" s="21"/>
      <c r="D726" s="21"/>
      <c r="E726" s="21"/>
      <c r="F726" s="21"/>
      <c r="G726" s="21"/>
      <c r="L726" s="35"/>
    </row>
    <row r="727" spans="2:12" s="4" customFormat="1" outlineLevel="1" x14ac:dyDescent="0.4">
      <c r="B727" s="20"/>
      <c r="C727" s="25" t="str">
        <f>IF(E725="yes", "Fuel demand for outward journey",IF(E725="No","Fuel demand for full journey (outward and return)",""))</f>
        <v>Fuel demand for full journey (outward and return)</v>
      </c>
      <c r="D727" s="21"/>
      <c r="E727" s="21"/>
      <c r="F727" s="21"/>
      <c r="G727" s="21"/>
      <c r="H727" s="21"/>
      <c r="I727" s="21"/>
      <c r="J727" s="21"/>
      <c r="K727" s="21"/>
      <c r="L727" s="35"/>
    </row>
    <row r="728" spans="2:12" s="4" customFormat="1" outlineLevel="1" x14ac:dyDescent="0.4">
      <c r="B728" s="20"/>
      <c r="C728" s="164" t="s">
        <v>151</v>
      </c>
      <c r="D728" s="164" t="s">
        <v>140</v>
      </c>
      <c r="E728" s="21"/>
      <c r="F728" s="21"/>
      <c r="G728" s="21"/>
      <c r="H728" s="21"/>
      <c r="I728" s="21"/>
      <c r="J728" s="21"/>
      <c r="K728" s="21"/>
      <c r="L728" s="35"/>
    </row>
    <row r="729" spans="2:12" s="4" customFormat="1" outlineLevel="1" x14ac:dyDescent="0.4">
      <c r="B729" s="20"/>
      <c r="C729" s="138"/>
      <c r="D729" s="135"/>
      <c r="E729" s="21"/>
      <c r="F729" s="21"/>
      <c r="G729" s="21"/>
      <c r="H729" s="21"/>
      <c r="I729" s="21"/>
      <c r="J729" s="21"/>
      <c r="K729" s="21"/>
      <c r="L729" s="35"/>
    </row>
    <row r="730" spans="2:12" s="4" customFormat="1" outlineLevel="1" x14ac:dyDescent="0.4">
      <c r="B730" s="20"/>
      <c r="C730" s="21"/>
      <c r="D730" s="21"/>
      <c r="E730" s="21"/>
      <c r="F730" s="21"/>
      <c r="G730" s="21"/>
      <c r="H730" s="21"/>
      <c r="I730" s="21"/>
      <c r="J730" s="21"/>
      <c r="K730" s="21"/>
      <c r="L730" s="35"/>
    </row>
    <row r="731" spans="2:12" s="4" customFormat="1" outlineLevel="1" x14ac:dyDescent="0.4">
      <c r="B731" s="20"/>
      <c r="C731" s="25" t="s">
        <v>180</v>
      </c>
      <c r="D731" s="21"/>
      <c r="E731" s="21"/>
      <c r="F731" s="21"/>
      <c r="G731" s="21"/>
      <c r="H731" s="21"/>
      <c r="I731" s="21"/>
      <c r="J731" s="21"/>
      <c r="K731" s="21"/>
      <c r="L731" s="35"/>
    </row>
    <row r="732" spans="2:12" s="4" customFormat="1" outlineLevel="1" x14ac:dyDescent="0.4">
      <c r="B732" s="20"/>
      <c r="C732" s="164" t="s">
        <v>151</v>
      </c>
      <c r="D732" s="164" t="s">
        <v>140</v>
      </c>
      <c r="E732" s="21"/>
      <c r="F732" s="21"/>
      <c r="G732" s="21"/>
      <c r="H732" s="21"/>
      <c r="I732" s="21"/>
      <c r="J732" s="21"/>
      <c r="K732" s="21"/>
      <c r="L732" s="35"/>
    </row>
    <row r="733" spans="2:12" s="4" customFormat="1" outlineLevel="1" x14ac:dyDescent="0.4">
      <c r="B733" s="20"/>
      <c r="C733" s="138"/>
      <c r="D733" s="135"/>
      <c r="E733" s="21"/>
      <c r="F733" s="21"/>
      <c r="G733" s="21"/>
      <c r="H733" s="21"/>
      <c r="I733" s="21"/>
      <c r="J733" s="21"/>
      <c r="K733" s="21"/>
      <c r="L733" s="35"/>
    </row>
    <row r="734" spans="2:12" s="4" customFormat="1" ht="12.75" customHeight="1" outlineLevel="1" x14ac:dyDescent="0.4">
      <c r="B734" s="28"/>
      <c r="C734" s="29"/>
      <c r="D734" s="29"/>
      <c r="E734" s="29"/>
      <c r="F734" s="29"/>
      <c r="G734" s="29"/>
      <c r="H734" s="29"/>
      <c r="I734" s="29"/>
      <c r="J734" s="29"/>
      <c r="K734" s="29"/>
      <c r="L734" s="60"/>
    </row>
    <row r="735" spans="2:12" s="4" customFormat="1" x14ac:dyDescent="0.4"/>
    <row r="736" spans="2:12" s="4" customFormat="1" hidden="1" x14ac:dyDescent="0.4"/>
    <row r="737" s="4" customFormat="1" hidden="1" x14ac:dyDescent="0.4"/>
    <row r="738" s="4" customFormat="1" hidden="1" x14ac:dyDescent="0.4"/>
    <row r="739" s="4" customFormat="1" hidden="1" x14ac:dyDescent="0.4"/>
    <row r="740" s="4" customFormat="1" hidden="1" x14ac:dyDescent="0.4"/>
    <row r="741" s="4" customFormat="1" hidden="1" x14ac:dyDescent="0.4"/>
    <row r="742" s="4" customFormat="1" hidden="1" x14ac:dyDescent="0.4"/>
    <row r="743" s="4" customFormat="1" hidden="1" x14ac:dyDescent="0.4"/>
    <row r="744" s="4" customFormat="1" hidden="1" x14ac:dyDescent="0.4"/>
    <row r="745" s="4" customFormat="1" hidden="1" x14ac:dyDescent="0.4"/>
    <row r="746" s="4" customFormat="1" hidden="1" x14ac:dyDescent="0.4"/>
    <row r="747" s="4" customFormat="1" hidden="1" x14ac:dyDescent="0.4"/>
    <row r="748" s="4" customFormat="1" hidden="1" x14ac:dyDescent="0.4"/>
    <row r="749" s="4" customFormat="1" hidden="1" x14ac:dyDescent="0.4"/>
    <row r="750" s="4" customFormat="1" hidden="1" x14ac:dyDescent="0.4"/>
    <row r="751" s="4" customFormat="1" hidden="1" x14ac:dyDescent="0.4"/>
    <row r="752" s="4" customFormat="1" hidden="1" x14ac:dyDescent="0.4"/>
    <row r="753" spans="2:12" s="4" customFormat="1" hidden="1" x14ac:dyDescent="0.4"/>
    <row r="754" spans="2:12" s="4" customFormat="1" hidden="1" x14ac:dyDescent="0.4"/>
    <row r="755" spans="2:12" s="4" customFormat="1" hidden="1" x14ac:dyDescent="0.4"/>
    <row r="756" spans="2:12" s="4" customFormat="1" hidden="1" x14ac:dyDescent="0.4"/>
    <row r="757" spans="2:12" s="4" customFormat="1" hidden="1" x14ac:dyDescent="0.4"/>
    <row r="758" spans="2:12" s="4" customFormat="1" ht="19.2" x14ac:dyDescent="0.45">
      <c r="B758" s="754" t="str">
        <f>"Transport to Plant"&amp;" - "&amp;Feedstocks!C29</f>
        <v xml:space="preserve">Transport to Plant - </v>
      </c>
      <c r="C758" s="755"/>
      <c r="D758" s="755"/>
      <c r="E758" s="755"/>
      <c r="F758" s="755"/>
      <c r="G758" s="755"/>
      <c r="H758" s="755"/>
      <c r="I758" s="755"/>
      <c r="J758" s="755"/>
      <c r="K758" s="755"/>
      <c r="L758" s="756"/>
    </row>
    <row r="759" spans="2:12" s="4" customFormat="1" outlineLevel="1" x14ac:dyDescent="0.4">
      <c r="B759" s="17"/>
      <c r="C759" s="18"/>
      <c r="D759" s="19"/>
      <c r="E759" s="19"/>
      <c r="F759" s="19"/>
      <c r="G759" s="19"/>
      <c r="H759" s="19"/>
      <c r="I759" s="19"/>
      <c r="J759" s="19"/>
      <c r="K759" s="19"/>
      <c r="L759" s="50"/>
    </row>
    <row r="760" spans="2:12" s="4" customFormat="1" outlineLevel="1" x14ac:dyDescent="0.4">
      <c r="B760" s="20"/>
      <c r="C760" s="174" t="s">
        <v>87</v>
      </c>
      <c r="D760" s="778" t="str">
        <f>IF(Feedstocks!$C$29&gt;0,Feedstocks!$C$29,"")</f>
        <v/>
      </c>
      <c r="E760" s="778"/>
      <c r="F760" s="778"/>
      <c r="G760" s="1"/>
      <c r="H760" s="303" t="s">
        <v>122</v>
      </c>
      <c r="I760" s="47"/>
      <c r="J760" s="47"/>
      <c r="K760" s="61"/>
      <c r="L760" s="35"/>
    </row>
    <row r="761" spans="2:12" s="4" customFormat="1" outlineLevel="1" x14ac:dyDescent="0.4">
      <c r="B761" s="20"/>
      <c r="C761" s="1"/>
      <c r="D761" s="1"/>
      <c r="E761" s="1"/>
      <c r="F761" s="1"/>
      <c r="G761" s="76"/>
      <c r="H761" s="43"/>
      <c r="I761" s="36"/>
      <c r="J761" s="164" t="s">
        <v>124</v>
      </c>
      <c r="K761" s="44"/>
      <c r="L761" s="35"/>
    </row>
    <row r="762" spans="2:12" s="12" customFormat="1" ht="15" outlineLevel="1" x14ac:dyDescent="0.35">
      <c r="B762" s="20"/>
      <c r="C762" s="1"/>
      <c r="D762" s="1"/>
      <c r="E762" s="1"/>
      <c r="F762" s="1"/>
      <c r="G762" s="1"/>
      <c r="H762" s="43"/>
      <c r="I762" s="164" t="s">
        <v>125</v>
      </c>
      <c r="J762" s="52" t="str">
        <f>IFERROR((J765/(('Digestion &amp; outputs'!$G$32/1000)))*'Digestion &amp; outputs'!$K$23,"")</f>
        <v/>
      </c>
      <c r="K762" s="44"/>
      <c r="L762" s="54"/>
    </row>
    <row r="763" spans="2:12" s="4" customFormat="1" outlineLevel="1" x14ac:dyDescent="0.4">
      <c r="B763" s="20"/>
      <c r="C763" s="164" t="s">
        <v>163</v>
      </c>
      <c r="D763" s="134" t="s">
        <v>164</v>
      </c>
      <c r="E763" s="1"/>
      <c r="F763" s="1"/>
      <c r="G763" s="1"/>
      <c r="H763" s="41"/>
      <c r="I763" s="34"/>
      <c r="J763" s="34"/>
      <c r="K763" s="37"/>
      <c r="L763" s="35"/>
    </row>
    <row r="764" spans="2:12" s="4" customFormat="1" outlineLevel="1" x14ac:dyDescent="0.4">
      <c r="B764" s="20"/>
      <c r="C764" s="164" t="s">
        <v>165</v>
      </c>
      <c r="D764" s="143"/>
      <c r="E764" s="1"/>
      <c r="F764" s="1"/>
      <c r="G764" s="1"/>
      <c r="H764" s="41"/>
      <c r="I764" s="36"/>
      <c r="J764" s="164" t="s">
        <v>141</v>
      </c>
      <c r="K764" s="37"/>
      <c r="L764" s="35"/>
    </row>
    <row r="765" spans="2:12" s="4" customFormat="1" outlineLevel="1" x14ac:dyDescent="0.4">
      <c r="B765" s="20"/>
      <c r="C765" s="164" t="s">
        <v>160</v>
      </c>
      <c r="D765" s="134" t="s">
        <v>166</v>
      </c>
      <c r="E765" s="1"/>
      <c r="F765" s="1"/>
      <c r="G765" s="1"/>
      <c r="H765" s="42"/>
      <c r="I765" s="164" t="s">
        <v>167</v>
      </c>
      <c r="J765" s="52">
        <f>IFERROR(J770,"Insert data")</f>
        <v>0</v>
      </c>
      <c r="K765" s="62"/>
      <c r="L765" s="35"/>
    </row>
    <row r="766" spans="2:12" s="4" customFormat="1" outlineLevel="1" x14ac:dyDescent="0.4">
      <c r="B766" s="20"/>
      <c r="C766" s="21"/>
      <c r="D766" s="21"/>
      <c r="E766" s="21"/>
      <c r="F766" s="21"/>
      <c r="G766" s="21"/>
      <c r="H766" s="46"/>
      <c r="I766" s="58"/>
      <c r="J766" s="58"/>
      <c r="K766" s="59"/>
      <c r="L766" s="35"/>
    </row>
    <row r="767" spans="2:12" s="4" customFormat="1" outlineLevel="1" x14ac:dyDescent="0.4">
      <c r="B767" s="20"/>
      <c r="C767" s="25" t="s">
        <v>168</v>
      </c>
      <c r="D767" s="21"/>
      <c r="E767" s="21"/>
      <c r="F767" s="21"/>
      <c r="G767" s="21"/>
      <c r="H767" s="21"/>
      <c r="I767" s="21"/>
      <c r="J767" s="21"/>
      <c r="K767" s="21"/>
      <c r="L767" s="35"/>
    </row>
    <row r="768" spans="2:12" s="14" customFormat="1" ht="30.6" outlineLevel="1" x14ac:dyDescent="0.4">
      <c r="B768" s="23"/>
      <c r="C768" s="166" t="s">
        <v>131</v>
      </c>
      <c r="D768" s="166" t="s">
        <v>169</v>
      </c>
      <c r="E768" s="166" t="s">
        <v>170</v>
      </c>
      <c r="F768" s="166" t="s">
        <v>171</v>
      </c>
      <c r="G768" s="24"/>
      <c r="H768" s="303" t="s">
        <v>136</v>
      </c>
      <c r="I768" s="47"/>
      <c r="J768" s="47"/>
      <c r="K768" s="45"/>
      <c r="L768" s="63"/>
    </row>
    <row r="769" spans="2:12" s="4" customFormat="1" outlineLevel="1" x14ac:dyDescent="0.4">
      <c r="B769" s="20"/>
      <c r="C769" s="138" t="s">
        <v>96</v>
      </c>
      <c r="D769" s="93">
        <v>1</v>
      </c>
      <c r="E769" s="135"/>
      <c r="F769" s="31">
        <f>IFERROR(IF(OR(C769="Default",D763="No transport required"),D769,IF(ISBLANK(E769),"Insert data",E769)),"")</f>
        <v>1</v>
      </c>
      <c r="G769" s="21"/>
      <c r="H769" s="41"/>
      <c r="I769" s="36"/>
      <c r="J769" s="164" t="s">
        <v>141</v>
      </c>
      <c r="K769" s="37"/>
      <c r="L769" s="35"/>
    </row>
    <row r="770" spans="2:12" s="4" customFormat="1" outlineLevel="1" x14ac:dyDescent="0.4">
      <c r="B770" s="20"/>
      <c r="C770" s="21"/>
      <c r="D770" s="21"/>
      <c r="E770" s="692" t="str">
        <f>IF(E769&gt;1, "this should not be greater than 1", "")</f>
        <v/>
      </c>
      <c r="F770" s="21"/>
      <c r="G770" s="21"/>
      <c r="H770" s="42"/>
      <c r="I770" s="164" t="s">
        <v>172</v>
      </c>
      <c r="J770" s="52">
        <f>IF(D763="No transport required",0,IFERROR(E773*INDEX(Fuel_EFs,MATCH(D765,Fuels_for_EF,0))*D764/1000,"Insert data"))</f>
        <v>0</v>
      </c>
      <c r="K770" s="62"/>
      <c r="L770" s="35"/>
    </row>
    <row r="771" spans="2:12" s="4" customFormat="1" outlineLevel="1" x14ac:dyDescent="0.4">
      <c r="B771" s="20"/>
      <c r="C771" s="25" t="s">
        <v>173</v>
      </c>
      <c r="D771" s="21"/>
      <c r="E771" s="21"/>
      <c r="F771" s="21"/>
      <c r="G771" s="21"/>
      <c r="H771" s="46"/>
      <c r="I771" s="58"/>
      <c r="J771" s="58"/>
      <c r="K771" s="59"/>
      <c r="L771" s="35"/>
    </row>
    <row r="772" spans="2:12" s="14" customFormat="1" outlineLevel="1" x14ac:dyDescent="0.4">
      <c r="B772" s="23"/>
      <c r="C772" s="176" t="s">
        <v>174</v>
      </c>
      <c r="D772" s="166" t="s">
        <v>175</v>
      </c>
      <c r="E772" s="166" t="s">
        <v>176</v>
      </c>
      <c r="F772" s="24"/>
      <c r="G772" s="24"/>
      <c r="H772" s="4"/>
      <c r="I772" s="4"/>
      <c r="J772" s="4"/>
      <c r="K772" s="4"/>
      <c r="L772" s="63"/>
    </row>
    <row r="773" spans="2:12" s="4" customFormat="1" outlineLevel="1" x14ac:dyDescent="0.4">
      <c r="B773" s="20"/>
      <c r="C773" s="138" t="s">
        <v>96</v>
      </c>
      <c r="D773" s="93">
        <f>IFERROR(INDEX(Transport_Fuel_Efficiencies,MATCH(D763,Transport_Modes,0)),"Insert data")</f>
        <v>0</v>
      </c>
      <c r="E773" s="31">
        <f>IFERROR(IF(C773="Default",D773,IF(OR(ISBLANK(E775),ISBLANK(D779),ISBLANK(D783)),"Insert data",(IF(C779="litres",(D779*(INDEX(Fuel_Densities,MATCH(D765,Fuels_for_Densities,0))/1000)*INDEX(Fuel_LHV,MATCH(D765,Fuels_for_LHV,0)))/(D783*D764),(IF(C779="m3",(D779*(INDEX(Fuel_Densities,MATCH(D765,Fuels_for_Densities,0)))*INDEX(Fuel_LHV,MATCH(D765,Fuels_for_LHV,0)))/(D783*D764),IF(C779="kg",(D779*INDEX(Fuel_LHV,MATCH(D765,Fuels_for_LHV,0)))/(D783*D764),IF(C779="tonnes",(D779*INDEX(Fuel_LHV,MATCH(D765,Fuels_for_LHV,0))*1000)/(D783*D764),IF(C779="MWh",(D779*'Reference values'!$D$47)/(D783*D764),IF(C779="kWh",(D779*'Reference values'!$D$47/1000)/(D783*D764),"Insert unit")))))))))),"")</f>
        <v>0</v>
      </c>
      <c r="F773" s="21"/>
      <c r="G773" s="21"/>
      <c r="L773" s="35"/>
    </row>
    <row r="774" spans="2:12" s="4" customFormat="1" outlineLevel="1" x14ac:dyDescent="0.4">
      <c r="B774" s="20"/>
      <c r="C774" s="21"/>
      <c r="D774" s="21"/>
      <c r="E774" s="21"/>
      <c r="F774" s="21"/>
      <c r="G774" s="21"/>
      <c r="H774" s="21"/>
      <c r="I774" s="21"/>
      <c r="J774" s="21"/>
      <c r="K774" s="21"/>
      <c r="L774" s="35"/>
    </row>
    <row r="775" spans="2:12" s="4" customFormat="1" ht="16.5" customHeight="1" outlineLevel="1" x14ac:dyDescent="0.4">
      <c r="B775" s="20"/>
      <c r="C775" s="759" t="s">
        <v>177</v>
      </c>
      <c r="D775" s="759"/>
      <c r="E775" s="135" t="s">
        <v>178</v>
      </c>
      <c r="F775" s="21"/>
      <c r="G775" s="21"/>
      <c r="H775" s="21"/>
      <c r="I775" s="21"/>
      <c r="J775" s="21"/>
      <c r="K775" s="21"/>
      <c r="L775" s="35"/>
    </row>
    <row r="776" spans="2:12" s="4" customFormat="1" ht="12.75" customHeight="1" outlineLevel="1" x14ac:dyDescent="0.4">
      <c r="B776" s="20"/>
      <c r="C776" s="21"/>
      <c r="D776" s="21"/>
      <c r="E776" s="21"/>
      <c r="F776" s="21"/>
      <c r="G776" s="21"/>
      <c r="L776" s="35"/>
    </row>
    <row r="777" spans="2:12" s="4" customFormat="1" outlineLevel="1" x14ac:dyDescent="0.4">
      <c r="B777" s="20"/>
      <c r="C777" s="25" t="str">
        <f>IF(E775="yes", "Fuel demand for outward journey",IF(E775="No","Fuel demand for full journey (outward and return)",""))</f>
        <v>Fuel demand for full journey (outward and return)</v>
      </c>
      <c r="D777" s="21"/>
      <c r="E777" s="21"/>
      <c r="F777" s="21"/>
      <c r="G777" s="21"/>
      <c r="H777" s="21"/>
      <c r="I777" s="21"/>
      <c r="J777" s="21"/>
      <c r="K777" s="21"/>
      <c r="L777" s="35"/>
    </row>
    <row r="778" spans="2:12" s="4" customFormat="1" outlineLevel="1" x14ac:dyDescent="0.4">
      <c r="B778" s="20"/>
      <c r="C778" s="164" t="s">
        <v>151</v>
      </c>
      <c r="D778" s="164" t="s">
        <v>140</v>
      </c>
      <c r="E778" s="21"/>
      <c r="F778" s="21"/>
      <c r="G778" s="21"/>
      <c r="H778" s="21"/>
      <c r="I778" s="21"/>
      <c r="J778" s="21"/>
      <c r="K778" s="21"/>
      <c r="L778" s="35"/>
    </row>
    <row r="779" spans="2:12" s="4" customFormat="1" outlineLevel="1" x14ac:dyDescent="0.4">
      <c r="B779" s="20"/>
      <c r="C779" s="138"/>
      <c r="D779" s="135"/>
      <c r="E779" s="21"/>
      <c r="F779" s="21"/>
      <c r="G779" s="21"/>
      <c r="H779" s="21"/>
      <c r="I779" s="21"/>
      <c r="J779" s="21"/>
      <c r="K779" s="21"/>
      <c r="L779" s="35"/>
    </row>
    <row r="780" spans="2:12" s="4" customFormat="1" outlineLevel="1" x14ac:dyDescent="0.4">
      <c r="B780" s="20"/>
      <c r="C780" s="21"/>
      <c r="D780" s="21"/>
      <c r="E780" s="21"/>
      <c r="F780" s="21"/>
      <c r="G780" s="21"/>
      <c r="H780" s="21"/>
      <c r="I780" s="21"/>
      <c r="J780" s="21"/>
      <c r="K780" s="21"/>
      <c r="L780" s="35"/>
    </row>
    <row r="781" spans="2:12" s="4" customFormat="1" outlineLevel="1" x14ac:dyDescent="0.4">
      <c r="B781" s="20"/>
      <c r="C781" s="25" t="s">
        <v>180</v>
      </c>
      <c r="D781" s="21"/>
      <c r="E781" s="21"/>
      <c r="F781" s="21"/>
      <c r="G781" s="21"/>
      <c r="H781" s="21"/>
      <c r="I781" s="21"/>
      <c r="J781" s="21"/>
      <c r="K781" s="21"/>
      <c r="L781" s="35"/>
    </row>
    <row r="782" spans="2:12" s="4" customFormat="1" outlineLevel="1" x14ac:dyDescent="0.4">
      <c r="B782" s="20"/>
      <c r="C782" s="164" t="s">
        <v>151</v>
      </c>
      <c r="D782" s="164" t="s">
        <v>140</v>
      </c>
      <c r="E782" s="21"/>
      <c r="F782" s="21"/>
      <c r="G782" s="21"/>
      <c r="H782" s="21"/>
      <c r="I782" s="21"/>
      <c r="J782" s="21"/>
      <c r="K782" s="21"/>
      <c r="L782" s="35"/>
    </row>
    <row r="783" spans="2:12" s="4" customFormat="1" outlineLevel="1" x14ac:dyDescent="0.4">
      <c r="B783" s="20"/>
      <c r="C783" s="138"/>
      <c r="D783" s="135"/>
      <c r="E783" s="21"/>
      <c r="F783" s="21"/>
      <c r="G783" s="21"/>
      <c r="H783" s="21"/>
      <c r="I783" s="21"/>
      <c r="J783" s="21"/>
      <c r="K783" s="21"/>
      <c r="L783" s="35"/>
    </row>
    <row r="784" spans="2:12" s="4" customFormat="1" ht="12.75" customHeight="1" outlineLevel="1" x14ac:dyDescent="0.4">
      <c r="B784" s="28"/>
      <c r="C784" s="29"/>
      <c r="D784" s="29"/>
      <c r="E784" s="29"/>
      <c r="F784" s="29"/>
      <c r="G784" s="29"/>
      <c r="H784" s="29"/>
      <c r="I784" s="29"/>
      <c r="J784" s="29"/>
      <c r="K784" s="29"/>
      <c r="L784" s="60"/>
    </row>
    <row r="785" s="4" customFormat="1" x14ac:dyDescent="0.4"/>
    <row r="786" s="4" customFormat="1" hidden="1" x14ac:dyDescent="0.4"/>
    <row r="787" s="4" customFormat="1" hidden="1" x14ac:dyDescent="0.4"/>
    <row r="788" s="4" customFormat="1" hidden="1" x14ac:dyDescent="0.4"/>
    <row r="789" s="4" customFormat="1" hidden="1" x14ac:dyDescent="0.4"/>
    <row r="790" s="4" customFormat="1" hidden="1" x14ac:dyDescent="0.4"/>
    <row r="791" s="4" customFormat="1" ht="16.5" hidden="1" customHeight="1" x14ac:dyDescent="0.4"/>
    <row r="792" s="4" customFormat="1" ht="16.5" hidden="1" customHeight="1" x14ac:dyDescent="0.4"/>
    <row r="793" s="4" customFormat="1" ht="16.5" hidden="1" customHeight="1" x14ac:dyDescent="0.4"/>
    <row r="794" s="4" customFormat="1" ht="16.5" hidden="1" customHeight="1" x14ac:dyDescent="0.4"/>
    <row r="795" s="4" customFormat="1" ht="16.5" hidden="1" customHeight="1" x14ac:dyDescent="0.4"/>
    <row r="796" s="4" customFormat="1" ht="16.5" hidden="1" customHeight="1" x14ac:dyDescent="0.4"/>
    <row r="797" s="4" customFormat="1" ht="16.5" hidden="1" customHeight="1" x14ac:dyDescent="0.4"/>
    <row r="798" s="4" customFormat="1" ht="16.5" hidden="1" customHeight="1" x14ac:dyDescent="0.4"/>
    <row r="799" s="4" customFormat="1" ht="16.5" hidden="1" customHeight="1" x14ac:dyDescent="0.4"/>
    <row r="800" s="4" customFormat="1" ht="16.5" hidden="1" customHeight="1" x14ac:dyDescent="0.4"/>
    <row r="801" spans="2:12" s="4" customFormat="1" ht="16.5" hidden="1" customHeight="1" x14ac:dyDescent="0.4"/>
    <row r="802" spans="2:12" s="4" customFormat="1" ht="16.5" hidden="1" customHeight="1" x14ac:dyDescent="0.4"/>
    <row r="803" spans="2:12" s="4" customFormat="1" ht="16.5" hidden="1" customHeight="1" x14ac:dyDescent="0.4"/>
    <row r="804" spans="2:12" s="4" customFormat="1" ht="16.5" hidden="1" customHeight="1" x14ac:dyDescent="0.4"/>
    <row r="805" spans="2:12" s="4" customFormat="1" ht="16.5" hidden="1" customHeight="1" x14ac:dyDescent="0.4"/>
    <row r="806" spans="2:12" s="4" customFormat="1" ht="16.5" hidden="1" customHeight="1" x14ac:dyDescent="0.4"/>
    <row r="807" spans="2:12" s="4" customFormat="1" hidden="1" x14ac:dyDescent="0.4"/>
    <row r="808" spans="2:12" s="4" customFormat="1" ht="19.2" x14ac:dyDescent="0.45">
      <c r="B808" s="754" t="str">
        <f>"Transport to Plant"&amp;" - "&amp;Feedstocks!C30</f>
        <v xml:space="preserve">Transport to Plant - </v>
      </c>
      <c r="C808" s="755"/>
      <c r="D808" s="755"/>
      <c r="E808" s="755"/>
      <c r="F808" s="755"/>
      <c r="G808" s="755"/>
      <c r="H808" s="755"/>
      <c r="I808" s="755"/>
      <c r="J808" s="755"/>
      <c r="K808" s="755"/>
      <c r="L808" s="756"/>
    </row>
    <row r="809" spans="2:12" s="4" customFormat="1" outlineLevel="1" x14ac:dyDescent="0.4">
      <c r="B809" s="17"/>
      <c r="C809" s="18"/>
      <c r="D809" s="19"/>
      <c r="E809" s="19"/>
      <c r="F809" s="19"/>
      <c r="G809" s="19"/>
      <c r="H809" s="19"/>
      <c r="I809" s="19"/>
      <c r="J809" s="19"/>
      <c r="K809" s="19"/>
      <c r="L809" s="50"/>
    </row>
    <row r="810" spans="2:12" s="4" customFormat="1" outlineLevel="1" x14ac:dyDescent="0.4">
      <c r="B810" s="20"/>
      <c r="C810" s="174" t="s">
        <v>87</v>
      </c>
      <c r="D810" s="778" t="str">
        <f>IF(Feedstocks!$C$30&gt;0,Feedstocks!$C$30,"")</f>
        <v/>
      </c>
      <c r="E810" s="778"/>
      <c r="F810" s="778"/>
      <c r="G810" s="1"/>
      <c r="H810" s="303" t="s">
        <v>122</v>
      </c>
      <c r="I810" s="47"/>
      <c r="J810" s="47"/>
      <c r="K810" s="61"/>
      <c r="L810" s="35"/>
    </row>
    <row r="811" spans="2:12" s="4" customFormat="1" outlineLevel="1" x14ac:dyDescent="0.4">
      <c r="B811" s="20"/>
      <c r="C811" s="1"/>
      <c r="D811" s="1"/>
      <c r="E811" s="1"/>
      <c r="F811" s="1"/>
      <c r="G811" s="76"/>
      <c r="H811" s="43"/>
      <c r="I811" s="36"/>
      <c r="J811" s="164" t="s">
        <v>124</v>
      </c>
      <c r="K811" s="44"/>
      <c r="L811" s="35"/>
    </row>
    <row r="812" spans="2:12" s="12" customFormat="1" ht="15" outlineLevel="1" x14ac:dyDescent="0.35">
      <c r="B812" s="20"/>
      <c r="C812" s="1"/>
      <c r="D812" s="1"/>
      <c r="E812" s="1"/>
      <c r="F812" s="1"/>
      <c r="G812" s="1"/>
      <c r="H812" s="43"/>
      <c r="I812" s="164" t="s">
        <v>125</v>
      </c>
      <c r="J812" s="52" t="str">
        <f>IFERROR((J815/(('Digestion &amp; outputs'!$G$33/1000)))*'Digestion &amp; outputs'!$K$23,"")</f>
        <v/>
      </c>
      <c r="K812" s="44"/>
      <c r="L812" s="54"/>
    </row>
    <row r="813" spans="2:12" s="4" customFormat="1" outlineLevel="1" x14ac:dyDescent="0.4">
      <c r="B813" s="20"/>
      <c r="C813" s="164" t="s">
        <v>163</v>
      </c>
      <c r="D813" s="134" t="s">
        <v>164</v>
      </c>
      <c r="E813" s="1"/>
      <c r="F813" s="1"/>
      <c r="G813" s="1"/>
      <c r="H813" s="41"/>
      <c r="I813" s="34"/>
      <c r="J813" s="34"/>
      <c r="K813" s="37"/>
      <c r="L813" s="35"/>
    </row>
    <row r="814" spans="2:12" s="4" customFormat="1" outlineLevel="1" x14ac:dyDescent="0.4">
      <c r="B814" s="20"/>
      <c r="C814" s="164" t="s">
        <v>165</v>
      </c>
      <c r="D814" s="143"/>
      <c r="E814" s="1"/>
      <c r="F814" s="1"/>
      <c r="G814" s="1"/>
      <c r="H814" s="41"/>
      <c r="I814" s="36"/>
      <c r="J814" s="164" t="s">
        <v>141</v>
      </c>
      <c r="K814" s="37"/>
      <c r="L814" s="35"/>
    </row>
    <row r="815" spans="2:12" s="4" customFormat="1" outlineLevel="1" x14ac:dyDescent="0.4">
      <c r="B815" s="20"/>
      <c r="C815" s="164" t="s">
        <v>160</v>
      </c>
      <c r="D815" s="134" t="s">
        <v>166</v>
      </c>
      <c r="E815" s="1"/>
      <c r="F815" s="1"/>
      <c r="G815" s="1"/>
      <c r="H815" s="42"/>
      <c r="I815" s="164" t="s">
        <v>167</v>
      </c>
      <c r="J815" s="52">
        <f>IFERROR(J820,"Insert data")</f>
        <v>0</v>
      </c>
      <c r="K815" s="62"/>
      <c r="L815" s="35"/>
    </row>
    <row r="816" spans="2:12" s="4" customFormat="1" outlineLevel="1" x14ac:dyDescent="0.4">
      <c r="B816" s="20"/>
      <c r="C816" s="21"/>
      <c r="D816" s="21"/>
      <c r="E816" s="21"/>
      <c r="F816" s="21"/>
      <c r="G816" s="21"/>
      <c r="H816" s="46"/>
      <c r="I816" s="58"/>
      <c r="J816" s="58"/>
      <c r="K816" s="59"/>
      <c r="L816" s="35"/>
    </row>
    <row r="817" spans="2:12" s="4" customFormat="1" outlineLevel="1" x14ac:dyDescent="0.4">
      <c r="B817" s="20"/>
      <c r="C817" s="25" t="s">
        <v>168</v>
      </c>
      <c r="D817" s="21"/>
      <c r="E817" s="21"/>
      <c r="F817" s="21"/>
      <c r="G817" s="21"/>
      <c r="H817" s="21"/>
      <c r="I817" s="21"/>
      <c r="J817" s="21"/>
      <c r="K817" s="21"/>
      <c r="L817" s="35"/>
    </row>
    <row r="818" spans="2:12" s="14" customFormat="1" ht="30.6" outlineLevel="1" x14ac:dyDescent="0.4">
      <c r="B818" s="23"/>
      <c r="C818" s="166" t="s">
        <v>131</v>
      </c>
      <c r="D818" s="166" t="s">
        <v>169</v>
      </c>
      <c r="E818" s="166" t="s">
        <v>170</v>
      </c>
      <c r="F818" s="166" t="s">
        <v>171</v>
      </c>
      <c r="G818" s="24"/>
      <c r="H818" s="303" t="s">
        <v>136</v>
      </c>
      <c r="I818" s="47"/>
      <c r="J818" s="47"/>
      <c r="K818" s="45"/>
      <c r="L818" s="63"/>
    </row>
    <row r="819" spans="2:12" s="4" customFormat="1" outlineLevel="1" x14ac:dyDescent="0.4">
      <c r="B819" s="20"/>
      <c r="C819" s="138" t="s">
        <v>96</v>
      </c>
      <c r="D819" s="93">
        <v>1</v>
      </c>
      <c r="E819" s="135"/>
      <c r="F819" s="31">
        <f>IFERROR(IF(OR(C819="Default",D813="No transport required"),D819,IF(ISBLANK(E819),"Insert data",E819)),"")</f>
        <v>1</v>
      </c>
      <c r="G819" s="21"/>
      <c r="H819" s="41"/>
      <c r="I819" s="36"/>
      <c r="J819" s="164" t="s">
        <v>141</v>
      </c>
      <c r="K819" s="37"/>
      <c r="L819" s="35"/>
    </row>
    <row r="820" spans="2:12" s="4" customFormat="1" outlineLevel="1" x14ac:dyDescent="0.4">
      <c r="B820" s="20"/>
      <c r="C820" s="21"/>
      <c r="D820" s="21"/>
      <c r="E820" s="692" t="str">
        <f>IF(E819&gt;1, "this should not be greater than 1", "")</f>
        <v/>
      </c>
      <c r="F820" s="21"/>
      <c r="G820" s="21"/>
      <c r="H820" s="42"/>
      <c r="I820" s="164" t="s">
        <v>172</v>
      </c>
      <c r="J820" s="52">
        <f>IF(D813="No transport required",0,IFERROR(E823*INDEX(Fuel_EFs,MATCH(D815,Fuels_for_EF,0))*D814/1000,"Insert data"))</f>
        <v>0</v>
      </c>
      <c r="K820" s="62"/>
      <c r="L820" s="35"/>
    </row>
    <row r="821" spans="2:12" s="4" customFormat="1" outlineLevel="1" x14ac:dyDescent="0.4">
      <c r="B821" s="20"/>
      <c r="C821" s="25" t="s">
        <v>173</v>
      </c>
      <c r="D821" s="21"/>
      <c r="E821" s="21"/>
      <c r="F821" s="21"/>
      <c r="G821" s="21"/>
      <c r="H821" s="46"/>
      <c r="I821" s="58"/>
      <c r="J821" s="58"/>
      <c r="K821" s="59"/>
      <c r="L821" s="35"/>
    </row>
    <row r="822" spans="2:12" s="14" customFormat="1" outlineLevel="1" x14ac:dyDescent="0.4">
      <c r="B822" s="23"/>
      <c r="C822" s="176" t="s">
        <v>174</v>
      </c>
      <c r="D822" s="166" t="s">
        <v>175</v>
      </c>
      <c r="E822" s="166" t="s">
        <v>176</v>
      </c>
      <c r="F822" s="24"/>
      <c r="G822" s="24"/>
      <c r="H822" s="4"/>
      <c r="I822" s="4"/>
      <c r="J822" s="4"/>
      <c r="K822" s="4"/>
      <c r="L822" s="63"/>
    </row>
    <row r="823" spans="2:12" s="4" customFormat="1" outlineLevel="1" x14ac:dyDescent="0.4">
      <c r="B823" s="20"/>
      <c r="C823" s="138" t="s">
        <v>96</v>
      </c>
      <c r="D823" s="93">
        <f>IFERROR(INDEX(Transport_Fuel_Efficiencies,MATCH(D813,Transport_Modes,0)),"Insert data")</f>
        <v>0</v>
      </c>
      <c r="E823" s="31">
        <f>IFERROR(IF(C823="Default",D823,IF(OR(ISBLANK(E825),ISBLANK(D829),ISBLANK(D833)),"Insert data",(IF(C829="litres",(D829*(INDEX(Fuel_Densities,MATCH(D815,Fuels_for_Densities,0))/1000)*INDEX(Fuel_LHV,MATCH(D815,Fuels_for_LHV,0)))/(D833*D814),(IF(C829="m3",(D829*(INDEX(Fuel_Densities,MATCH(D815,Fuels_for_Densities,0)))*INDEX(Fuel_LHV,MATCH(D815,Fuels_for_LHV,0)))/(D833*D814),IF(C829="kg",(D829*INDEX(Fuel_LHV,MATCH(D815,Fuels_for_LHV,0)))/(D833*D814),IF(C829="tonnes",(D829*INDEX(Fuel_LHV,MATCH(D815,Fuels_for_LHV,0))*1000)/(D833*D814),IF(C829="MWh",(D829*'Reference values'!$D$47)/(D833*D814),IF(C829="kWh",(D829*'Reference values'!$D$47/1000)/(D833*D814),"Insert unit")))))))))),"")</f>
        <v>0</v>
      </c>
      <c r="F823" s="21"/>
      <c r="G823" s="21"/>
      <c r="L823" s="35"/>
    </row>
    <row r="824" spans="2:12" s="4" customFormat="1" outlineLevel="1" x14ac:dyDescent="0.4">
      <c r="B824" s="20"/>
      <c r="C824" s="21"/>
      <c r="D824" s="21"/>
      <c r="E824" s="21"/>
      <c r="F824" s="21"/>
      <c r="G824" s="21"/>
      <c r="H824" s="21"/>
      <c r="I824" s="21"/>
      <c r="J824" s="21"/>
      <c r="K824" s="21"/>
      <c r="L824" s="35"/>
    </row>
    <row r="825" spans="2:12" s="4" customFormat="1" ht="16.5" customHeight="1" outlineLevel="1" x14ac:dyDescent="0.4">
      <c r="B825" s="20"/>
      <c r="C825" s="759" t="s">
        <v>177</v>
      </c>
      <c r="D825" s="759"/>
      <c r="E825" s="135" t="s">
        <v>178</v>
      </c>
      <c r="F825" s="21"/>
      <c r="G825" s="21"/>
      <c r="H825" s="21"/>
      <c r="I825" s="21"/>
      <c r="J825" s="21"/>
      <c r="K825" s="21"/>
      <c r="L825" s="35"/>
    </row>
    <row r="826" spans="2:12" s="4" customFormat="1" ht="12.75" customHeight="1" outlineLevel="1" x14ac:dyDescent="0.4">
      <c r="B826" s="20"/>
      <c r="C826" s="21"/>
      <c r="D826" s="21"/>
      <c r="E826" s="21"/>
      <c r="F826" s="21"/>
      <c r="G826" s="21"/>
      <c r="L826" s="35"/>
    </row>
    <row r="827" spans="2:12" s="4" customFormat="1" outlineLevel="1" x14ac:dyDescent="0.4">
      <c r="B827" s="20"/>
      <c r="C827" s="25" t="str">
        <f>IF(E825="yes", "Fuel demand for outward journey",IF(E825="No","Fuel demand for full journey (outward and return)",""))</f>
        <v>Fuel demand for full journey (outward and return)</v>
      </c>
      <c r="D827" s="21"/>
      <c r="E827" s="21"/>
      <c r="F827" s="21"/>
      <c r="G827" s="21"/>
      <c r="H827" s="21"/>
      <c r="I827" s="21"/>
      <c r="J827" s="21"/>
      <c r="K827" s="21"/>
      <c r="L827" s="35"/>
    </row>
    <row r="828" spans="2:12" s="4" customFormat="1" outlineLevel="1" x14ac:dyDescent="0.4">
      <c r="B828" s="20"/>
      <c r="C828" s="164" t="s">
        <v>151</v>
      </c>
      <c r="D828" s="164" t="s">
        <v>140</v>
      </c>
      <c r="E828" s="21"/>
      <c r="F828" s="21"/>
      <c r="G828" s="21"/>
      <c r="H828" s="21"/>
      <c r="I828" s="21"/>
      <c r="J828" s="21"/>
      <c r="K828" s="21"/>
      <c r="L828" s="35"/>
    </row>
    <row r="829" spans="2:12" s="4" customFormat="1" outlineLevel="1" x14ac:dyDescent="0.4">
      <c r="B829" s="20"/>
      <c r="C829" s="138"/>
      <c r="D829" s="135"/>
      <c r="E829" s="21"/>
      <c r="F829" s="21"/>
      <c r="G829" s="21"/>
      <c r="H829" s="21"/>
      <c r="I829" s="21"/>
      <c r="J829" s="21"/>
      <c r="K829" s="21"/>
      <c r="L829" s="35"/>
    </row>
    <row r="830" spans="2:12" s="4" customFormat="1" outlineLevel="1" x14ac:dyDescent="0.4">
      <c r="B830" s="20"/>
      <c r="C830" s="21"/>
      <c r="D830" s="21"/>
      <c r="E830" s="21"/>
      <c r="F830" s="21"/>
      <c r="G830" s="21"/>
      <c r="H830" s="21"/>
      <c r="I830" s="21"/>
      <c r="J830" s="21"/>
      <c r="K830" s="21"/>
      <c r="L830" s="35"/>
    </row>
    <row r="831" spans="2:12" s="4" customFormat="1" outlineLevel="1" x14ac:dyDescent="0.4">
      <c r="B831" s="20"/>
      <c r="C831" s="25" t="s">
        <v>180</v>
      </c>
      <c r="D831" s="21"/>
      <c r="E831" s="21"/>
      <c r="F831" s="21"/>
      <c r="G831" s="21"/>
      <c r="H831" s="21"/>
      <c r="I831" s="21"/>
      <c r="J831" s="21"/>
      <c r="K831" s="21"/>
      <c r="L831" s="35"/>
    </row>
    <row r="832" spans="2:12" s="4" customFormat="1" outlineLevel="1" x14ac:dyDescent="0.4">
      <c r="B832" s="20"/>
      <c r="C832" s="164" t="s">
        <v>151</v>
      </c>
      <c r="D832" s="164" t="s">
        <v>140</v>
      </c>
      <c r="E832" s="21"/>
      <c r="F832" s="21"/>
      <c r="G832" s="21"/>
      <c r="H832" s="21"/>
      <c r="I832" s="21"/>
      <c r="J832" s="21"/>
      <c r="K832" s="21"/>
      <c r="L832" s="35"/>
    </row>
    <row r="833" spans="2:12" s="4" customFormat="1" outlineLevel="1" x14ac:dyDescent="0.4">
      <c r="B833" s="20"/>
      <c r="C833" s="138"/>
      <c r="D833" s="135"/>
      <c r="E833" s="21"/>
      <c r="F833" s="21"/>
      <c r="G833" s="21"/>
      <c r="H833" s="21"/>
      <c r="I833" s="21"/>
      <c r="J833" s="21"/>
      <c r="K833" s="21"/>
      <c r="L833" s="35"/>
    </row>
    <row r="834" spans="2:12" s="4" customFormat="1" ht="12.75" customHeight="1" outlineLevel="1" x14ac:dyDescent="0.4">
      <c r="B834" s="28"/>
      <c r="C834" s="29"/>
      <c r="D834" s="29"/>
      <c r="E834" s="29"/>
      <c r="F834" s="29"/>
      <c r="G834" s="29"/>
      <c r="H834" s="29"/>
      <c r="I834" s="29"/>
      <c r="J834" s="29"/>
      <c r="K834" s="29"/>
      <c r="L834" s="60"/>
    </row>
    <row r="835" spans="2:12" s="4" customFormat="1" x14ac:dyDescent="0.4"/>
    <row r="836" spans="2:12" s="4" customFormat="1" hidden="1" x14ac:dyDescent="0.4"/>
    <row r="837" spans="2:12" s="4" customFormat="1" hidden="1" x14ac:dyDescent="0.4"/>
    <row r="838" spans="2:12" s="4" customFormat="1" hidden="1" x14ac:dyDescent="0.4"/>
    <row r="839" spans="2:12" s="4" customFormat="1" ht="16.5" hidden="1" customHeight="1" x14ac:dyDescent="0.4"/>
    <row r="840" spans="2:12" s="4" customFormat="1" ht="16.5" hidden="1" customHeight="1" x14ac:dyDescent="0.4"/>
    <row r="841" spans="2:12" s="4" customFormat="1" ht="16.5" hidden="1" customHeight="1" x14ac:dyDescent="0.4"/>
    <row r="842" spans="2:12" s="4" customFormat="1" ht="16.5" hidden="1" customHeight="1" x14ac:dyDescent="0.4"/>
    <row r="843" spans="2:12" s="4" customFormat="1" ht="16.5" hidden="1" customHeight="1" x14ac:dyDescent="0.4"/>
    <row r="844" spans="2:12" s="4" customFormat="1" ht="16.5" hidden="1" customHeight="1" x14ac:dyDescent="0.4"/>
    <row r="845" spans="2:12" s="4" customFormat="1" ht="16.5" hidden="1" customHeight="1" x14ac:dyDescent="0.4"/>
    <row r="846" spans="2:12" s="4" customFormat="1" ht="16.5" hidden="1" customHeight="1" x14ac:dyDescent="0.4"/>
    <row r="847" spans="2:12" s="4" customFormat="1" ht="16.5" hidden="1" customHeight="1" x14ac:dyDescent="0.4"/>
    <row r="848" spans="2:12" s="4" customFormat="1" ht="16.5" hidden="1" customHeight="1" x14ac:dyDescent="0.4"/>
    <row r="849" spans="2:12" s="4" customFormat="1" ht="16.5" hidden="1" customHeight="1" x14ac:dyDescent="0.4"/>
    <row r="850" spans="2:12" s="4" customFormat="1" ht="16.5" hidden="1" customHeight="1" x14ac:dyDescent="0.4"/>
    <row r="851" spans="2:12" s="4" customFormat="1" ht="16.5" hidden="1" customHeight="1" x14ac:dyDescent="0.4"/>
    <row r="852" spans="2:12" s="4" customFormat="1" ht="16.5" hidden="1" customHeight="1" x14ac:dyDescent="0.4"/>
    <row r="853" spans="2:12" s="4" customFormat="1" ht="16.5" hidden="1" customHeight="1" x14ac:dyDescent="0.4"/>
    <row r="854" spans="2:12" s="4" customFormat="1" ht="16.5" hidden="1" customHeight="1" x14ac:dyDescent="0.4"/>
    <row r="855" spans="2:12" s="4" customFormat="1" hidden="1" x14ac:dyDescent="0.4"/>
    <row r="856" spans="2:12" s="4" customFormat="1" hidden="1" x14ac:dyDescent="0.4"/>
    <row r="857" spans="2:12" s="4" customFormat="1" hidden="1" x14ac:dyDescent="0.4"/>
    <row r="858" spans="2:12" s="4" customFormat="1" ht="19.2" x14ac:dyDescent="0.45">
      <c r="B858" s="754" t="str">
        <f>"Transport to Plant"&amp;" - "&amp;Feedstocks!C31</f>
        <v xml:space="preserve">Transport to Plant - </v>
      </c>
      <c r="C858" s="755"/>
      <c r="D858" s="755"/>
      <c r="E858" s="755"/>
      <c r="F858" s="755"/>
      <c r="G858" s="755"/>
      <c r="H858" s="755"/>
      <c r="I858" s="755"/>
      <c r="J858" s="755"/>
      <c r="K858" s="755"/>
      <c r="L858" s="756"/>
    </row>
    <row r="859" spans="2:12" s="4" customFormat="1" outlineLevel="1" x14ac:dyDescent="0.4">
      <c r="B859" s="17"/>
      <c r="C859" s="18"/>
      <c r="D859" s="19"/>
      <c r="E859" s="19"/>
      <c r="F859" s="19"/>
      <c r="G859" s="19"/>
      <c r="H859" s="19"/>
      <c r="I859" s="19"/>
      <c r="J859" s="19"/>
      <c r="K859" s="19"/>
      <c r="L859" s="50"/>
    </row>
    <row r="860" spans="2:12" s="4" customFormat="1" outlineLevel="1" x14ac:dyDescent="0.4">
      <c r="B860" s="20"/>
      <c r="C860" s="174" t="s">
        <v>87</v>
      </c>
      <c r="D860" s="778" t="str">
        <f>IF(Feedstocks!$C$31&gt;0,Feedstocks!$C$31,"")</f>
        <v/>
      </c>
      <c r="E860" s="778"/>
      <c r="F860" s="778"/>
      <c r="G860" s="1"/>
      <c r="H860" s="303" t="s">
        <v>122</v>
      </c>
      <c r="I860" s="47"/>
      <c r="J860" s="47"/>
      <c r="K860" s="61"/>
      <c r="L860" s="35"/>
    </row>
    <row r="861" spans="2:12" s="4" customFormat="1" outlineLevel="1" x14ac:dyDescent="0.4">
      <c r="B861" s="20"/>
      <c r="C861" s="1"/>
      <c r="D861" s="1"/>
      <c r="E861" s="1"/>
      <c r="F861" s="1"/>
      <c r="G861" s="76"/>
      <c r="H861" s="43"/>
      <c r="I861" s="36"/>
      <c r="J861" s="164" t="s">
        <v>124</v>
      </c>
      <c r="K861" s="44"/>
      <c r="L861" s="35"/>
    </row>
    <row r="862" spans="2:12" s="12" customFormat="1" ht="15" outlineLevel="1" x14ac:dyDescent="0.35">
      <c r="B862" s="20"/>
      <c r="C862" s="1"/>
      <c r="D862" s="1"/>
      <c r="E862" s="1"/>
      <c r="F862" s="1"/>
      <c r="G862" s="1"/>
      <c r="H862" s="43"/>
      <c r="I862" s="164" t="s">
        <v>125</v>
      </c>
      <c r="J862" s="52" t="str">
        <f>IFERROR((J865/(('Digestion &amp; outputs'!$G$34/1000)))*'Digestion &amp; outputs'!$K$23,"")</f>
        <v/>
      </c>
      <c r="K862" s="44"/>
      <c r="L862" s="54"/>
    </row>
    <row r="863" spans="2:12" s="4" customFormat="1" outlineLevel="1" x14ac:dyDescent="0.4">
      <c r="B863" s="20"/>
      <c r="C863" s="164" t="s">
        <v>163</v>
      </c>
      <c r="D863" s="134" t="s">
        <v>164</v>
      </c>
      <c r="E863" s="1"/>
      <c r="F863" s="1"/>
      <c r="G863" s="1"/>
      <c r="H863" s="41"/>
      <c r="I863" s="34"/>
      <c r="J863" s="34"/>
      <c r="K863" s="37"/>
      <c r="L863" s="35"/>
    </row>
    <row r="864" spans="2:12" s="4" customFormat="1" outlineLevel="1" x14ac:dyDescent="0.4">
      <c r="B864" s="20"/>
      <c r="C864" s="164" t="s">
        <v>165</v>
      </c>
      <c r="D864" s="143"/>
      <c r="E864" s="1"/>
      <c r="F864" s="1"/>
      <c r="G864" s="1"/>
      <c r="H864" s="41"/>
      <c r="I864" s="36"/>
      <c r="J864" s="164" t="s">
        <v>141</v>
      </c>
      <c r="K864" s="37"/>
      <c r="L864" s="35"/>
    </row>
    <row r="865" spans="2:12" s="4" customFormat="1" outlineLevel="1" x14ac:dyDescent="0.4">
      <c r="B865" s="20"/>
      <c r="C865" s="164" t="s">
        <v>160</v>
      </c>
      <c r="D865" s="134" t="s">
        <v>166</v>
      </c>
      <c r="E865" s="1"/>
      <c r="F865" s="1"/>
      <c r="G865" s="1"/>
      <c r="H865" s="42"/>
      <c r="I865" s="164" t="s">
        <v>167</v>
      </c>
      <c r="J865" s="52">
        <f>IFERROR(J870,"Insert data")</f>
        <v>0</v>
      </c>
      <c r="K865" s="62"/>
      <c r="L865" s="35"/>
    </row>
    <row r="866" spans="2:12" s="4" customFormat="1" outlineLevel="1" x14ac:dyDescent="0.4">
      <c r="B866" s="20"/>
      <c r="C866" s="21"/>
      <c r="D866" s="21"/>
      <c r="E866" s="21"/>
      <c r="F866" s="21"/>
      <c r="G866" s="21"/>
      <c r="H866" s="46"/>
      <c r="I866" s="58"/>
      <c r="J866" s="58"/>
      <c r="K866" s="59"/>
      <c r="L866" s="35"/>
    </row>
    <row r="867" spans="2:12" s="4" customFormat="1" outlineLevel="1" x14ac:dyDescent="0.4">
      <c r="B867" s="20"/>
      <c r="C867" s="25" t="s">
        <v>168</v>
      </c>
      <c r="D867" s="21"/>
      <c r="E867" s="21"/>
      <c r="F867" s="21"/>
      <c r="G867" s="21"/>
      <c r="H867" s="21"/>
      <c r="I867" s="21"/>
      <c r="J867" s="21"/>
      <c r="K867" s="21"/>
      <c r="L867" s="35"/>
    </row>
    <row r="868" spans="2:12" s="14" customFormat="1" ht="30.6" outlineLevel="1" x14ac:dyDescent="0.4">
      <c r="B868" s="23"/>
      <c r="C868" s="166" t="s">
        <v>131</v>
      </c>
      <c r="D868" s="166" t="s">
        <v>169</v>
      </c>
      <c r="E868" s="166" t="s">
        <v>170</v>
      </c>
      <c r="F868" s="166" t="s">
        <v>171</v>
      </c>
      <c r="G868" s="24"/>
      <c r="H868" s="303" t="s">
        <v>136</v>
      </c>
      <c r="I868" s="47"/>
      <c r="J868" s="47"/>
      <c r="K868" s="45"/>
      <c r="L868" s="63"/>
    </row>
    <row r="869" spans="2:12" s="4" customFormat="1" outlineLevel="1" x14ac:dyDescent="0.4">
      <c r="B869" s="20"/>
      <c r="C869" s="138" t="s">
        <v>96</v>
      </c>
      <c r="D869" s="93">
        <v>1</v>
      </c>
      <c r="E869" s="135"/>
      <c r="F869" s="31">
        <f>IFERROR(IF(OR(C869="Default",D863="No transport required"),D869,IF(ISBLANK(E869),"Insert data",E869)),"")</f>
        <v>1</v>
      </c>
      <c r="G869" s="21"/>
      <c r="H869" s="41"/>
      <c r="I869" s="36"/>
      <c r="J869" s="164" t="s">
        <v>141</v>
      </c>
      <c r="K869" s="37"/>
      <c r="L869" s="35"/>
    </row>
    <row r="870" spans="2:12" s="4" customFormat="1" outlineLevel="1" x14ac:dyDescent="0.4">
      <c r="B870" s="20"/>
      <c r="C870" s="21"/>
      <c r="D870" s="21"/>
      <c r="E870" s="692" t="str">
        <f>IF(E869&gt;1, "this should not be greater than 1", "")</f>
        <v/>
      </c>
      <c r="F870" s="21"/>
      <c r="G870" s="21"/>
      <c r="H870" s="42"/>
      <c r="I870" s="164" t="s">
        <v>172</v>
      </c>
      <c r="J870" s="52">
        <f>IF(D863="No transport required",0,IFERROR(E873*INDEX(Fuel_EFs,MATCH(D865,Fuels_for_EF,0))*D864/1000,"Insert data"))</f>
        <v>0</v>
      </c>
      <c r="K870" s="62"/>
      <c r="L870" s="35"/>
    </row>
    <row r="871" spans="2:12" s="4" customFormat="1" outlineLevel="1" x14ac:dyDescent="0.4">
      <c r="B871" s="20"/>
      <c r="C871" s="25" t="s">
        <v>173</v>
      </c>
      <c r="D871" s="21"/>
      <c r="E871" s="21"/>
      <c r="F871" s="21"/>
      <c r="G871" s="21"/>
      <c r="H871" s="46"/>
      <c r="I871" s="58"/>
      <c r="J871" s="58"/>
      <c r="K871" s="59"/>
      <c r="L871" s="35"/>
    </row>
    <row r="872" spans="2:12" s="14" customFormat="1" outlineLevel="1" x14ac:dyDescent="0.4">
      <c r="B872" s="23"/>
      <c r="C872" s="176" t="s">
        <v>174</v>
      </c>
      <c r="D872" s="166" t="s">
        <v>175</v>
      </c>
      <c r="E872" s="166" t="s">
        <v>176</v>
      </c>
      <c r="F872" s="24"/>
      <c r="G872" s="24"/>
      <c r="H872" s="4"/>
      <c r="I872" s="4"/>
      <c r="J872" s="4"/>
      <c r="K872" s="4"/>
      <c r="L872" s="63"/>
    </row>
    <row r="873" spans="2:12" s="4" customFormat="1" outlineLevel="1" x14ac:dyDescent="0.4">
      <c r="B873" s="20"/>
      <c r="C873" s="138" t="s">
        <v>96</v>
      </c>
      <c r="D873" s="93">
        <f>IFERROR(INDEX(Transport_Fuel_Efficiencies,MATCH(D863,Transport_Modes,0)),"Insert data")</f>
        <v>0</v>
      </c>
      <c r="E873" s="31">
        <f>IFERROR(IF(C873="Default",D873,IF(OR(ISBLANK(E875),ISBLANK(D879),ISBLANK(D883)),"Insert data",(IF(C879="litres",(D879*(INDEX(Fuel_Densities,MATCH(D865,Fuels_for_Densities,0))/1000)*INDEX(Fuel_LHV,MATCH(D865,Fuels_for_LHV,0)))/(D883*D864),(IF(C879="m3",(D879*(INDEX(Fuel_Densities,MATCH(D865,Fuels_for_Densities,0)))*INDEX(Fuel_LHV,MATCH(D865,Fuels_for_LHV,0)))/(D883*D864),IF(C879="kg",(D879*INDEX(Fuel_LHV,MATCH(D865,Fuels_for_LHV,0)))/(D883*D864),IF(C879="tonnes",(D879*INDEX(Fuel_LHV,MATCH(D865,Fuels_for_LHV,0))*1000)/(D883*D864),IF(C879="MWh",(D879*'Reference values'!$D$47)/(D883*D864),IF(C879="kWh",(D879*'Reference values'!$D$47/1000)/(D883*D864),"Insert unit")))))))))),"")</f>
        <v>0</v>
      </c>
      <c r="F873" s="21"/>
      <c r="G873" s="21"/>
      <c r="L873" s="35"/>
    </row>
    <row r="874" spans="2:12" s="4" customFormat="1" outlineLevel="1" x14ac:dyDescent="0.4">
      <c r="B874" s="20"/>
      <c r="C874" s="21"/>
      <c r="D874" s="21"/>
      <c r="E874" s="21"/>
      <c r="F874" s="21"/>
      <c r="G874" s="21"/>
      <c r="H874" s="21"/>
      <c r="I874" s="21"/>
      <c r="J874" s="21"/>
      <c r="K874" s="21"/>
      <c r="L874" s="35"/>
    </row>
    <row r="875" spans="2:12" s="4" customFormat="1" ht="16.5" customHeight="1" outlineLevel="1" x14ac:dyDescent="0.4">
      <c r="B875" s="20"/>
      <c r="C875" s="759" t="s">
        <v>177</v>
      </c>
      <c r="D875" s="759"/>
      <c r="E875" s="135" t="s">
        <v>178</v>
      </c>
      <c r="F875" s="21"/>
      <c r="G875" s="21"/>
      <c r="H875" s="21"/>
      <c r="I875" s="21"/>
      <c r="J875" s="21"/>
      <c r="K875" s="21"/>
      <c r="L875" s="35"/>
    </row>
    <row r="876" spans="2:12" s="4" customFormat="1" ht="12.75" customHeight="1" outlineLevel="1" x14ac:dyDescent="0.4">
      <c r="B876" s="20"/>
      <c r="C876" s="21"/>
      <c r="D876" s="21"/>
      <c r="E876" s="21"/>
      <c r="F876" s="21"/>
      <c r="G876" s="21"/>
      <c r="L876" s="35"/>
    </row>
    <row r="877" spans="2:12" s="4" customFormat="1" outlineLevel="1" x14ac:dyDescent="0.4">
      <c r="B877" s="20"/>
      <c r="C877" s="25" t="str">
        <f>IF(E875="yes", "Fuel demand for outward journey",IF(E875="No","Fuel demand for full journey (outward and return)",""))</f>
        <v>Fuel demand for full journey (outward and return)</v>
      </c>
      <c r="D877" s="21"/>
      <c r="E877" s="21"/>
      <c r="F877" s="21"/>
      <c r="G877" s="21"/>
      <c r="H877" s="21"/>
      <c r="I877" s="21"/>
      <c r="J877" s="21"/>
      <c r="K877" s="21"/>
      <c r="L877" s="35"/>
    </row>
    <row r="878" spans="2:12" s="4" customFormat="1" outlineLevel="1" x14ac:dyDescent="0.4">
      <c r="B878" s="20"/>
      <c r="C878" s="164" t="s">
        <v>151</v>
      </c>
      <c r="D878" s="164" t="s">
        <v>140</v>
      </c>
      <c r="E878" s="21"/>
      <c r="F878" s="21"/>
      <c r="G878" s="21"/>
      <c r="H878" s="21"/>
      <c r="I878" s="21"/>
      <c r="J878" s="21"/>
      <c r="K878" s="21"/>
      <c r="L878" s="35"/>
    </row>
    <row r="879" spans="2:12" s="4" customFormat="1" outlineLevel="1" x14ac:dyDescent="0.4">
      <c r="B879" s="20"/>
      <c r="C879" s="138"/>
      <c r="D879" s="135"/>
      <c r="E879" s="21"/>
      <c r="F879" s="21"/>
      <c r="G879" s="21"/>
      <c r="H879" s="21"/>
      <c r="I879" s="21"/>
      <c r="J879" s="21"/>
      <c r="K879" s="21"/>
      <c r="L879" s="35"/>
    </row>
    <row r="880" spans="2:12" s="4" customFormat="1" outlineLevel="1" x14ac:dyDescent="0.4">
      <c r="B880" s="20"/>
      <c r="C880" s="21"/>
      <c r="D880" s="21"/>
      <c r="E880" s="21"/>
      <c r="F880" s="21"/>
      <c r="G880" s="21"/>
      <c r="H880" s="21"/>
      <c r="I880" s="21"/>
      <c r="J880" s="21"/>
      <c r="K880" s="21"/>
      <c r="L880" s="35"/>
    </row>
    <row r="881" spans="2:12" s="4" customFormat="1" outlineLevel="1" x14ac:dyDescent="0.4">
      <c r="B881" s="20"/>
      <c r="C881" s="25" t="s">
        <v>180</v>
      </c>
      <c r="D881" s="21"/>
      <c r="E881" s="21"/>
      <c r="F881" s="21"/>
      <c r="G881" s="21"/>
      <c r="H881" s="21"/>
      <c r="I881" s="21"/>
      <c r="J881" s="21"/>
      <c r="K881" s="21"/>
      <c r="L881" s="35"/>
    </row>
    <row r="882" spans="2:12" s="4" customFormat="1" outlineLevel="1" x14ac:dyDescent="0.4">
      <c r="B882" s="20"/>
      <c r="C882" s="164" t="s">
        <v>151</v>
      </c>
      <c r="D882" s="164" t="s">
        <v>140</v>
      </c>
      <c r="E882" s="21"/>
      <c r="F882" s="21"/>
      <c r="G882" s="21"/>
      <c r="H882" s="21"/>
      <c r="I882" s="21"/>
      <c r="J882" s="21"/>
      <c r="K882" s="21"/>
      <c r="L882" s="35"/>
    </row>
    <row r="883" spans="2:12" s="4" customFormat="1" outlineLevel="1" x14ac:dyDescent="0.4">
      <c r="B883" s="20"/>
      <c r="C883" s="138"/>
      <c r="D883" s="135"/>
      <c r="E883" s="21"/>
      <c r="F883" s="21"/>
      <c r="G883" s="21"/>
      <c r="H883" s="21"/>
      <c r="I883" s="21"/>
      <c r="J883" s="21"/>
      <c r="K883" s="21"/>
      <c r="L883" s="35"/>
    </row>
    <row r="884" spans="2:12" s="4" customFormat="1" ht="12.75" customHeight="1" outlineLevel="1" x14ac:dyDescent="0.4">
      <c r="B884" s="28"/>
      <c r="C884" s="29"/>
      <c r="D884" s="29"/>
      <c r="E884" s="29"/>
      <c r="F884" s="29"/>
      <c r="G884" s="29"/>
      <c r="H884" s="29"/>
      <c r="I884" s="29"/>
      <c r="J884" s="29"/>
      <c r="K884" s="29"/>
      <c r="L884" s="60"/>
    </row>
    <row r="885" spans="2:12" s="4" customFormat="1" x14ac:dyDescent="0.4"/>
    <row r="886" spans="2:12" s="4" customFormat="1" hidden="1" x14ac:dyDescent="0.4"/>
    <row r="887" spans="2:12" s="4" customFormat="1" ht="16.5" hidden="1" customHeight="1" x14ac:dyDescent="0.4"/>
    <row r="888" spans="2:12" s="4" customFormat="1" ht="16.5" hidden="1" customHeight="1" x14ac:dyDescent="0.4"/>
    <row r="889" spans="2:12" s="4" customFormat="1" ht="16.5" hidden="1" customHeight="1" x14ac:dyDescent="0.4"/>
    <row r="890" spans="2:12" s="4" customFormat="1" ht="16.5" hidden="1" customHeight="1" x14ac:dyDescent="0.4"/>
    <row r="891" spans="2:12" s="4" customFormat="1" ht="16.5" hidden="1" customHeight="1" x14ac:dyDescent="0.4"/>
    <row r="892" spans="2:12" s="4" customFormat="1" ht="16.5" hidden="1" customHeight="1" x14ac:dyDescent="0.4"/>
    <row r="893" spans="2:12" s="4" customFormat="1" ht="16.5" hidden="1" customHeight="1" x14ac:dyDescent="0.4"/>
    <row r="894" spans="2:12" s="4" customFormat="1" ht="16.5" hidden="1" customHeight="1" x14ac:dyDescent="0.4"/>
    <row r="895" spans="2:12" s="4" customFormat="1" ht="16.5" hidden="1" customHeight="1" x14ac:dyDescent="0.4"/>
    <row r="896" spans="2:12" s="4" customFormat="1" ht="16.5" hidden="1" customHeight="1" x14ac:dyDescent="0.4"/>
    <row r="897" spans="2:12" s="4" customFormat="1" ht="16.5" hidden="1" customHeight="1" x14ac:dyDescent="0.4"/>
    <row r="898" spans="2:12" s="4" customFormat="1" ht="16.5" hidden="1" customHeight="1" x14ac:dyDescent="0.4"/>
    <row r="899" spans="2:12" s="4" customFormat="1" ht="16.5" hidden="1" customHeight="1" x14ac:dyDescent="0.4"/>
    <row r="900" spans="2:12" s="4" customFormat="1" ht="16.5" hidden="1" customHeight="1" x14ac:dyDescent="0.4"/>
    <row r="901" spans="2:12" s="4" customFormat="1" ht="16.5" hidden="1" customHeight="1" x14ac:dyDescent="0.4"/>
    <row r="902" spans="2:12" s="4" customFormat="1" ht="16.5" hidden="1" customHeight="1" x14ac:dyDescent="0.4"/>
    <row r="903" spans="2:12" s="4" customFormat="1" hidden="1" x14ac:dyDescent="0.4"/>
    <row r="904" spans="2:12" s="4" customFormat="1" hidden="1" x14ac:dyDescent="0.4"/>
    <row r="905" spans="2:12" s="4" customFormat="1" hidden="1" x14ac:dyDescent="0.4"/>
    <row r="906" spans="2:12" s="4" customFormat="1" hidden="1" x14ac:dyDescent="0.4"/>
    <row r="907" spans="2:12" s="4" customFormat="1" hidden="1" x14ac:dyDescent="0.4"/>
    <row r="908" spans="2:12" s="4" customFormat="1" ht="19.2" x14ac:dyDescent="0.45">
      <c r="B908" s="754" t="str">
        <f>"Transport to Plant"&amp;" - "&amp;Feedstocks!C32</f>
        <v xml:space="preserve">Transport to Plant - </v>
      </c>
      <c r="C908" s="755"/>
      <c r="D908" s="755"/>
      <c r="E908" s="755"/>
      <c r="F908" s="755"/>
      <c r="G908" s="755"/>
      <c r="H908" s="755"/>
      <c r="I908" s="755"/>
      <c r="J908" s="755"/>
      <c r="K908" s="755"/>
      <c r="L908" s="756"/>
    </row>
    <row r="909" spans="2:12" s="4" customFormat="1" outlineLevel="1" x14ac:dyDescent="0.4">
      <c r="B909" s="17"/>
      <c r="C909" s="18"/>
      <c r="D909" s="19"/>
      <c r="E909" s="19"/>
      <c r="F909" s="19"/>
      <c r="G909" s="19"/>
      <c r="H909" s="19"/>
      <c r="I909" s="19"/>
      <c r="J909" s="19"/>
      <c r="K909" s="19"/>
      <c r="L909" s="50"/>
    </row>
    <row r="910" spans="2:12" s="4" customFormat="1" outlineLevel="1" x14ac:dyDescent="0.4">
      <c r="B910" s="20"/>
      <c r="C910" s="174" t="s">
        <v>87</v>
      </c>
      <c r="D910" s="778" t="str">
        <f>IF(Feedstocks!$C$32&gt;0,Feedstocks!$C$32,"")</f>
        <v/>
      </c>
      <c r="E910" s="778"/>
      <c r="F910" s="778"/>
      <c r="G910" s="1"/>
      <c r="H910" s="303" t="s">
        <v>122</v>
      </c>
      <c r="I910" s="47"/>
      <c r="J910" s="47"/>
      <c r="K910" s="61"/>
      <c r="L910" s="35"/>
    </row>
    <row r="911" spans="2:12" s="4" customFormat="1" outlineLevel="1" x14ac:dyDescent="0.4">
      <c r="B911" s="20"/>
      <c r="C911" s="1"/>
      <c r="D911" s="1"/>
      <c r="E911" s="1"/>
      <c r="F911" s="1"/>
      <c r="G911" s="76"/>
      <c r="H911" s="43"/>
      <c r="I911" s="36"/>
      <c r="J911" s="164" t="s">
        <v>124</v>
      </c>
      <c r="K911" s="44"/>
      <c r="L911" s="35"/>
    </row>
    <row r="912" spans="2:12" s="12" customFormat="1" ht="15" outlineLevel="1" x14ac:dyDescent="0.35">
      <c r="B912" s="20"/>
      <c r="C912" s="1"/>
      <c r="D912" s="1"/>
      <c r="E912" s="1"/>
      <c r="F912" s="1"/>
      <c r="G912" s="1"/>
      <c r="H912" s="43"/>
      <c r="I912" s="164" t="s">
        <v>125</v>
      </c>
      <c r="J912" s="52" t="str">
        <f>IFERROR((J915/(('Digestion &amp; outputs'!$G$35/1000)))*'Digestion &amp; outputs'!$K$23,"")</f>
        <v/>
      </c>
      <c r="K912" s="44"/>
      <c r="L912" s="54"/>
    </row>
    <row r="913" spans="2:12" s="4" customFormat="1" outlineLevel="1" x14ac:dyDescent="0.4">
      <c r="B913" s="20"/>
      <c r="C913" s="164" t="s">
        <v>163</v>
      </c>
      <c r="D913" s="134" t="s">
        <v>164</v>
      </c>
      <c r="E913" s="1"/>
      <c r="F913" s="1"/>
      <c r="G913" s="1"/>
      <c r="H913" s="41"/>
      <c r="I913" s="34"/>
      <c r="J913" s="34"/>
      <c r="K913" s="37"/>
      <c r="L913" s="35"/>
    </row>
    <row r="914" spans="2:12" s="4" customFormat="1" outlineLevel="1" x14ac:dyDescent="0.4">
      <c r="B914" s="20"/>
      <c r="C914" s="164" t="s">
        <v>165</v>
      </c>
      <c r="D914" s="143"/>
      <c r="E914" s="1"/>
      <c r="F914" s="1"/>
      <c r="G914" s="1"/>
      <c r="H914" s="41"/>
      <c r="I914" s="36"/>
      <c r="J914" s="164" t="s">
        <v>141</v>
      </c>
      <c r="K914" s="37"/>
      <c r="L914" s="35"/>
    </row>
    <row r="915" spans="2:12" s="4" customFormat="1" outlineLevel="1" x14ac:dyDescent="0.4">
      <c r="B915" s="20"/>
      <c r="C915" s="164" t="s">
        <v>160</v>
      </c>
      <c r="D915" s="134" t="s">
        <v>166</v>
      </c>
      <c r="E915" s="1"/>
      <c r="F915" s="1"/>
      <c r="G915" s="1"/>
      <c r="H915" s="42"/>
      <c r="I915" s="164" t="s">
        <v>167</v>
      </c>
      <c r="J915" s="52">
        <f>IFERROR(J920,"Insert data")</f>
        <v>0</v>
      </c>
      <c r="K915" s="62"/>
      <c r="L915" s="35"/>
    </row>
    <row r="916" spans="2:12" s="4" customFormat="1" outlineLevel="1" x14ac:dyDescent="0.4">
      <c r="B916" s="20"/>
      <c r="C916" s="21"/>
      <c r="D916" s="21"/>
      <c r="E916" s="21"/>
      <c r="F916" s="21"/>
      <c r="G916" s="21"/>
      <c r="H916" s="46"/>
      <c r="I916" s="58"/>
      <c r="J916" s="58"/>
      <c r="K916" s="59"/>
      <c r="L916" s="35"/>
    </row>
    <row r="917" spans="2:12" s="4" customFormat="1" outlineLevel="1" x14ac:dyDescent="0.4">
      <c r="B917" s="20"/>
      <c r="C917" s="25" t="s">
        <v>168</v>
      </c>
      <c r="D917" s="21"/>
      <c r="E917" s="21"/>
      <c r="F917" s="21"/>
      <c r="G917" s="21"/>
      <c r="H917" s="21"/>
      <c r="I917" s="21"/>
      <c r="J917" s="21"/>
      <c r="K917" s="21"/>
      <c r="L917" s="35"/>
    </row>
    <row r="918" spans="2:12" s="14" customFormat="1" ht="30.6" outlineLevel="1" x14ac:dyDescent="0.4">
      <c r="B918" s="23"/>
      <c r="C918" s="166" t="s">
        <v>131</v>
      </c>
      <c r="D918" s="166" t="s">
        <v>169</v>
      </c>
      <c r="E918" s="166" t="s">
        <v>170</v>
      </c>
      <c r="F918" s="166" t="s">
        <v>171</v>
      </c>
      <c r="G918" s="24"/>
      <c r="H918" s="303" t="s">
        <v>136</v>
      </c>
      <c r="I918" s="47"/>
      <c r="J918" s="47"/>
      <c r="K918" s="45"/>
      <c r="L918" s="63"/>
    </row>
    <row r="919" spans="2:12" s="4" customFormat="1" outlineLevel="1" x14ac:dyDescent="0.4">
      <c r="B919" s="20"/>
      <c r="C919" s="138" t="s">
        <v>96</v>
      </c>
      <c r="D919" s="93">
        <v>1</v>
      </c>
      <c r="E919" s="135"/>
      <c r="F919" s="31">
        <f>IFERROR(IF(OR(C919="Default",D913="No transport required"),D919,IF(ISBLANK(E919),"Insert data",E919)),"")</f>
        <v>1</v>
      </c>
      <c r="G919" s="21"/>
      <c r="H919" s="41"/>
      <c r="I919" s="36"/>
      <c r="J919" s="164" t="s">
        <v>141</v>
      </c>
      <c r="K919" s="37"/>
      <c r="L919" s="35"/>
    </row>
    <row r="920" spans="2:12" s="4" customFormat="1" outlineLevel="1" x14ac:dyDescent="0.4">
      <c r="B920" s="20"/>
      <c r="C920" s="21"/>
      <c r="D920" s="21"/>
      <c r="E920" s="692" t="str">
        <f>IF(E919&gt;1, "this should not be greater than 1", "")</f>
        <v/>
      </c>
      <c r="F920" s="21"/>
      <c r="G920" s="21"/>
      <c r="H920" s="42"/>
      <c r="I920" s="164" t="s">
        <v>172</v>
      </c>
      <c r="J920" s="52">
        <f>IF(D913="No transport required",0,IFERROR(E923*INDEX(Fuel_EFs,MATCH(D915,Fuels_for_EF,0))*D914/1000,"Insert data"))</f>
        <v>0</v>
      </c>
      <c r="K920" s="62"/>
      <c r="L920" s="35"/>
    </row>
    <row r="921" spans="2:12" s="4" customFormat="1" outlineLevel="1" x14ac:dyDescent="0.4">
      <c r="B921" s="20"/>
      <c r="C921" s="25" t="s">
        <v>173</v>
      </c>
      <c r="D921" s="21"/>
      <c r="E921" s="21"/>
      <c r="F921" s="21"/>
      <c r="G921" s="21"/>
      <c r="H921" s="46"/>
      <c r="I921" s="58"/>
      <c r="J921" s="58"/>
      <c r="K921" s="59"/>
      <c r="L921" s="35"/>
    </row>
    <row r="922" spans="2:12" s="14" customFormat="1" outlineLevel="1" x14ac:dyDescent="0.4">
      <c r="B922" s="23"/>
      <c r="C922" s="176" t="s">
        <v>174</v>
      </c>
      <c r="D922" s="166" t="s">
        <v>175</v>
      </c>
      <c r="E922" s="166" t="s">
        <v>176</v>
      </c>
      <c r="F922" s="24"/>
      <c r="G922" s="24"/>
      <c r="H922" s="4"/>
      <c r="I922" s="4"/>
      <c r="J922" s="4"/>
      <c r="K922" s="4"/>
      <c r="L922" s="63"/>
    </row>
    <row r="923" spans="2:12" s="4" customFormat="1" outlineLevel="1" x14ac:dyDescent="0.4">
      <c r="B923" s="20"/>
      <c r="C923" s="138" t="s">
        <v>96</v>
      </c>
      <c r="D923" s="93">
        <f>IFERROR(INDEX(Transport_Fuel_Efficiencies,MATCH(D913,Transport_Modes,0)),"Insert data")</f>
        <v>0</v>
      </c>
      <c r="E923" s="31">
        <f>IFERROR(IF(C923="Default",D923,IF(OR(ISBLANK(E925),ISBLANK(D929),ISBLANK(D933)),"Insert data",(IF(C929="litres",(D929*(INDEX(Fuel_Densities,MATCH(D915,Fuels_for_Densities,0))/1000)*INDEX(Fuel_LHV,MATCH(D915,Fuels_for_LHV,0)))/(D933*D914),(IF(C929="m3",(D929*(INDEX(Fuel_Densities,MATCH(D915,Fuels_for_Densities,0)))*INDEX(Fuel_LHV,MATCH(D915,Fuels_for_LHV,0)))/(D933*D914),IF(C929="kg",(D929*INDEX(Fuel_LHV,MATCH(D915,Fuels_for_LHV,0)))/(D933*D914),IF(C929="tonnes",(D929*INDEX(Fuel_LHV,MATCH(D915,Fuels_for_LHV,0))*1000)/(D933*D914),IF(C929="MWh",(D929*'Reference values'!$D$47)/(D933*D914),IF(C929="kWh",(D929*'Reference values'!$D$47/1000)/(D933*D914),"Insert unit")))))))))),"")</f>
        <v>0</v>
      </c>
      <c r="F923" s="21"/>
      <c r="G923" s="21"/>
      <c r="L923" s="35"/>
    </row>
    <row r="924" spans="2:12" s="4" customFormat="1" outlineLevel="1" x14ac:dyDescent="0.4">
      <c r="B924" s="20"/>
      <c r="C924" s="21"/>
      <c r="D924" s="21"/>
      <c r="E924" s="21"/>
      <c r="F924" s="21"/>
      <c r="G924" s="21"/>
      <c r="H924" s="21"/>
      <c r="I924" s="21"/>
      <c r="J924" s="21"/>
      <c r="K924" s="21"/>
      <c r="L924" s="35"/>
    </row>
    <row r="925" spans="2:12" s="4" customFormat="1" ht="16.5" customHeight="1" outlineLevel="1" x14ac:dyDescent="0.4">
      <c r="B925" s="20"/>
      <c r="C925" s="759" t="s">
        <v>177</v>
      </c>
      <c r="D925" s="759"/>
      <c r="E925" s="135" t="s">
        <v>178</v>
      </c>
      <c r="F925" s="21"/>
      <c r="G925" s="21"/>
      <c r="L925" s="35"/>
    </row>
    <row r="926" spans="2:12" s="4" customFormat="1" ht="12.75" customHeight="1" outlineLevel="1" x14ac:dyDescent="0.4">
      <c r="B926" s="20"/>
      <c r="C926" s="21"/>
      <c r="D926" s="21"/>
      <c r="E926" s="21"/>
      <c r="F926" s="21"/>
      <c r="G926" s="21"/>
      <c r="L926" s="35"/>
    </row>
    <row r="927" spans="2:12" s="4" customFormat="1" outlineLevel="1" x14ac:dyDescent="0.4">
      <c r="B927" s="20"/>
      <c r="C927" s="25" t="str">
        <f>IF(E925="yes", "Fuel demand for outward journey",IF(E925="No","Fuel demand for full journey (outward and return)",""))</f>
        <v>Fuel demand for full journey (outward and return)</v>
      </c>
      <c r="D927" s="21"/>
      <c r="E927" s="21"/>
      <c r="F927" s="21"/>
      <c r="G927" s="21"/>
      <c r="H927" s="21"/>
      <c r="I927" s="21"/>
      <c r="J927" s="21"/>
      <c r="K927" s="21"/>
      <c r="L927" s="35"/>
    </row>
    <row r="928" spans="2:12" s="4" customFormat="1" outlineLevel="1" x14ac:dyDescent="0.4">
      <c r="B928" s="20"/>
      <c r="C928" s="164" t="s">
        <v>151</v>
      </c>
      <c r="D928" s="164" t="s">
        <v>140</v>
      </c>
      <c r="E928" s="21"/>
      <c r="F928" s="21"/>
      <c r="G928" s="21"/>
      <c r="H928" s="21"/>
      <c r="I928" s="21"/>
      <c r="J928" s="21"/>
      <c r="K928" s="21"/>
      <c r="L928" s="35"/>
    </row>
    <row r="929" spans="2:12" s="4" customFormat="1" outlineLevel="1" x14ac:dyDescent="0.4">
      <c r="B929" s="20"/>
      <c r="C929" s="138"/>
      <c r="D929" s="135"/>
      <c r="E929" s="21"/>
      <c r="F929" s="21"/>
      <c r="G929" s="21"/>
      <c r="H929" s="21"/>
      <c r="I929" s="21"/>
      <c r="J929" s="21"/>
      <c r="K929" s="21"/>
      <c r="L929" s="35"/>
    </row>
    <row r="930" spans="2:12" s="4" customFormat="1" outlineLevel="1" x14ac:dyDescent="0.4">
      <c r="B930" s="20"/>
      <c r="C930" s="21"/>
      <c r="D930" s="21"/>
      <c r="E930" s="21"/>
      <c r="F930" s="21"/>
      <c r="G930" s="21"/>
      <c r="H930" s="21"/>
      <c r="I930" s="21"/>
      <c r="J930" s="21"/>
      <c r="K930" s="21"/>
      <c r="L930" s="35"/>
    </row>
    <row r="931" spans="2:12" s="4" customFormat="1" outlineLevel="1" x14ac:dyDescent="0.4">
      <c r="B931" s="20"/>
      <c r="C931" s="25" t="s">
        <v>180</v>
      </c>
      <c r="D931" s="21"/>
      <c r="E931" s="21"/>
      <c r="F931" s="21"/>
      <c r="G931" s="21"/>
      <c r="H931" s="21"/>
      <c r="I931" s="21"/>
      <c r="J931" s="21"/>
      <c r="K931" s="21"/>
      <c r="L931" s="35"/>
    </row>
    <row r="932" spans="2:12" s="4" customFormat="1" outlineLevel="1" x14ac:dyDescent="0.4">
      <c r="B932" s="20"/>
      <c r="C932" s="164" t="s">
        <v>151</v>
      </c>
      <c r="D932" s="164" t="s">
        <v>140</v>
      </c>
      <c r="E932" s="21"/>
      <c r="F932" s="21"/>
      <c r="G932" s="21"/>
      <c r="H932" s="21"/>
      <c r="I932" s="21"/>
      <c r="J932" s="21"/>
      <c r="K932" s="21"/>
      <c r="L932" s="35"/>
    </row>
    <row r="933" spans="2:12" s="4" customFormat="1" outlineLevel="1" x14ac:dyDescent="0.4">
      <c r="B933" s="20"/>
      <c r="C933" s="138"/>
      <c r="D933" s="135"/>
      <c r="E933" s="21"/>
      <c r="F933" s="21"/>
      <c r="G933" s="21"/>
      <c r="H933" s="21"/>
      <c r="I933" s="21"/>
      <c r="J933" s="21"/>
      <c r="K933" s="21"/>
      <c r="L933" s="35"/>
    </row>
    <row r="934" spans="2:12" s="4" customFormat="1" ht="12.75" customHeight="1" outlineLevel="1" x14ac:dyDescent="0.4">
      <c r="B934" s="28"/>
      <c r="C934" s="29"/>
      <c r="D934" s="29"/>
      <c r="E934" s="29"/>
      <c r="F934" s="29"/>
      <c r="G934" s="29"/>
      <c r="H934" s="29"/>
      <c r="I934" s="29"/>
      <c r="J934" s="29"/>
      <c r="K934" s="29"/>
      <c r="L934" s="60"/>
    </row>
    <row r="935" spans="2:12" s="4" customFormat="1" x14ac:dyDescent="0.4"/>
    <row r="936" spans="2:12" s="4" customFormat="1" ht="16.5" hidden="1" customHeight="1" x14ac:dyDescent="0.4"/>
    <row r="937" spans="2:12" s="4" customFormat="1" ht="16.5" hidden="1" customHeight="1" x14ac:dyDescent="0.4"/>
    <row r="938" spans="2:12" s="4" customFormat="1" ht="16.5" hidden="1" customHeight="1" x14ac:dyDescent="0.4"/>
    <row r="939" spans="2:12" s="4" customFormat="1" ht="16.5" hidden="1" customHeight="1" x14ac:dyDescent="0.4"/>
    <row r="940" spans="2:12" s="4" customFormat="1" ht="16.5" hidden="1" customHeight="1" x14ac:dyDescent="0.4"/>
    <row r="941" spans="2:12" s="4" customFormat="1" ht="16.5" hidden="1" customHeight="1" x14ac:dyDescent="0.4"/>
    <row r="942" spans="2:12" s="4" customFormat="1" ht="16.5" hidden="1" customHeight="1" x14ac:dyDescent="0.4"/>
    <row r="943" spans="2:12" s="4" customFormat="1" ht="16.5" hidden="1" customHeight="1" x14ac:dyDescent="0.4"/>
    <row r="944" spans="2:12" s="4" customFormat="1" ht="16.5" hidden="1" customHeight="1" x14ac:dyDescent="0.4"/>
    <row r="945" spans="2:12" s="4" customFormat="1" ht="16.5" hidden="1" customHeight="1" x14ac:dyDescent="0.4"/>
    <row r="946" spans="2:12" s="4" customFormat="1" ht="16.5" hidden="1" customHeight="1" x14ac:dyDescent="0.4"/>
    <row r="947" spans="2:12" s="4" customFormat="1" ht="16.5" hidden="1" customHeight="1" x14ac:dyDescent="0.4"/>
    <row r="948" spans="2:12" s="4" customFormat="1" ht="16.5" hidden="1" customHeight="1" x14ac:dyDescent="0.4"/>
    <row r="949" spans="2:12" s="4" customFormat="1" ht="16.5" hidden="1" customHeight="1" x14ac:dyDescent="0.4"/>
    <row r="950" spans="2:12" s="4" customFormat="1" ht="16.5" hidden="1" customHeight="1" x14ac:dyDescent="0.4"/>
    <row r="951" spans="2:12" s="4" customFormat="1" hidden="1" x14ac:dyDescent="0.4"/>
    <row r="952" spans="2:12" s="4" customFormat="1" hidden="1" x14ac:dyDescent="0.4"/>
    <row r="953" spans="2:12" s="4" customFormat="1" hidden="1" x14ac:dyDescent="0.4"/>
    <row r="954" spans="2:12" s="4" customFormat="1" hidden="1" x14ac:dyDescent="0.4"/>
    <row r="955" spans="2:12" s="4" customFormat="1" hidden="1" x14ac:dyDescent="0.4"/>
    <row r="956" spans="2:12" s="4" customFormat="1" hidden="1" x14ac:dyDescent="0.4"/>
    <row r="957" spans="2:12" s="4" customFormat="1" hidden="1" x14ac:dyDescent="0.4"/>
    <row r="958" spans="2:12" s="4" customFormat="1" ht="19.2" x14ac:dyDescent="0.45">
      <c r="B958" s="754" t="str">
        <f>"Transport to Plant"&amp;" - "&amp;Feedstocks!C33</f>
        <v xml:space="preserve">Transport to Plant - </v>
      </c>
      <c r="C958" s="755"/>
      <c r="D958" s="755"/>
      <c r="E958" s="755"/>
      <c r="F958" s="755"/>
      <c r="G958" s="755"/>
      <c r="H958" s="755"/>
      <c r="I958" s="755"/>
      <c r="J958" s="755"/>
      <c r="K958" s="755"/>
      <c r="L958" s="756"/>
    </row>
    <row r="959" spans="2:12" s="4" customFormat="1" outlineLevel="1" x14ac:dyDescent="0.4">
      <c r="B959" s="17"/>
      <c r="C959" s="18"/>
      <c r="D959" s="19"/>
      <c r="E959" s="19"/>
      <c r="F959" s="19"/>
      <c r="G959" s="19"/>
      <c r="H959" s="19"/>
      <c r="I959" s="19"/>
      <c r="J959" s="19"/>
      <c r="K959" s="19"/>
      <c r="L959" s="50"/>
    </row>
    <row r="960" spans="2:12" s="4" customFormat="1" outlineLevel="1" x14ac:dyDescent="0.4">
      <c r="B960" s="20"/>
      <c r="C960" s="174" t="s">
        <v>87</v>
      </c>
      <c r="D960" s="778" t="str">
        <f>IF(Feedstocks!$C$33&gt;0,Feedstocks!$C$33,"")</f>
        <v/>
      </c>
      <c r="E960" s="778"/>
      <c r="F960" s="778"/>
      <c r="G960" s="1"/>
      <c r="H960" s="303" t="s">
        <v>122</v>
      </c>
      <c r="I960" s="47"/>
      <c r="J960" s="47"/>
      <c r="K960" s="61"/>
      <c r="L960" s="35"/>
    </row>
    <row r="961" spans="2:12" s="4" customFormat="1" outlineLevel="1" x14ac:dyDescent="0.4">
      <c r="B961" s="20"/>
      <c r="C961" s="1"/>
      <c r="D961" s="1"/>
      <c r="E961" s="1"/>
      <c r="F961" s="1"/>
      <c r="G961" s="76"/>
      <c r="H961" s="43"/>
      <c r="I961" s="36"/>
      <c r="J961" s="164" t="s">
        <v>124</v>
      </c>
      <c r="K961" s="44"/>
      <c r="L961" s="35"/>
    </row>
    <row r="962" spans="2:12" s="12" customFormat="1" ht="15" outlineLevel="1" x14ac:dyDescent="0.35">
      <c r="B962" s="20"/>
      <c r="C962" s="1"/>
      <c r="D962" s="1"/>
      <c r="E962" s="1"/>
      <c r="F962" s="1"/>
      <c r="G962" s="1"/>
      <c r="H962" s="43"/>
      <c r="I962" s="164" t="s">
        <v>125</v>
      </c>
      <c r="J962" s="52" t="str">
        <f>IFERROR((J965/(('Digestion &amp; outputs'!$G$36/1000)))*'Digestion &amp; outputs'!$K$23,"")</f>
        <v/>
      </c>
      <c r="K962" s="44"/>
      <c r="L962" s="54"/>
    </row>
    <row r="963" spans="2:12" s="4" customFormat="1" outlineLevel="1" x14ac:dyDescent="0.4">
      <c r="B963" s="20"/>
      <c r="C963" s="164" t="s">
        <v>163</v>
      </c>
      <c r="D963" s="134" t="s">
        <v>164</v>
      </c>
      <c r="E963" s="1"/>
      <c r="F963" s="1"/>
      <c r="G963" s="1"/>
      <c r="H963" s="41"/>
      <c r="I963" s="34"/>
      <c r="J963" s="34"/>
      <c r="K963" s="37"/>
      <c r="L963" s="35"/>
    </row>
    <row r="964" spans="2:12" s="4" customFormat="1" outlineLevel="1" x14ac:dyDescent="0.4">
      <c r="B964" s="20"/>
      <c r="C964" s="164" t="s">
        <v>165</v>
      </c>
      <c r="D964" s="143"/>
      <c r="E964" s="1"/>
      <c r="F964" s="1"/>
      <c r="G964" s="1"/>
      <c r="H964" s="41"/>
      <c r="I964" s="36"/>
      <c r="J964" s="164" t="s">
        <v>141</v>
      </c>
      <c r="K964" s="37"/>
      <c r="L964" s="35"/>
    </row>
    <row r="965" spans="2:12" s="4" customFormat="1" outlineLevel="1" x14ac:dyDescent="0.4">
      <c r="B965" s="20"/>
      <c r="C965" s="164" t="s">
        <v>160</v>
      </c>
      <c r="D965" s="134" t="s">
        <v>166</v>
      </c>
      <c r="E965" s="1"/>
      <c r="F965" s="1"/>
      <c r="G965" s="1"/>
      <c r="H965" s="42"/>
      <c r="I965" s="164" t="s">
        <v>167</v>
      </c>
      <c r="J965" s="52">
        <f>IFERROR(J970,"Insert data")</f>
        <v>0</v>
      </c>
      <c r="K965" s="62"/>
      <c r="L965" s="35"/>
    </row>
    <row r="966" spans="2:12" s="4" customFormat="1" outlineLevel="1" x14ac:dyDescent="0.4">
      <c r="B966" s="20"/>
      <c r="C966" s="21"/>
      <c r="D966" s="21"/>
      <c r="E966" s="21"/>
      <c r="F966" s="21"/>
      <c r="G966" s="21"/>
      <c r="H966" s="46"/>
      <c r="I966" s="58"/>
      <c r="J966" s="58"/>
      <c r="K966" s="59"/>
      <c r="L966" s="35"/>
    </row>
    <row r="967" spans="2:12" s="4" customFormat="1" outlineLevel="1" x14ac:dyDescent="0.4">
      <c r="B967" s="20"/>
      <c r="C967" s="25" t="s">
        <v>168</v>
      </c>
      <c r="D967" s="21"/>
      <c r="E967" s="21"/>
      <c r="F967" s="21"/>
      <c r="G967" s="21"/>
      <c r="H967" s="21"/>
      <c r="I967" s="21"/>
      <c r="J967" s="21"/>
      <c r="K967" s="21"/>
      <c r="L967" s="35"/>
    </row>
    <row r="968" spans="2:12" s="14" customFormat="1" ht="30.6" outlineLevel="1" x14ac:dyDescent="0.4">
      <c r="B968" s="23"/>
      <c r="C968" s="166" t="s">
        <v>131</v>
      </c>
      <c r="D968" s="166" t="s">
        <v>169</v>
      </c>
      <c r="E968" s="166" t="s">
        <v>170</v>
      </c>
      <c r="F968" s="166" t="s">
        <v>171</v>
      </c>
      <c r="G968" s="24"/>
      <c r="H968" s="303" t="s">
        <v>136</v>
      </c>
      <c r="I968" s="47"/>
      <c r="J968" s="47"/>
      <c r="K968" s="45"/>
      <c r="L968" s="63"/>
    </row>
    <row r="969" spans="2:12" s="4" customFormat="1" outlineLevel="1" x14ac:dyDescent="0.4">
      <c r="B969" s="20"/>
      <c r="C969" s="138" t="s">
        <v>96</v>
      </c>
      <c r="D969" s="93">
        <v>1</v>
      </c>
      <c r="E969" s="135"/>
      <c r="F969" s="31">
        <f>IFERROR(IF(OR(C969="Default",D963="No transport required"),D969,IF(ISBLANK(E969),"Insert data",E969)),"")</f>
        <v>1</v>
      </c>
      <c r="G969" s="21"/>
      <c r="H969" s="41"/>
      <c r="I969" s="36"/>
      <c r="J969" s="164" t="s">
        <v>141</v>
      </c>
      <c r="K969" s="37"/>
      <c r="L969" s="35"/>
    </row>
    <row r="970" spans="2:12" s="4" customFormat="1" outlineLevel="1" x14ac:dyDescent="0.4">
      <c r="B970" s="20"/>
      <c r="C970" s="21"/>
      <c r="D970" s="21"/>
      <c r="E970" s="692" t="str">
        <f>IF(E969&gt;1, "this should not be greater than 1", "")</f>
        <v/>
      </c>
      <c r="F970" s="21"/>
      <c r="G970" s="21"/>
      <c r="H970" s="42"/>
      <c r="I970" s="164" t="s">
        <v>172</v>
      </c>
      <c r="J970" s="52">
        <f>IF(D963="No transport required",0,IFERROR(E973*INDEX(Fuel_EFs,MATCH(D965,Fuels_for_EF,0))*D964/1000,"Insert data"))</f>
        <v>0</v>
      </c>
      <c r="K970" s="62"/>
      <c r="L970" s="35"/>
    </row>
    <row r="971" spans="2:12" s="4" customFormat="1" outlineLevel="1" x14ac:dyDescent="0.4">
      <c r="B971" s="20"/>
      <c r="C971" s="25" t="s">
        <v>173</v>
      </c>
      <c r="D971" s="21"/>
      <c r="E971" s="21"/>
      <c r="F971" s="21"/>
      <c r="G971" s="21"/>
      <c r="H971" s="46"/>
      <c r="I971" s="58"/>
      <c r="J971" s="58"/>
      <c r="K971" s="59"/>
      <c r="L971" s="35"/>
    </row>
    <row r="972" spans="2:12" s="14" customFormat="1" outlineLevel="1" x14ac:dyDescent="0.4">
      <c r="B972" s="23"/>
      <c r="C972" s="176" t="s">
        <v>174</v>
      </c>
      <c r="D972" s="166" t="s">
        <v>175</v>
      </c>
      <c r="E972" s="166" t="s">
        <v>176</v>
      </c>
      <c r="F972" s="24"/>
      <c r="G972" s="24"/>
      <c r="H972" s="4"/>
      <c r="I972" s="4"/>
      <c r="J972" s="4"/>
      <c r="K972" s="4"/>
      <c r="L972" s="63"/>
    </row>
    <row r="973" spans="2:12" s="4" customFormat="1" outlineLevel="1" x14ac:dyDescent="0.4">
      <c r="B973" s="20"/>
      <c r="C973" s="138" t="s">
        <v>96</v>
      </c>
      <c r="D973" s="93">
        <f>IFERROR(INDEX(Transport_Fuel_Efficiencies,MATCH(D963,Transport_Modes,0)),"Insert data")</f>
        <v>0</v>
      </c>
      <c r="E973" s="31">
        <f>IFERROR(IF(C973="Default",D973,IF(OR(ISBLANK(E975),ISBLANK(D979),ISBLANK(D983)),"Insert data",(IF(C979="litres",(D979*(INDEX(Fuel_Densities,MATCH(D965,Fuels_for_Densities,0))/1000)*INDEX(Fuel_LHV,MATCH(D965,Fuels_for_LHV,0)))/(D983*D964),(IF(C979="m3",(D979*(INDEX(Fuel_Densities,MATCH(D965,Fuels_for_Densities,0)))*INDEX(Fuel_LHV,MATCH(D965,Fuels_for_LHV,0)))/(D983*D964),IF(C979="kg",(D979*INDEX(Fuel_LHV,MATCH(D965,Fuels_for_LHV,0)))/(D983*D964),IF(C979="tonnes",(D979*INDEX(Fuel_LHV,MATCH(D965,Fuels_for_LHV,0))*1000)/(D983*D964),IF(C979="MWh",(D979*'Reference values'!$D$47)/(D983*D964),IF(C979="kWh",(D979*'Reference values'!$D$47/1000)/(D983*D964),"Insert unit")))))))))),"")</f>
        <v>0</v>
      </c>
      <c r="F973" s="21"/>
      <c r="G973" s="21"/>
      <c r="L973" s="35"/>
    </row>
    <row r="974" spans="2:12" s="4" customFormat="1" outlineLevel="1" x14ac:dyDescent="0.4">
      <c r="B974" s="20"/>
      <c r="C974" s="21"/>
      <c r="D974" s="21"/>
      <c r="E974" s="21"/>
      <c r="F974" s="21"/>
      <c r="G974" s="21"/>
      <c r="H974" s="21"/>
      <c r="I974" s="21"/>
      <c r="J974" s="21"/>
      <c r="K974" s="21"/>
      <c r="L974" s="35"/>
    </row>
    <row r="975" spans="2:12" s="4" customFormat="1" ht="16.5" customHeight="1" outlineLevel="1" x14ac:dyDescent="0.4">
      <c r="B975" s="20"/>
      <c r="C975" s="759" t="s">
        <v>177</v>
      </c>
      <c r="D975" s="759"/>
      <c r="E975" s="135" t="s">
        <v>178</v>
      </c>
      <c r="F975" s="21"/>
      <c r="G975" s="21"/>
      <c r="L975" s="35"/>
    </row>
    <row r="976" spans="2:12" s="4" customFormat="1" ht="12.75" customHeight="1" outlineLevel="1" x14ac:dyDescent="0.4">
      <c r="B976" s="20"/>
      <c r="C976" s="21"/>
      <c r="D976" s="21"/>
      <c r="E976" s="21"/>
      <c r="F976" s="21"/>
      <c r="G976" s="21"/>
      <c r="L976" s="35"/>
    </row>
    <row r="977" spans="2:12" s="4" customFormat="1" outlineLevel="1" x14ac:dyDescent="0.4">
      <c r="B977" s="20"/>
      <c r="C977" s="25" t="str">
        <f>IF(E975="yes", "Fuel demand for outward journey",IF(E975="No","Fuel demand for full journey (outward and return)",""))</f>
        <v>Fuel demand for full journey (outward and return)</v>
      </c>
      <c r="D977" s="21"/>
      <c r="E977" s="21"/>
      <c r="F977" s="21"/>
      <c r="G977" s="21"/>
      <c r="H977" s="21"/>
      <c r="I977" s="21"/>
      <c r="J977" s="21"/>
      <c r="K977" s="21"/>
      <c r="L977" s="35"/>
    </row>
    <row r="978" spans="2:12" s="4" customFormat="1" outlineLevel="1" x14ac:dyDescent="0.4">
      <c r="B978" s="20"/>
      <c r="C978" s="164" t="s">
        <v>151</v>
      </c>
      <c r="D978" s="164" t="s">
        <v>140</v>
      </c>
      <c r="E978" s="21"/>
      <c r="F978" s="21"/>
      <c r="G978" s="21"/>
      <c r="H978" s="21"/>
      <c r="I978" s="21"/>
      <c r="J978" s="21"/>
      <c r="K978" s="21"/>
      <c r="L978" s="35"/>
    </row>
    <row r="979" spans="2:12" s="4" customFormat="1" outlineLevel="1" x14ac:dyDescent="0.4">
      <c r="B979" s="20"/>
      <c r="C979" s="138"/>
      <c r="D979" s="135"/>
      <c r="E979" s="21"/>
      <c r="F979" s="21"/>
      <c r="G979" s="21"/>
      <c r="H979" s="21"/>
      <c r="I979" s="21"/>
      <c r="J979" s="21"/>
      <c r="K979" s="21"/>
      <c r="L979" s="35"/>
    </row>
    <row r="980" spans="2:12" s="4" customFormat="1" outlineLevel="1" x14ac:dyDescent="0.4">
      <c r="B980" s="20"/>
      <c r="C980" s="21"/>
      <c r="D980" s="21"/>
      <c r="E980" s="21"/>
      <c r="F980" s="21"/>
      <c r="G980" s="21"/>
      <c r="H980" s="21"/>
      <c r="I980" s="21"/>
      <c r="J980" s="21"/>
      <c r="K980" s="21"/>
      <c r="L980" s="35"/>
    </row>
    <row r="981" spans="2:12" s="4" customFormat="1" outlineLevel="1" x14ac:dyDescent="0.4">
      <c r="B981" s="20"/>
      <c r="C981" s="25" t="s">
        <v>180</v>
      </c>
      <c r="D981" s="21"/>
      <c r="E981" s="21"/>
      <c r="F981" s="21"/>
      <c r="G981" s="21"/>
      <c r="H981" s="21"/>
      <c r="I981" s="21"/>
      <c r="J981" s="21"/>
      <c r="K981" s="21"/>
      <c r="L981" s="35"/>
    </row>
    <row r="982" spans="2:12" s="4" customFormat="1" outlineLevel="1" x14ac:dyDescent="0.4">
      <c r="B982" s="20"/>
      <c r="C982" s="164" t="s">
        <v>151</v>
      </c>
      <c r="D982" s="164" t="s">
        <v>140</v>
      </c>
      <c r="E982" s="21"/>
      <c r="F982" s="21"/>
      <c r="G982" s="21"/>
      <c r="H982" s="21"/>
      <c r="I982" s="21"/>
      <c r="J982" s="21"/>
      <c r="K982" s="21"/>
      <c r="L982" s="35"/>
    </row>
    <row r="983" spans="2:12" s="4" customFormat="1" outlineLevel="1" x14ac:dyDescent="0.4">
      <c r="B983" s="20"/>
      <c r="C983" s="138"/>
      <c r="D983" s="135"/>
      <c r="E983" s="21"/>
      <c r="F983" s="21"/>
      <c r="G983" s="21"/>
      <c r="H983" s="21"/>
      <c r="I983" s="21"/>
      <c r="J983" s="21"/>
      <c r="K983" s="21"/>
      <c r="L983" s="35"/>
    </row>
    <row r="984" spans="2:12" s="4" customFormat="1" ht="12.75" customHeight="1" outlineLevel="1" x14ac:dyDescent="0.4">
      <c r="B984" s="28"/>
      <c r="C984" s="29"/>
      <c r="D984" s="29"/>
      <c r="E984" s="29"/>
      <c r="F984" s="29"/>
      <c r="G984" s="29"/>
      <c r="H984" s="29"/>
      <c r="I984" s="29"/>
      <c r="J984" s="29"/>
      <c r="K984" s="29"/>
      <c r="L984" s="60"/>
    </row>
    <row r="985" spans="2:12" s="4" customFormat="1" ht="6.9" customHeight="1" x14ac:dyDescent="0.4"/>
    <row r="986" spans="2:12" s="4" customFormat="1" ht="0.9" hidden="1" customHeight="1" x14ac:dyDescent="0.4"/>
    <row r="987" spans="2:12" s="1" customFormat="1" ht="3.6" hidden="1" customHeight="1" x14ac:dyDescent="0.35">
      <c r="B987" s="2"/>
      <c r="C987" s="3"/>
      <c r="E987" s="2"/>
    </row>
    <row r="988" spans="2:12" s="4" customFormat="1" ht="15.9" hidden="1" customHeight="1" x14ac:dyDescent="0.4"/>
    <row r="989" spans="2:12" s="4" customFormat="1" ht="15.9" hidden="1" customHeight="1" x14ac:dyDescent="0.4"/>
    <row r="990" spans="2:12" s="4" customFormat="1" ht="15.9" hidden="1" customHeight="1" x14ac:dyDescent="0.4"/>
    <row r="991" spans="2:12" s="4" customFormat="1" hidden="1" x14ac:dyDescent="0.4"/>
    <row r="992" spans="2:12" s="4" customFormat="1" ht="15.9" hidden="1" customHeight="1" x14ac:dyDescent="0.4"/>
    <row r="993" spans="2:12" s="4" customFormat="1" ht="15.9" hidden="1" customHeight="1" x14ac:dyDescent="0.4"/>
    <row r="994" spans="2:12" s="4" customFormat="1" hidden="1" x14ac:dyDescent="0.4"/>
    <row r="995" spans="2:12" s="1" customFormat="1" ht="11.1" hidden="1" customHeight="1" x14ac:dyDescent="0.35">
      <c r="B995" s="2"/>
      <c r="C995" s="3"/>
      <c r="E995" s="2"/>
    </row>
    <row r="996" spans="2:12" s="4" customFormat="1" ht="15.9" hidden="1" customHeight="1" x14ac:dyDescent="0.4"/>
    <row r="997" spans="2:12" s="4" customFormat="1" ht="15.9" hidden="1" customHeight="1" x14ac:dyDescent="0.4"/>
    <row r="998" spans="2:12" s="4" customFormat="1" ht="15.9" hidden="1" customHeight="1" x14ac:dyDescent="0.4"/>
    <row r="999" spans="2:12" s="4" customFormat="1" hidden="1" x14ac:dyDescent="0.4"/>
    <row r="1000" spans="2:12" s="4" customFormat="1" hidden="1" x14ac:dyDescent="0.4"/>
    <row r="1001" spans="2:12" s="4" customFormat="1" hidden="1" x14ac:dyDescent="0.4"/>
    <row r="1002" spans="2:12" s="4" customFormat="1" hidden="1" x14ac:dyDescent="0.4"/>
    <row r="1003" spans="2:12" s="4" customFormat="1" hidden="1" x14ac:dyDescent="0.4"/>
    <row r="1004" spans="2:12" s="4" customFormat="1" hidden="1" x14ac:dyDescent="0.4"/>
    <row r="1005" spans="2:12" s="4" customFormat="1" hidden="1" x14ac:dyDescent="0.4"/>
    <row r="1006" spans="2:12" s="4" customFormat="1" ht="3" customHeight="1" x14ac:dyDescent="0.4"/>
    <row r="1007" spans="2:12" s="4" customFormat="1" x14ac:dyDescent="0.4"/>
    <row r="1008" spans="2:12" s="4" customFormat="1" ht="19.2" x14ac:dyDescent="0.45">
      <c r="B1008" s="754" t="str">
        <f>"Transport to Plant"&amp;" - "&amp;Feedstocks!C34</f>
        <v xml:space="preserve">Transport to Plant - </v>
      </c>
      <c r="C1008" s="755"/>
      <c r="D1008" s="755"/>
      <c r="E1008" s="755"/>
      <c r="F1008" s="755"/>
      <c r="G1008" s="755"/>
      <c r="H1008" s="755"/>
      <c r="I1008" s="755"/>
      <c r="J1008" s="755"/>
      <c r="K1008" s="755"/>
      <c r="L1008" s="756"/>
    </row>
    <row r="1009" spans="2:12" s="4" customFormat="1" outlineLevel="1" x14ac:dyDescent="0.4">
      <c r="B1009" s="17"/>
      <c r="C1009" s="18"/>
      <c r="D1009" s="19"/>
      <c r="E1009" s="19"/>
      <c r="F1009" s="19"/>
      <c r="G1009" s="19"/>
      <c r="H1009" s="19"/>
      <c r="I1009" s="19"/>
      <c r="J1009" s="19"/>
      <c r="K1009" s="19"/>
      <c r="L1009" s="50"/>
    </row>
    <row r="1010" spans="2:12" s="4" customFormat="1" outlineLevel="1" x14ac:dyDescent="0.4">
      <c r="B1010" s="20"/>
      <c r="C1010" s="174" t="s">
        <v>87</v>
      </c>
      <c r="D1010" s="778" t="str">
        <f>IF(Feedstocks!$C$34&gt;0,Feedstocks!$C$34,"")</f>
        <v/>
      </c>
      <c r="E1010" s="778"/>
      <c r="F1010" s="778"/>
      <c r="G1010" s="1"/>
      <c r="H1010" s="303" t="s">
        <v>122</v>
      </c>
      <c r="I1010" s="47"/>
      <c r="J1010" s="47"/>
      <c r="K1010" s="61"/>
      <c r="L1010" s="35"/>
    </row>
    <row r="1011" spans="2:12" s="4" customFormat="1" outlineLevel="1" x14ac:dyDescent="0.4">
      <c r="B1011" s="20"/>
      <c r="C1011" s="1"/>
      <c r="D1011" s="1"/>
      <c r="E1011" s="1"/>
      <c r="F1011" s="1"/>
      <c r="G1011" s="76"/>
      <c r="H1011" s="43"/>
      <c r="I1011" s="36"/>
      <c r="J1011" s="164" t="s">
        <v>124</v>
      </c>
      <c r="K1011" s="44"/>
      <c r="L1011" s="35"/>
    </row>
    <row r="1012" spans="2:12" s="12" customFormat="1" ht="15" outlineLevel="1" x14ac:dyDescent="0.35">
      <c r="B1012" s="20"/>
      <c r="C1012" s="1"/>
      <c r="D1012" s="1"/>
      <c r="E1012" s="1"/>
      <c r="F1012" s="1"/>
      <c r="G1012" s="1"/>
      <c r="H1012" s="43"/>
      <c r="I1012" s="164" t="s">
        <v>125</v>
      </c>
      <c r="J1012" s="52" t="str">
        <f>IFERROR((J1015/(('Digestion &amp; outputs'!$G$37/1000)))*'Digestion &amp; outputs'!$K$23,"")</f>
        <v/>
      </c>
      <c r="K1012" s="44"/>
      <c r="L1012" s="54"/>
    </row>
    <row r="1013" spans="2:12" s="4" customFormat="1" outlineLevel="1" x14ac:dyDescent="0.4">
      <c r="B1013" s="20"/>
      <c r="C1013" s="164" t="s">
        <v>163</v>
      </c>
      <c r="D1013" s="134" t="s">
        <v>164</v>
      </c>
      <c r="E1013" s="1"/>
      <c r="F1013" s="1"/>
      <c r="G1013" s="1"/>
      <c r="H1013" s="41"/>
      <c r="I1013" s="34"/>
      <c r="J1013" s="34"/>
      <c r="K1013" s="37"/>
      <c r="L1013" s="35"/>
    </row>
    <row r="1014" spans="2:12" s="4" customFormat="1" outlineLevel="1" x14ac:dyDescent="0.4">
      <c r="B1014" s="20"/>
      <c r="C1014" s="164" t="s">
        <v>165</v>
      </c>
      <c r="D1014" s="143"/>
      <c r="E1014" s="1"/>
      <c r="F1014" s="1"/>
      <c r="G1014" s="1"/>
      <c r="H1014" s="41"/>
      <c r="I1014" s="36"/>
      <c r="J1014" s="164" t="s">
        <v>141</v>
      </c>
      <c r="K1014" s="37"/>
      <c r="L1014" s="35"/>
    </row>
    <row r="1015" spans="2:12" s="4" customFormat="1" outlineLevel="1" x14ac:dyDescent="0.4">
      <c r="B1015" s="20"/>
      <c r="C1015" s="164" t="s">
        <v>160</v>
      </c>
      <c r="D1015" s="134" t="s">
        <v>166</v>
      </c>
      <c r="E1015" s="1"/>
      <c r="F1015" s="1"/>
      <c r="G1015" s="1"/>
      <c r="H1015" s="42"/>
      <c r="I1015" s="164" t="s">
        <v>167</v>
      </c>
      <c r="J1015" s="52">
        <f>IFERROR(J1020,"Insert data")</f>
        <v>0</v>
      </c>
      <c r="K1015" s="62"/>
      <c r="L1015" s="35"/>
    </row>
    <row r="1016" spans="2:12" s="4" customFormat="1" outlineLevel="1" x14ac:dyDescent="0.4">
      <c r="B1016" s="20"/>
      <c r="C1016" s="21"/>
      <c r="D1016" s="21"/>
      <c r="E1016" s="21"/>
      <c r="F1016" s="21"/>
      <c r="G1016" s="21"/>
      <c r="H1016" s="46"/>
      <c r="I1016" s="58"/>
      <c r="J1016" s="58"/>
      <c r="K1016" s="59"/>
      <c r="L1016" s="35"/>
    </row>
    <row r="1017" spans="2:12" s="4" customFormat="1" outlineLevel="1" x14ac:dyDescent="0.4">
      <c r="B1017" s="20"/>
      <c r="C1017" s="25" t="s">
        <v>168</v>
      </c>
      <c r="D1017" s="21"/>
      <c r="E1017" s="21"/>
      <c r="F1017" s="21"/>
      <c r="G1017" s="21"/>
      <c r="H1017" s="21"/>
      <c r="I1017" s="21"/>
      <c r="J1017" s="21"/>
      <c r="K1017" s="21"/>
      <c r="L1017" s="35"/>
    </row>
    <row r="1018" spans="2:12" s="14" customFormat="1" ht="30.6" outlineLevel="1" x14ac:dyDescent="0.4">
      <c r="B1018" s="23"/>
      <c r="C1018" s="166" t="s">
        <v>131</v>
      </c>
      <c r="D1018" s="166" t="s">
        <v>169</v>
      </c>
      <c r="E1018" s="166" t="s">
        <v>170</v>
      </c>
      <c r="F1018" s="166" t="s">
        <v>171</v>
      </c>
      <c r="G1018" s="24"/>
      <c r="H1018" s="303" t="s">
        <v>136</v>
      </c>
      <c r="I1018" s="47"/>
      <c r="J1018" s="47"/>
      <c r="K1018" s="45"/>
      <c r="L1018" s="63"/>
    </row>
    <row r="1019" spans="2:12" s="4" customFormat="1" outlineLevel="1" x14ac:dyDescent="0.4">
      <c r="B1019" s="20"/>
      <c r="C1019" s="138" t="s">
        <v>96</v>
      </c>
      <c r="D1019" s="93">
        <v>1</v>
      </c>
      <c r="E1019" s="135"/>
      <c r="F1019" s="31">
        <f>IFERROR(IF(OR(C1019="Default",D1013="No transport required"),D1019,IF(ISBLANK(E1019),"Insert data",E1019)),"")</f>
        <v>1</v>
      </c>
      <c r="G1019" s="21"/>
      <c r="H1019" s="41"/>
      <c r="I1019" s="36"/>
      <c r="J1019" s="164" t="s">
        <v>141</v>
      </c>
      <c r="K1019" s="37"/>
      <c r="L1019" s="35"/>
    </row>
    <row r="1020" spans="2:12" s="4" customFormat="1" outlineLevel="1" x14ac:dyDescent="0.4">
      <c r="B1020" s="20"/>
      <c r="C1020" s="21"/>
      <c r="D1020" s="21"/>
      <c r="E1020" s="692" t="str">
        <f>IF(E1019&gt;1, "this should not be greater than 1", "")</f>
        <v/>
      </c>
      <c r="F1020" s="21"/>
      <c r="G1020" s="21"/>
      <c r="H1020" s="42"/>
      <c r="I1020" s="164" t="s">
        <v>172</v>
      </c>
      <c r="J1020" s="52">
        <f>IF(D1013="No transport required",0,IFERROR(E1023*INDEX(Fuel_EFs,MATCH(D1015,Fuels_for_EF,0))*D1014/1000,"Insert data"))</f>
        <v>0</v>
      </c>
      <c r="K1020" s="62"/>
      <c r="L1020" s="35"/>
    </row>
    <row r="1021" spans="2:12" s="4" customFormat="1" outlineLevel="1" x14ac:dyDescent="0.4">
      <c r="B1021" s="20"/>
      <c r="C1021" s="25" t="s">
        <v>173</v>
      </c>
      <c r="D1021" s="21"/>
      <c r="E1021" s="21"/>
      <c r="F1021" s="21"/>
      <c r="G1021" s="21"/>
      <c r="H1021" s="46"/>
      <c r="I1021" s="58"/>
      <c r="J1021" s="58"/>
      <c r="K1021" s="59"/>
      <c r="L1021" s="35"/>
    </row>
    <row r="1022" spans="2:12" s="14" customFormat="1" outlineLevel="1" x14ac:dyDescent="0.4">
      <c r="B1022" s="23"/>
      <c r="C1022" s="176" t="s">
        <v>174</v>
      </c>
      <c r="D1022" s="166" t="s">
        <v>175</v>
      </c>
      <c r="E1022" s="166" t="s">
        <v>176</v>
      </c>
      <c r="F1022" s="24"/>
      <c r="G1022" s="24"/>
      <c r="H1022" s="4"/>
      <c r="I1022" s="4"/>
      <c r="J1022" s="4"/>
      <c r="K1022" s="4"/>
      <c r="L1022" s="63"/>
    </row>
    <row r="1023" spans="2:12" s="4" customFormat="1" outlineLevel="1" x14ac:dyDescent="0.4">
      <c r="B1023" s="20"/>
      <c r="C1023" s="138" t="s">
        <v>96</v>
      </c>
      <c r="D1023" s="93">
        <f>IFERROR(INDEX(Transport_Fuel_Efficiencies,MATCH(D1013,Transport_Modes,0)),"Insert data")</f>
        <v>0</v>
      </c>
      <c r="E1023" s="31">
        <f>IFERROR(IF(C1023="Default",D1023,IF(OR(ISBLANK(E1025),ISBLANK(D1029),ISBLANK(D1033)),"Insert data",(IF(C1029="litres",(D1029*(INDEX(Fuel_Densities,MATCH(D1015,Fuels_for_Densities,0))/1000)*INDEX(Fuel_LHV,MATCH(D1015,Fuels_for_LHV,0)))/(D1033*D1014),(IF(C1029="m3",(D1029*(INDEX(Fuel_Densities,MATCH(D1015,Fuels_for_Densities,0)))*INDEX(Fuel_LHV,MATCH(D1015,Fuels_for_LHV,0)))/(D1033*D1014),IF(C1029="kg",(D1029*INDEX(Fuel_LHV,MATCH(D1015,Fuels_for_LHV,0)))/(D1033*D1014),IF(C1029="tonnes",(D1029*INDEX(Fuel_LHV,MATCH(D1015,Fuels_for_LHV,0))*1000)/(D1033*D1014),IF(C1029="MWh",(D1029*'Reference values'!$D$47)/(D1033*D1014),IF(C1029="kWh",(D1029*'Reference values'!$D$47/1000)/(D1033*D1014),"Insert unit")))))))))),"")</f>
        <v>0</v>
      </c>
      <c r="F1023" s="21"/>
      <c r="G1023" s="21"/>
      <c r="L1023" s="35"/>
    </row>
    <row r="1024" spans="2:12" s="4" customFormat="1" outlineLevel="1" x14ac:dyDescent="0.4">
      <c r="B1024" s="20"/>
      <c r="C1024" s="21"/>
      <c r="D1024" s="21"/>
      <c r="E1024" s="21"/>
      <c r="F1024" s="21"/>
      <c r="G1024" s="21"/>
      <c r="H1024" s="21"/>
      <c r="I1024" s="21"/>
      <c r="J1024" s="21"/>
      <c r="K1024" s="21"/>
      <c r="L1024" s="35"/>
    </row>
    <row r="1025" spans="2:12" s="4" customFormat="1" ht="16.5" customHeight="1" outlineLevel="1" x14ac:dyDescent="0.4">
      <c r="B1025" s="20"/>
      <c r="C1025" s="759" t="s">
        <v>177</v>
      </c>
      <c r="D1025" s="759"/>
      <c r="E1025" s="135" t="s">
        <v>178</v>
      </c>
      <c r="F1025" s="21"/>
      <c r="G1025" s="21"/>
      <c r="L1025" s="35"/>
    </row>
    <row r="1026" spans="2:12" s="4" customFormat="1" ht="12.75" customHeight="1" outlineLevel="1" x14ac:dyDescent="0.4">
      <c r="B1026" s="20"/>
      <c r="C1026" s="21"/>
      <c r="D1026" s="21"/>
      <c r="E1026" s="21"/>
      <c r="F1026" s="21"/>
      <c r="G1026" s="21"/>
      <c r="L1026" s="35"/>
    </row>
    <row r="1027" spans="2:12" s="4" customFormat="1" outlineLevel="1" x14ac:dyDescent="0.4">
      <c r="B1027" s="20"/>
      <c r="C1027" s="25" t="str">
        <f>IF(E1025="yes", "Fuel demand for outward journey",IF(E1025="No","Fuel demand for full journey (outward and return)",""))</f>
        <v>Fuel demand for full journey (outward and return)</v>
      </c>
      <c r="D1027" s="21"/>
      <c r="E1027" s="21"/>
      <c r="F1027" s="21"/>
      <c r="G1027" s="21"/>
      <c r="H1027" s="21"/>
      <c r="I1027" s="21"/>
      <c r="J1027" s="21"/>
      <c r="K1027" s="21"/>
      <c r="L1027" s="35"/>
    </row>
    <row r="1028" spans="2:12" s="4" customFormat="1" outlineLevel="1" x14ac:dyDescent="0.4">
      <c r="B1028" s="20"/>
      <c r="C1028" s="164" t="s">
        <v>151</v>
      </c>
      <c r="D1028" s="164" t="s">
        <v>140</v>
      </c>
      <c r="E1028" s="21"/>
      <c r="F1028" s="21"/>
      <c r="G1028" s="21"/>
      <c r="H1028" s="21"/>
      <c r="I1028" s="21"/>
      <c r="J1028" s="21"/>
      <c r="K1028" s="21"/>
      <c r="L1028" s="35"/>
    </row>
    <row r="1029" spans="2:12" s="4" customFormat="1" outlineLevel="1" x14ac:dyDescent="0.4">
      <c r="B1029" s="20"/>
      <c r="C1029" s="138"/>
      <c r="D1029" s="135"/>
      <c r="E1029" s="21"/>
      <c r="F1029" s="21"/>
      <c r="G1029" s="21"/>
      <c r="H1029" s="21"/>
      <c r="I1029" s="21"/>
      <c r="J1029" s="21"/>
      <c r="K1029" s="21"/>
      <c r="L1029" s="35"/>
    </row>
    <row r="1030" spans="2:12" s="4" customFormat="1" outlineLevel="1" x14ac:dyDescent="0.4">
      <c r="B1030" s="20"/>
      <c r="C1030" s="21"/>
      <c r="D1030" s="21"/>
      <c r="E1030" s="21"/>
      <c r="F1030" s="21"/>
      <c r="G1030" s="21"/>
      <c r="H1030" s="21"/>
      <c r="I1030" s="21"/>
      <c r="J1030" s="21"/>
      <c r="K1030" s="21"/>
      <c r="L1030" s="35"/>
    </row>
    <row r="1031" spans="2:12" s="4" customFormat="1" outlineLevel="1" x14ac:dyDescent="0.4">
      <c r="B1031" s="20"/>
      <c r="C1031" s="25" t="s">
        <v>180</v>
      </c>
      <c r="D1031" s="21"/>
      <c r="E1031" s="21"/>
      <c r="F1031" s="21"/>
      <c r="G1031" s="21"/>
      <c r="H1031" s="21"/>
      <c r="I1031" s="21"/>
      <c r="J1031" s="21"/>
      <c r="K1031" s="21"/>
      <c r="L1031" s="35"/>
    </row>
    <row r="1032" spans="2:12" s="4" customFormat="1" outlineLevel="1" x14ac:dyDescent="0.4">
      <c r="B1032" s="20"/>
      <c r="C1032" s="164" t="s">
        <v>151</v>
      </c>
      <c r="D1032" s="164" t="s">
        <v>140</v>
      </c>
      <c r="E1032" s="21"/>
      <c r="F1032" s="21"/>
      <c r="G1032" s="21"/>
      <c r="H1032" s="21"/>
      <c r="I1032" s="21"/>
      <c r="J1032" s="21"/>
      <c r="K1032" s="21"/>
      <c r="L1032" s="35"/>
    </row>
    <row r="1033" spans="2:12" s="4" customFormat="1" outlineLevel="1" x14ac:dyDescent="0.4">
      <c r="B1033" s="20"/>
      <c r="C1033" s="138"/>
      <c r="D1033" s="135"/>
      <c r="E1033" s="21"/>
      <c r="F1033" s="21"/>
      <c r="G1033" s="21"/>
      <c r="H1033" s="21"/>
      <c r="I1033" s="21"/>
      <c r="J1033" s="21"/>
      <c r="K1033" s="21"/>
      <c r="L1033" s="35"/>
    </row>
    <row r="1034" spans="2:12" s="4" customFormat="1" ht="12.75" customHeight="1" outlineLevel="1" x14ac:dyDescent="0.4">
      <c r="B1034" s="28"/>
      <c r="C1034" s="29"/>
      <c r="D1034" s="29"/>
      <c r="E1034" s="29"/>
      <c r="F1034" s="29"/>
      <c r="G1034" s="29"/>
      <c r="H1034" s="29"/>
      <c r="I1034" s="29"/>
      <c r="J1034" s="29"/>
      <c r="K1034" s="29"/>
      <c r="L1034" s="60"/>
    </row>
    <row r="1035" spans="2:12" s="4" customFormat="1" ht="5.4" customHeight="1" x14ac:dyDescent="0.4"/>
    <row r="1036" spans="2:12" s="4" customFormat="1" ht="9.6" hidden="1" customHeight="1" x14ac:dyDescent="0.4"/>
    <row r="1037" spans="2:12" s="1" customFormat="1" ht="11.1" hidden="1" customHeight="1" x14ac:dyDescent="0.35">
      <c r="B1037" s="2"/>
      <c r="C1037" s="3"/>
      <c r="E1037" s="2"/>
    </row>
    <row r="1038" spans="2:12" s="4" customFormat="1" ht="3.9" hidden="1" customHeight="1" x14ac:dyDescent="0.4"/>
    <row r="1039" spans="2:12" s="4" customFormat="1" ht="15.9" hidden="1" customHeight="1" x14ac:dyDescent="0.4"/>
    <row r="1040" spans="2:12" s="4" customFormat="1" ht="15.9" hidden="1" customHeight="1" x14ac:dyDescent="0.4"/>
    <row r="1041" spans="2:5" s="4" customFormat="1" hidden="1" x14ac:dyDescent="0.4"/>
    <row r="1042" spans="2:5" s="4" customFormat="1" ht="15.9" hidden="1" customHeight="1" x14ac:dyDescent="0.4"/>
    <row r="1043" spans="2:5" s="4" customFormat="1" ht="15.9" hidden="1" customHeight="1" x14ac:dyDescent="0.4"/>
    <row r="1044" spans="2:5" s="4" customFormat="1" hidden="1" x14ac:dyDescent="0.4"/>
    <row r="1045" spans="2:5" s="1" customFormat="1" ht="11.1" hidden="1" customHeight="1" x14ac:dyDescent="0.35">
      <c r="B1045" s="2"/>
      <c r="C1045" s="3"/>
      <c r="E1045" s="2"/>
    </row>
    <row r="1046" spans="2:5" s="4" customFormat="1" ht="15.9" hidden="1" customHeight="1" x14ac:dyDescent="0.4"/>
    <row r="1047" spans="2:5" s="4" customFormat="1" ht="9.6" hidden="1" customHeight="1" x14ac:dyDescent="0.4"/>
    <row r="1048" spans="2:5" s="4" customFormat="1" ht="15.9" hidden="1" customHeight="1" x14ac:dyDescent="0.4"/>
    <row r="1049" spans="2:5" s="4" customFormat="1" hidden="1" x14ac:dyDescent="0.4"/>
    <row r="1050" spans="2:5" s="4" customFormat="1" hidden="1" x14ac:dyDescent="0.4"/>
    <row r="1051" spans="2:5" s="4" customFormat="1" hidden="1" x14ac:dyDescent="0.4"/>
    <row r="1052" spans="2:5" s="4" customFormat="1" hidden="1" x14ac:dyDescent="0.4"/>
    <row r="1053" spans="2:5" s="4" customFormat="1" hidden="1" x14ac:dyDescent="0.4"/>
    <row r="1054" spans="2:5" s="4" customFormat="1" hidden="1" x14ac:dyDescent="0.4"/>
    <row r="1055" spans="2:5" s="4" customFormat="1" hidden="1" x14ac:dyDescent="0.4"/>
    <row r="1056" spans="2:5" s="4" customFormat="1" hidden="1" x14ac:dyDescent="0.4"/>
    <row r="1057" spans="2:12" s="4" customFormat="1" x14ac:dyDescent="0.4"/>
    <row r="1058" spans="2:12" s="4" customFormat="1" ht="19.2" x14ac:dyDescent="0.45">
      <c r="B1058" s="754" t="str">
        <f>"Transport to Plant"&amp;" - "&amp;Feedstocks!C35</f>
        <v xml:space="preserve">Transport to Plant - </v>
      </c>
      <c r="C1058" s="755"/>
      <c r="D1058" s="755"/>
      <c r="E1058" s="755"/>
      <c r="F1058" s="755"/>
      <c r="G1058" s="755"/>
      <c r="H1058" s="755"/>
      <c r="I1058" s="755"/>
      <c r="J1058" s="755"/>
      <c r="K1058" s="755"/>
      <c r="L1058" s="756"/>
    </row>
    <row r="1059" spans="2:12" s="4" customFormat="1" outlineLevel="1" x14ac:dyDescent="0.4">
      <c r="B1059" s="17"/>
      <c r="C1059" s="18"/>
      <c r="D1059" s="19"/>
      <c r="E1059" s="19"/>
      <c r="F1059" s="19"/>
      <c r="G1059" s="19"/>
      <c r="H1059" s="19"/>
      <c r="I1059" s="19"/>
      <c r="J1059" s="19"/>
      <c r="K1059" s="19"/>
      <c r="L1059" s="50"/>
    </row>
    <row r="1060" spans="2:12" s="4" customFormat="1" outlineLevel="1" x14ac:dyDescent="0.4">
      <c r="B1060" s="20"/>
      <c r="C1060" s="174" t="s">
        <v>87</v>
      </c>
      <c r="D1060" s="778" t="str">
        <f>IF(Feedstocks!$C$35&gt;0,Feedstocks!$C$35,"")</f>
        <v/>
      </c>
      <c r="E1060" s="778"/>
      <c r="F1060" s="778"/>
      <c r="G1060" s="1"/>
      <c r="H1060" s="303" t="s">
        <v>122</v>
      </c>
      <c r="I1060" s="47"/>
      <c r="J1060" s="47"/>
      <c r="K1060" s="61"/>
      <c r="L1060" s="35"/>
    </row>
    <row r="1061" spans="2:12" s="4" customFormat="1" outlineLevel="1" x14ac:dyDescent="0.4">
      <c r="B1061" s="20"/>
      <c r="C1061" s="1"/>
      <c r="D1061" s="1"/>
      <c r="E1061" s="1"/>
      <c r="F1061" s="1"/>
      <c r="G1061" s="76"/>
      <c r="H1061" s="43"/>
      <c r="I1061" s="36"/>
      <c r="J1061" s="164" t="s">
        <v>124</v>
      </c>
      <c r="K1061" s="44"/>
      <c r="L1061" s="35"/>
    </row>
    <row r="1062" spans="2:12" s="12" customFormat="1" ht="15" outlineLevel="1" x14ac:dyDescent="0.35">
      <c r="B1062" s="20"/>
      <c r="C1062" s="1"/>
      <c r="D1062" s="1"/>
      <c r="E1062" s="1"/>
      <c r="F1062" s="1"/>
      <c r="G1062" s="1"/>
      <c r="H1062" s="43"/>
      <c r="I1062" s="164" t="s">
        <v>125</v>
      </c>
      <c r="J1062" s="52" t="str">
        <f>IFERROR((J1065/(('Digestion &amp; outputs'!$G$38/1000)))*'Digestion &amp; outputs'!$K$23,"")</f>
        <v/>
      </c>
      <c r="K1062" s="44"/>
      <c r="L1062" s="54"/>
    </row>
    <row r="1063" spans="2:12" s="4" customFormat="1" outlineLevel="1" x14ac:dyDescent="0.4">
      <c r="B1063" s="20"/>
      <c r="C1063" s="164" t="s">
        <v>163</v>
      </c>
      <c r="D1063" s="134" t="s">
        <v>164</v>
      </c>
      <c r="E1063" s="1"/>
      <c r="F1063" s="1"/>
      <c r="G1063" s="1"/>
      <c r="H1063" s="41"/>
      <c r="I1063" s="34"/>
      <c r="J1063" s="34"/>
      <c r="K1063" s="37"/>
      <c r="L1063" s="35"/>
    </row>
    <row r="1064" spans="2:12" s="4" customFormat="1" outlineLevel="1" x14ac:dyDescent="0.4">
      <c r="B1064" s="20"/>
      <c r="C1064" s="164" t="s">
        <v>165</v>
      </c>
      <c r="D1064" s="143"/>
      <c r="E1064" s="1"/>
      <c r="F1064" s="1"/>
      <c r="G1064" s="1"/>
      <c r="H1064" s="41"/>
      <c r="I1064" s="36"/>
      <c r="J1064" s="164" t="s">
        <v>141</v>
      </c>
      <c r="K1064" s="37"/>
      <c r="L1064" s="35"/>
    </row>
    <row r="1065" spans="2:12" s="4" customFormat="1" outlineLevel="1" x14ac:dyDescent="0.4">
      <c r="B1065" s="20"/>
      <c r="C1065" s="164" t="s">
        <v>160</v>
      </c>
      <c r="D1065" s="134" t="s">
        <v>166</v>
      </c>
      <c r="E1065" s="1"/>
      <c r="F1065" s="1"/>
      <c r="G1065" s="1"/>
      <c r="H1065" s="42"/>
      <c r="I1065" s="164" t="s">
        <v>167</v>
      </c>
      <c r="J1065" s="52">
        <f>IFERROR(J1070,"Insert data")</f>
        <v>0</v>
      </c>
      <c r="K1065" s="62"/>
      <c r="L1065" s="35"/>
    </row>
    <row r="1066" spans="2:12" s="4" customFormat="1" outlineLevel="1" x14ac:dyDescent="0.4">
      <c r="B1066" s="20"/>
      <c r="C1066" s="21"/>
      <c r="D1066" s="21"/>
      <c r="E1066" s="21"/>
      <c r="F1066" s="21"/>
      <c r="G1066" s="21"/>
      <c r="H1066" s="46"/>
      <c r="I1066" s="58"/>
      <c r="J1066" s="58"/>
      <c r="K1066" s="59"/>
      <c r="L1066" s="35"/>
    </row>
    <row r="1067" spans="2:12" s="4" customFormat="1" outlineLevel="1" x14ac:dyDescent="0.4">
      <c r="B1067" s="20"/>
      <c r="C1067" s="25" t="s">
        <v>168</v>
      </c>
      <c r="D1067" s="21"/>
      <c r="E1067" s="21"/>
      <c r="F1067" s="21"/>
      <c r="G1067" s="21"/>
      <c r="H1067" s="21"/>
      <c r="I1067" s="21"/>
      <c r="J1067" s="21"/>
      <c r="K1067" s="21"/>
      <c r="L1067" s="35"/>
    </row>
    <row r="1068" spans="2:12" s="14" customFormat="1" ht="30.6" outlineLevel="1" x14ac:dyDescent="0.4">
      <c r="B1068" s="23"/>
      <c r="C1068" s="166" t="s">
        <v>131</v>
      </c>
      <c r="D1068" s="166" t="s">
        <v>169</v>
      </c>
      <c r="E1068" s="166" t="s">
        <v>170</v>
      </c>
      <c r="F1068" s="166" t="s">
        <v>171</v>
      </c>
      <c r="G1068" s="24"/>
      <c r="H1068" s="303" t="s">
        <v>136</v>
      </c>
      <c r="I1068" s="47"/>
      <c r="J1068" s="47"/>
      <c r="K1068" s="45"/>
      <c r="L1068" s="63"/>
    </row>
    <row r="1069" spans="2:12" s="4" customFormat="1" outlineLevel="1" x14ac:dyDescent="0.4">
      <c r="B1069" s="20"/>
      <c r="C1069" s="138" t="s">
        <v>96</v>
      </c>
      <c r="D1069" s="93">
        <v>1</v>
      </c>
      <c r="E1069" s="135"/>
      <c r="F1069" s="31">
        <f>IFERROR(IF(OR(C1069="Default",D1063="No transport required"),D1069,IF(ISBLANK(E1069),"Insert data",E1069)),"")</f>
        <v>1</v>
      </c>
      <c r="G1069" s="21"/>
      <c r="H1069" s="41"/>
      <c r="I1069" s="36"/>
      <c r="J1069" s="164" t="s">
        <v>141</v>
      </c>
      <c r="K1069" s="37"/>
      <c r="L1069" s="35"/>
    </row>
    <row r="1070" spans="2:12" s="4" customFormat="1" outlineLevel="1" x14ac:dyDescent="0.4">
      <c r="B1070" s="20"/>
      <c r="C1070" s="21"/>
      <c r="D1070" s="21"/>
      <c r="E1070" s="692" t="str">
        <f>IF(E1069&gt;1, "this should not be greater than 1", "")</f>
        <v/>
      </c>
      <c r="F1070" s="21"/>
      <c r="G1070" s="21"/>
      <c r="H1070" s="42"/>
      <c r="I1070" s="164" t="s">
        <v>172</v>
      </c>
      <c r="J1070" s="52">
        <f>IF(D1063="No transport required",0,IFERROR(E1073*INDEX(Fuel_EFs,MATCH(D1065,Fuels_for_EF,0))*D1064/1000,"Insert data"))</f>
        <v>0</v>
      </c>
      <c r="K1070" s="62"/>
      <c r="L1070" s="35"/>
    </row>
    <row r="1071" spans="2:12" s="4" customFormat="1" outlineLevel="1" x14ac:dyDescent="0.4">
      <c r="B1071" s="20"/>
      <c r="C1071" s="25" t="s">
        <v>173</v>
      </c>
      <c r="D1071" s="21"/>
      <c r="E1071" s="21"/>
      <c r="F1071" s="21"/>
      <c r="G1071" s="21"/>
      <c r="H1071" s="46"/>
      <c r="I1071" s="58"/>
      <c r="J1071" s="58"/>
      <c r="K1071" s="59"/>
      <c r="L1071" s="35"/>
    </row>
    <row r="1072" spans="2:12" s="14" customFormat="1" outlineLevel="1" x14ac:dyDescent="0.4">
      <c r="B1072" s="23"/>
      <c r="C1072" s="176" t="s">
        <v>174</v>
      </c>
      <c r="D1072" s="166" t="s">
        <v>175</v>
      </c>
      <c r="E1072" s="166" t="s">
        <v>176</v>
      </c>
      <c r="F1072" s="24"/>
      <c r="G1072" s="24"/>
      <c r="H1072" s="4"/>
      <c r="I1072" s="4"/>
      <c r="J1072" s="4"/>
      <c r="K1072" s="4"/>
      <c r="L1072" s="63"/>
    </row>
    <row r="1073" spans="2:12" s="4" customFormat="1" outlineLevel="1" x14ac:dyDescent="0.4">
      <c r="B1073" s="20"/>
      <c r="C1073" s="138" t="s">
        <v>96</v>
      </c>
      <c r="D1073" s="93">
        <f>IFERROR(INDEX(Transport_Fuel_Efficiencies,MATCH(D1063,Transport_Modes,0)),"Insert data")</f>
        <v>0</v>
      </c>
      <c r="E1073" s="31">
        <f>IFERROR(IF(C1073="Default",D1073,IF(OR(ISBLANK(E1075),ISBLANK(D1079),ISBLANK(D1083)),"Insert data",(IF(C1079="litres",(D1079*(INDEX(Fuel_Densities,MATCH(D1065,Fuels_for_Densities,0))/1000)*INDEX(Fuel_LHV,MATCH(D1065,Fuels_for_LHV,0)))/(D1083*D1064),(IF(C1079="m3",(D1079*(INDEX(Fuel_Densities,MATCH(D1065,Fuels_for_Densities,0)))*INDEX(Fuel_LHV,MATCH(D1065,Fuels_for_LHV,0)))/(D1083*D1064),IF(C1079="kg",(D1079*INDEX(Fuel_LHV,MATCH(D1065,Fuels_for_LHV,0)))/(D1083*D1064),IF(C1079="tonnes",(D1079*INDEX(Fuel_LHV,MATCH(D1065,Fuels_for_LHV,0))*1000)/(D1083*D1064),IF(C1079="MWh",(D1079*'Reference values'!$D$47)/(D1083*D1064),IF(C1079="kWh",(D1079*'Reference values'!$D$47/1000)/(D1083*D1064),"Insert unit")))))))))),"")</f>
        <v>0</v>
      </c>
      <c r="F1073" s="21"/>
      <c r="G1073" s="21"/>
      <c r="L1073" s="35"/>
    </row>
    <row r="1074" spans="2:12" s="4" customFormat="1" outlineLevel="1" x14ac:dyDescent="0.4">
      <c r="B1074" s="20"/>
      <c r="C1074" s="21"/>
      <c r="D1074" s="21"/>
      <c r="E1074" s="21"/>
      <c r="F1074" s="21"/>
      <c r="G1074" s="21"/>
      <c r="H1074" s="21"/>
      <c r="I1074" s="21"/>
      <c r="J1074" s="21"/>
      <c r="K1074" s="21"/>
      <c r="L1074" s="35"/>
    </row>
    <row r="1075" spans="2:12" s="4" customFormat="1" ht="16.5" customHeight="1" outlineLevel="1" x14ac:dyDescent="0.4">
      <c r="B1075" s="20"/>
      <c r="C1075" s="759" t="s">
        <v>177</v>
      </c>
      <c r="D1075" s="759"/>
      <c r="E1075" s="135" t="s">
        <v>178</v>
      </c>
      <c r="F1075" s="21"/>
      <c r="G1075" s="21"/>
      <c r="H1075" s="21"/>
      <c r="I1075" s="21"/>
      <c r="J1075" s="21"/>
      <c r="K1075" s="21"/>
      <c r="L1075" s="35"/>
    </row>
    <row r="1076" spans="2:12" s="4" customFormat="1" ht="12.75" customHeight="1" outlineLevel="1" x14ac:dyDescent="0.4">
      <c r="B1076" s="20"/>
      <c r="C1076" s="21"/>
      <c r="D1076" s="21"/>
      <c r="E1076" s="21"/>
      <c r="F1076" s="21"/>
      <c r="G1076" s="21"/>
      <c r="L1076" s="35"/>
    </row>
    <row r="1077" spans="2:12" s="4" customFormat="1" outlineLevel="1" x14ac:dyDescent="0.4">
      <c r="B1077" s="20"/>
      <c r="C1077" s="25" t="str">
        <f>IF(E1075="yes", "Fuel demand for outward journey",IF(E1075="No","Fuel demand for full journey (outward and return)",""))</f>
        <v>Fuel demand for full journey (outward and return)</v>
      </c>
      <c r="D1077" s="21"/>
      <c r="E1077" s="21"/>
      <c r="F1077" s="21"/>
      <c r="G1077" s="21"/>
      <c r="H1077" s="21"/>
      <c r="I1077" s="21"/>
      <c r="J1077" s="21"/>
      <c r="K1077" s="21"/>
      <c r="L1077" s="35"/>
    </row>
    <row r="1078" spans="2:12" s="4" customFormat="1" outlineLevel="1" x14ac:dyDescent="0.4">
      <c r="B1078" s="20"/>
      <c r="C1078" s="164" t="s">
        <v>151</v>
      </c>
      <c r="D1078" s="164" t="s">
        <v>140</v>
      </c>
      <c r="E1078" s="21"/>
      <c r="F1078" s="21"/>
      <c r="G1078" s="21"/>
      <c r="H1078" s="21"/>
      <c r="I1078" s="21"/>
      <c r="J1078" s="21"/>
      <c r="K1078" s="21"/>
      <c r="L1078" s="35"/>
    </row>
    <row r="1079" spans="2:12" s="4" customFormat="1" outlineLevel="1" x14ac:dyDescent="0.4">
      <c r="B1079" s="20"/>
      <c r="C1079" s="138"/>
      <c r="D1079" s="135"/>
      <c r="E1079" s="21"/>
      <c r="F1079" s="21"/>
      <c r="G1079" s="21"/>
      <c r="H1079" s="21"/>
      <c r="I1079" s="21"/>
      <c r="J1079" s="21"/>
      <c r="K1079" s="21"/>
      <c r="L1079" s="35"/>
    </row>
    <row r="1080" spans="2:12" s="4" customFormat="1" outlineLevel="1" x14ac:dyDescent="0.4">
      <c r="B1080" s="20"/>
      <c r="C1080" s="21"/>
      <c r="D1080" s="21"/>
      <c r="E1080" s="21"/>
      <c r="F1080" s="21"/>
      <c r="G1080" s="21"/>
      <c r="H1080" s="21"/>
      <c r="I1080" s="21"/>
      <c r="J1080" s="21"/>
      <c r="K1080" s="21"/>
      <c r="L1080" s="35"/>
    </row>
    <row r="1081" spans="2:12" s="4" customFormat="1" outlineLevel="1" x14ac:dyDescent="0.4">
      <c r="B1081" s="20"/>
      <c r="C1081" s="25" t="s">
        <v>180</v>
      </c>
      <c r="D1081" s="21"/>
      <c r="E1081" s="21"/>
      <c r="F1081" s="21"/>
      <c r="G1081" s="21"/>
      <c r="H1081" s="21"/>
      <c r="I1081" s="21"/>
      <c r="J1081" s="21"/>
      <c r="K1081" s="21"/>
      <c r="L1081" s="35"/>
    </row>
    <row r="1082" spans="2:12" s="4" customFormat="1" outlineLevel="1" x14ac:dyDescent="0.4">
      <c r="B1082" s="20"/>
      <c r="C1082" s="164" t="s">
        <v>151</v>
      </c>
      <c r="D1082" s="164" t="s">
        <v>140</v>
      </c>
      <c r="E1082" s="21"/>
      <c r="F1082" s="21"/>
      <c r="G1082" s="21"/>
      <c r="H1082" s="21"/>
      <c r="I1082" s="21"/>
      <c r="J1082" s="21"/>
      <c r="K1082" s="21"/>
      <c r="L1082" s="35"/>
    </row>
    <row r="1083" spans="2:12" s="4" customFormat="1" outlineLevel="1" x14ac:dyDescent="0.4">
      <c r="B1083" s="20"/>
      <c r="C1083" s="138"/>
      <c r="D1083" s="135"/>
      <c r="E1083" s="21"/>
      <c r="F1083" s="21"/>
      <c r="G1083" s="21"/>
      <c r="H1083" s="21"/>
      <c r="I1083" s="21"/>
      <c r="J1083" s="21"/>
      <c r="K1083" s="21"/>
      <c r="L1083" s="35"/>
    </row>
    <row r="1084" spans="2:12" s="4" customFormat="1" ht="12.75" customHeight="1" outlineLevel="1" x14ac:dyDescent="0.4">
      <c r="B1084" s="28"/>
      <c r="C1084" s="29"/>
      <c r="D1084" s="29"/>
      <c r="E1084" s="29"/>
      <c r="F1084" s="29"/>
      <c r="G1084" s="29"/>
      <c r="H1084" s="29"/>
      <c r="I1084" s="29"/>
      <c r="J1084" s="29"/>
      <c r="K1084" s="29"/>
      <c r="L1084" s="60"/>
    </row>
    <row r="1085" spans="2:12" s="4" customFormat="1" ht="3.9" customHeight="1" x14ac:dyDescent="0.4"/>
    <row r="1086" spans="2:12" s="4" customFormat="1" ht="6" hidden="1" customHeight="1" x14ac:dyDescent="0.4"/>
    <row r="1087" spans="2:12" s="1" customFormat="1" ht="9" hidden="1" customHeight="1" x14ac:dyDescent="0.35">
      <c r="B1087" s="2"/>
      <c r="C1087" s="3"/>
      <c r="E1087" s="2"/>
    </row>
    <row r="1088" spans="2:12" s="4" customFormat="1" ht="15.9" hidden="1" customHeight="1" x14ac:dyDescent="0.4"/>
    <row r="1089" spans="2:5" s="4" customFormat="1" ht="15.9" hidden="1" customHeight="1" x14ac:dyDescent="0.4"/>
    <row r="1090" spans="2:5" s="4" customFormat="1" ht="15.9" hidden="1" customHeight="1" x14ac:dyDescent="0.4"/>
    <row r="1091" spans="2:5" s="4" customFormat="1" hidden="1" x14ac:dyDescent="0.4"/>
    <row r="1092" spans="2:5" s="4" customFormat="1" ht="15.9" hidden="1" customHeight="1" x14ac:dyDescent="0.4"/>
    <row r="1093" spans="2:5" s="4" customFormat="1" ht="15.9" hidden="1" customHeight="1" x14ac:dyDescent="0.4"/>
    <row r="1094" spans="2:5" s="4" customFormat="1" hidden="1" x14ac:dyDescent="0.4"/>
    <row r="1095" spans="2:5" s="1" customFormat="1" ht="11.1" hidden="1" customHeight="1" x14ac:dyDescent="0.35">
      <c r="B1095" s="2"/>
      <c r="C1095" s="3"/>
      <c r="E1095" s="2"/>
    </row>
    <row r="1096" spans="2:5" s="4" customFormat="1" ht="15.9" hidden="1" customHeight="1" x14ac:dyDescent="0.4"/>
    <row r="1097" spans="2:5" s="4" customFormat="1" ht="15.9" hidden="1" customHeight="1" x14ac:dyDescent="0.4"/>
    <row r="1098" spans="2:5" s="4" customFormat="1" ht="15.9" hidden="1" customHeight="1" x14ac:dyDescent="0.4"/>
    <row r="1099" spans="2:5" s="4" customFormat="1" hidden="1" x14ac:dyDescent="0.4"/>
    <row r="1100" spans="2:5" s="4" customFormat="1" hidden="1" x14ac:dyDescent="0.4"/>
    <row r="1101" spans="2:5" s="4" customFormat="1" hidden="1" x14ac:dyDescent="0.4"/>
    <row r="1102" spans="2:5" s="4" customFormat="1" hidden="1" x14ac:dyDescent="0.4"/>
    <row r="1103" spans="2:5" s="4" customFormat="1" hidden="1" x14ac:dyDescent="0.4"/>
    <row r="1104" spans="2:5" s="4" customFormat="1" hidden="1" x14ac:dyDescent="0.4"/>
    <row r="1105" spans="2:12" s="4" customFormat="1" hidden="1" x14ac:dyDescent="0.4"/>
    <row r="1106" spans="2:12" s="4" customFormat="1" hidden="1" x14ac:dyDescent="0.4"/>
    <row r="1107" spans="2:12" s="4" customFormat="1" x14ac:dyDescent="0.4"/>
    <row r="1108" spans="2:12" s="4" customFormat="1" ht="19.2" x14ac:dyDescent="0.45">
      <c r="B1108" s="754" t="str">
        <f>"Transport to Plant"&amp;" - "&amp;Feedstocks!C36</f>
        <v xml:space="preserve">Transport to Plant - </v>
      </c>
      <c r="C1108" s="755"/>
      <c r="D1108" s="755"/>
      <c r="E1108" s="755"/>
      <c r="F1108" s="755"/>
      <c r="G1108" s="755"/>
      <c r="H1108" s="755"/>
      <c r="I1108" s="755"/>
      <c r="J1108" s="755"/>
      <c r="K1108" s="755"/>
      <c r="L1108" s="756"/>
    </row>
    <row r="1109" spans="2:12" s="4" customFormat="1" outlineLevel="1" x14ac:dyDescent="0.4">
      <c r="B1109" s="17"/>
      <c r="C1109" s="18"/>
      <c r="D1109" s="19"/>
      <c r="E1109" s="19"/>
      <c r="F1109" s="19"/>
      <c r="G1109" s="19"/>
      <c r="H1109" s="19"/>
      <c r="I1109" s="19"/>
      <c r="J1109" s="19"/>
      <c r="K1109" s="19"/>
      <c r="L1109" s="50"/>
    </row>
    <row r="1110" spans="2:12" s="4" customFormat="1" outlineLevel="1" x14ac:dyDescent="0.4">
      <c r="B1110" s="20"/>
      <c r="C1110" s="174" t="s">
        <v>87</v>
      </c>
      <c r="D1110" s="778" t="str">
        <f>IF(Feedstocks!$C$36&gt;0,Feedstocks!$C$36,"")</f>
        <v/>
      </c>
      <c r="E1110" s="778"/>
      <c r="F1110" s="778"/>
      <c r="G1110" s="1"/>
      <c r="H1110" s="303" t="s">
        <v>122</v>
      </c>
      <c r="I1110" s="47"/>
      <c r="J1110" s="47"/>
      <c r="K1110" s="61"/>
      <c r="L1110" s="35"/>
    </row>
    <row r="1111" spans="2:12" s="4" customFormat="1" outlineLevel="1" x14ac:dyDescent="0.4">
      <c r="B1111" s="20"/>
      <c r="C1111" s="1"/>
      <c r="D1111" s="1"/>
      <c r="E1111" s="1"/>
      <c r="F1111" s="1"/>
      <c r="G1111" s="76"/>
      <c r="H1111" s="43"/>
      <c r="I1111" s="36"/>
      <c r="J1111" s="164" t="s">
        <v>124</v>
      </c>
      <c r="K1111" s="44"/>
      <c r="L1111" s="35"/>
    </row>
    <row r="1112" spans="2:12" s="12" customFormat="1" ht="15" outlineLevel="1" x14ac:dyDescent="0.35">
      <c r="B1112" s="20"/>
      <c r="C1112" s="1"/>
      <c r="D1112" s="1"/>
      <c r="E1112" s="1"/>
      <c r="F1112" s="1"/>
      <c r="G1112" s="1"/>
      <c r="H1112" s="43"/>
      <c r="I1112" s="164" t="s">
        <v>125</v>
      </c>
      <c r="J1112" s="52" t="str">
        <f>IFERROR((J1115/(('Digestion &amp; outputs'!$G$39/1000)))*'Digestion &amp; outputs'!$K$23,"")</f>
        <v/>
      </c>
      <c r="K1112" s="44"/>
      <c r="L1112" s="54"/>
    </row>
    <row r="1113" spans="2:12" s="4" customFormat="1" outlineLevel="1" x14ac:dyDescent="0.4">
      <c r="B1113" s="20"/>
      <c r="C1113" s="164" t="s">
        <v>163</v>
      </c>
      <c r="D1113" s="134" t="s">
        <v>164</v>
      </c>
      <c r="E1113" s="1"/>
      <c r="F1113" s="1"/>
      <c r="G1113" s="1"/>
      <c r="H1113" s="41"/>
      <c r="I1113" s="34"/>
      <c r="J1113" s="34"/>
      <c r="K1113" s="37"/>
      <c r="L1113" s="35"/>
    </row>
    <row r="1114" spans="2:12" s="4" customFormat="1" outlineLevel="1" x14ac:dyDescent="0.4">
      <c r="B1114" s="20"/>
      <c r="C1114" s="164" t="s">
        <v>165</v>
      </c>
      <c r="D1114" s="143"/>
      <c r="E1114" s="1"/>
      <c r="F1114" s="1"/>
      <c r="G1114" s="1"/>
      <c r="H1114" s="41"/>
      <c r="I1114" s="36"/>
      <c r="J1114" s="164" t="s">
        <v>141</v>
      </c>
      <c r="K1114" s="37"/>
      <c r="L1114" s="35"/>
    </row>
    <row r="1115" spans="2:12" s="4" customFormat="1" outlineLevel="1" x14ac:dyDescent="0.4">
      <c r="B1115" s="20"/>
      <c r="C1115" s="164" t="s">
        <v>160</v>
      </c>
      <c r="D1115" s="134" t="s">
        <v>166</v>
      </c>
      <c r="E1115" s="1"/>
      <c r="F1115" s="1"/>
      <c r="G1115" s="1"/>
      <c r="H1115" s="42"/>
      <c r="I1115" s="164" t="s">
        <v>167</v>
      </c>
      <c r="J1115" s="52">
        <f>IFERROR(J1120,"Insert data")</f>
        <v>0</v>
      </c>
      <c r="K1115" s="62"/>
      <c r="L1115" s="35"/>
    </row>
    <row r="1116" spans="2:12" s="4" customFormat="1" outlineLevel="1" x14ac:dyDescent="0.4">
      <c r="B1116" s="20"/>
      <c r="C1116" s="21"/>
      <c r="D1116" s="21"/>
      <c r="E1116" s="21"/>
      <c r="F1116" s="21"/>
      <c r="G1116" s="21"/>
      <c r="H1116" s="46"/>
      <c r="I1116" s="58"/>
      <c r="J1116" s="58"/>
      <c r="K1116" s="59"/>
      <c r="L1116" s="35"/>
    </row>
    <row r="1117" spans="2:12" s="4" customFormat="1" outlineLevel="1" x14ac:dyDescent="0.4">
      <c r="B1117" s="20"/>
      <c r="C1117" s="25" t="s">
        <v>168</v>
      </c>
      <c r="D1117" s="21"/>
      <c r="E1117" s="21"/>
      <c r="F1117" s="21"/>
      <c r="G1117" s="21"/>
      <c r="H1117" s="21"/>
      <c r="I1117" s="21"/>
      <c r="J1117" s="21"/>
      <c r="K1117" s="21"/>
      <c r="L1117" s="35"/>
    </row>
    <row r="1118" spans="2:12" s="14" customFormat="1" ht="30.6" outlineLevel="1" x14ac:dyDescent="0.4">
      <c r="B1118" s="23"/>
      <c r="C1118" s="166" t="s">
        <v>131</v>
      </c>
      <c r="D1118" s="166" t="s">
        <v>169</v>
      </c>
      <c r="E1118" s="166" t="s">
        <v>170</v>
      </c>
      <c r="F1118" s="166" t="s">
        <v>171</v>
      </c>
      <c r="G1118" s="24"/>
      <c r="H1118" s="303" t="s">
        <v>136</v>
      </c>
      <c r="I1118" s="47"/>
      <c r="J1118" s="47"/>
      <c r="K1118" s="45"/>
      <c r="L1118" s="63"/>
    </row>
    <row r="1119" spans="2:12" s="4" customFormat="1" outlineLevel="1" x14ac:dyDescent="0.4">
      <c r="B1119" s="20"/>
      <c r="C1119" s="138" t="s">
        <v>96</v>
      </c>
      <c r="D1119" s="93">
        <v>1</v>
      </c>
      <c r="E1119" s="135"/>
      <c r="F1119" s="31">
        <f>IFERROR(IF(OR(C1119="Default",D1113="No transport required"),D1119,IF(ISBLANK(E1119),"Insert data",E1119)),"")</f>
        <v>1</v>
      </c>
      <c r="G1119" s="21"/>
      <c r="H1119" s="41"/>
      <c r="I1119" s="36"/>
      <c r="J1119" s="164" t="s">
        <v>141</v>
      </c>
      <c r="K1119" s="37"/>
      <c r="L1119" s="35"/>
    </row>
    <row r="1120" spans="2:12" s="4" customFormat="1" outlineLevel="1" x14ac:dyDescent="0.4">
      <c r="B1120" s="20"/>
      <c r="C1120" s="21"/>
      <c r="D1120" s="21"/>
      <c r="E1120" s="692" t="str">
        <f>IF(E1119&gt;1, "this should not be greater than 1", "")</f>
        <v/>
      </c>
      <c r="F1120" s="21"/>
      <c r="G1120" s="21"/>
      <c r="H1120" s="42"/>
      <c r="I1120" s="164" t="s">
        <v>172</v>
      </c>
      <c r="J1120" s="52">
        <f>IF(D1113="No transport required",0,IFERROR(E1123*INDEX(Fuel_EFs,MATCH(D1115,Fuels_for_EF,0))*D1114/1000,"Insert data"))</f>
        <v>0</v>
      </c>
      <c r="K1120" s="62"/>
      <c r="L1120" s="35"/>
    </row>
    <row r="1121" spans="2:12" s="4" customFormat="1" outlineLevel="1" x14ac:dyDescent="0.4">
      <c r="B1121" s="20"/>
      <c r="C1121" s="25" t="s">
        <v>173</v>
      </c>
      <c r="D1121" s="21"/>
      <c r="E1121" s="21"/>
      <c r="F1121" s="21"/>
      <c r="G1121" s="21"/>
      <c r="H1121" s="46"/>
      <c r="I1121" s="58"/>
      <c r="J1121" s="58"/>
      <c r="K1121" s="59"/>
      <c r="L1121" s="35"/>
    </row>
    <row r="1122" spans="2:12" s="14" customFormat="1" outlineLevel="1" x14ac:dyDescent="0.4">
      <c r="B1122" s="23"/>
      <c r="C1122" s="176" t="s">
        <v>174</v>
      </c>
      <c r="D1122" s="166" t="s">
        <v>175</v>
      </c>
      <c r="E1122" s="166" t="s">
        <v>176</v>
      </c>
      <c r="F1122" s="24"/>
      <c r="G1122" s="24"/>
      <c r="H1122" s="4"/>
      <c r="I1122" s="4"/>
      <c r="J1122" s="4"/>
      <c r="K1122" s="4"/>
      <c r="L1122" s="63"/>
    </row>
    <row r="1123" spans="2:12" s="4" customFormat="1" outlineLevel="1" x14ac:dyDescent="0.4">
      <c r="B1123" s="20"/>
      <c r="C1123" s="138" t="s">
        <v>96</v>
      </c>
      <c r="D1123" s="93">
        <f>IFERROR(INDEX(Transport_Fuel_Efficiencies,MATCH(D1113,Transport_Modes,0)),"Insert data")</f>
        <v>0</v>
      </c>
      <c r="E1123" s="31">
        <f>IFERROR(IF(C1123="Default",D1123,IF(OR(ISBLANK(E1125),ISBLANK(D1129),ISBLANK(D1133)),"Insert data",(IF(C1129="litres",(D1129*(INDEX(Fuel_Densities,MATCH(D1115,Fuels_for_Densities,0))/1000)*INDEX(Fuel_LHV,MATCH(D1115,Fuels_for_LHV,0)))/(D1133*D1114),(IF(C1129="m3",(D1129*(INDEX(Fuel_Densities,MATCH(D1115,Fuels_for_Densities,0)))*INDEX(Fuel_LHV,MATCH(D1115,Fuels_for_LHV,0)))/(D1133*D1114),IF(C1129="kg",(D1129*INDEX(Fuel_LHV,MATCH(D1115,Fuels_for_LHV,0)))/(D1133*D1114),IF(C1129="tonnes",(D1129*INDEX(Fuel_LHV,MATCH(D1115,Fuels_for_LHV,0))*1000)/(D1133*D1114),IF(C1129="MWh",(D1129*'Reference values'!$D$47)/(D1133*D1114),IF(C1129="kWh",(D1129*'Reference values'!$D$47/1000)/(D1133*D1114),"Insert unit")))))))))),"")</f>
        <v>0</v>
      </c>
      <c r="F1123" s="21"/>
      <c r="G1123" s="21"/>
      <c r="L1123" s="35"/>
    </row>
    <row r="1124" spans="2:12" s="4" customFormat="1" outlineLevel="1" x14ac:dyDescent="0.4">
      <c r="B1124" s="20"/>
      <c r="C1124" s="21"/>
      <c r="D1124" s="21"/>
      <c r="E1124" s="21"/>
      <c r="F1124" s="21"/>
      <c r="G1124" s="21"/>
      <c r="H1124" s="21"/>
      <c r="I1124" s="21"/>
      <c r="J1124" s="21"/>
      <c r="K1124" s="21"/>
      <c r="L1124" s="35"/>
    </row>
    <row r="1125" spans="2:12" s="4" customFormat="1" ht="16.5" customHeight="1" outlineLevel="1" x14ac:dyDescent="0.4">
      <c r="B1125" s="20"/>
      <c r="C1125" s="759" t="s">
        <v>177</v>
      </c>
      <c r="D1125" s="759"/>
      <c r="E1125" s="135" t="s">
        <v>178</v>
      </c>
      <c r="F1125" s="21"/>
      <c r="G1125" s="21"/>
      <c r="L1125" s="35"/>
    </row>
    <row r="1126" spans="2:12" s="4" customFormat="1" ht="12.75" customHeight="1" outlineLevel="1" x14ac:dyDescent="0.4">
      <c r="B1126" s="20"/>
      <c r="C1126" s="21"/>
      <c r="D1126" s="21"/>
      <c r="E1126" s="21"/>
      <c r="F1126" s="21"/>
      <c r="G1126" s="21"/>
      <c r="L1126" s="35"/>
    </row>
    <row r="1127" spans="2:12" s="4" customFormat="1" outlineLevel="1" x14ac:dyDescent="0.4">
      <c r="B1127" s="20"/>
      <c r="C1127" s="25" t="str">
        <f>IF(E1125="yes", "Fuel demand for outward journey",IF(E1125="No","Fuel demand for full journey (outward and return)",""))</f>
        <v>Fuel demand for full journey (outward and return)</v>
      </c>
      <c r="D1127" s="21"/>
      <c r="E1127" s="21"/>
      <c r="F1127" s="21"/>
      <c r="G1127" s="21"/>
      <c r="H1127" s="21"/>
      <c r="I1127" s="21"/>
      <c r="J1127" s="21"/>
      <c r="K1127" s="21"/>
      <c r="L1127" s="35"/>
    </row>
    <row r="1128" spans="2:12" s="4" customFormat="1" outlineLevel="1" x14ac:dyDescent="0.4">
      <c r="B1128" s="20"/>
      <c r="C1128" s="164" t="s">
        <v>151</v>
      </c>
      <c r="D1128" s="164" t="s">
        <v>140</v>
      </c>
      <c r="E1128" s="21"/>
      <c r="F1128" s="21"/>
      <c r="G1128" s="21"/>
      <c r="H1128" s="21"/>
      <c r="I1128" s="21"/>
      <c r="J1128" s="21"/>
      <c r="K1128" s="21"/>
      <c r="L1128" s="35"/>
    </row>
    <row r="1129" spans="2:12" s="4" customFormat="1" outlineLevel="1" x14ac:dyDescent="0.4">
      <c r="B1129" s="20"/>
      <c r="C1129" s="138"/>
      <c r="D1129" s="135"/>
      <c r="E1129" s="21"/>
      <c r="F1129" s="21"/>
      <c r="G1129" s="21"/>
      <c r="H1129" s="21"/>
      <c r="I1129" s="21"/>
      <c r="J1129" s="21"/>
      <c r="K1129" s="21"/>
      <c r="L1129" s="35"/>
    </row>
    <row r="1130" spans="2:12" s="4" customFormat="1" outlineLevel="1" x14ac:dyDescent="0.4">
      <c r="B1130" s="20"/>
      <c r="C1130" s="21"/>
      <c r="D1130" s="21"/>
      <c r="E1130" s="21"/>
      <c r="F1130" s="21"/>
      <c r="G1130" s="21"/>
      <c r="H1130" s="21"/>
      <c r="I1130" s="21"/>
      <c r="J1130" s="21"/>
      <c r="K1130" s="21"/>
      <c r="L1130" s="35"/>
    </row>
    <row r="1131" spans="2:12" s="4" customFormat="1" outlineLevel="1" x14ac:dyDescent="0.4">
      <c r="B1131" s="20"/>
      <c r="C1131" s="25" t="s">
        <v>180</v>
      </c>
      <c r="D1131" s="21"/>
      <c r="E1131" s="21"/>
      <c r="F1131" s="21"/>
      <c r="G1131" s="21"/>
      <c r="H1131" s="21"/>
      <c r="I1131" s="21"/>
      <c r="J1131" s="21"/>
      <c r="K1131" s="21"/>
      <c r="L1131" s="35"/>
    </row>
    <row r="1132" spans="2:12" s="4" customFormat="1" outlineLevel="1" x14ac:dyDescent="0.4">
      <c r="B1132" s="20"/>
      <c r="C1132" s="164" t="s">
        <v>151</v>
      </c>
      <c r="D1132" s="164" t="s">
        <v>140</v>
      </c>
      <c r="E1132" s="21"/>
      <c r="F1132" s="21"/>
      <c r="G1132" s="21"/>
      <c r="H1132" s="21"/>
      <c r="I1132" s="21"/>
      <c r="J1132" s="21"/>
      <c r="K1132" s="21"/>
      <c r="L1132" s="35"/>
    </row>
    <row r="1133" spans="2:12" s="4" customFormat="1" outlineLevel="1" x14ac:dyDescent="0.4">
      <c r="B1133" s="20"/>
      <c r="C1133" s="138"/>
      <c r="D1133" s="135"/>
      <c r="E1133" s="21"/>
      <c r="F1133" s="21"/>
      <c r="G1133" s="21"/>
      <c r="H1133" s="21"/>
      <c r="I1133" s="21"/>
      <c r="J1133" s="21"/>
      <c r="K1133" s="21"/>
      <c r="L1133" s="35"/>
    </row>
    <row r="1134" spans="2:12" s="4" customFormat="1" ht="12.75" customHeight="1" outlineLevel="1" x14ac:dyDescent="0.4">
      <c r="B1134" s="28"/>
      <c r="C1134" s="29"/>
      <c r="D1134" s="29"/>
      <c r="E1134" s="29"/>
      <c r="F1134" s="29"/>
      <c r="G1134" s="29"/>
      <c r="H1134" s="29"/>
      <c r="I1134" s="29"/>
      <c r="J1134" s="29"/>
      <c r="K1134" s="29"/>
      <c r="L1134" s="60"/>
    </row>
    <row r="1135" spans="2:12" s="4" customFormat="1" ht="6.6" customHeight="1" x14ac:dyDescent="0.4"/>
    <row r="1136" spans="2:12" s="4" customFormat="1" ht="4.5" hidden="1" customHeight="1" x14ac:dyDescent="0.4"/>
    <row r="1137" spans="2:5" s="1" customFormat="1" ht="11.1" hidden="1" customHeight="1" x14ac:dyDescent="0.35">
      <c r="B1137" s="2"/>
      <c r="C1137" s="3"/>
      <c r="E1137" s="2"/>
    </row>
    <row r="1138" spans="2:5" s="4" customFormat="1" ht="15.9" hidden="1" customHeight="1" x14ac:dyDescent="0.4"/>
    <row r="1139" spans="2:5" s="4" customFormat="1" ht="15.9" hidden="1" customHeight="1" x14ac:dyDescent="0.4"/>
    <row r="1140" spans="2:5" s="4" customFormat="1" ht="15.9" hidden="1" customHeight="1" x14ac:dyDescent="0.4"/>
    <row r="1141" spans="2:5" s="4" customFormat="1" hidden="1" x14ac:dyDescent="0.4"/>
    <row r="1142" spans="2:5" s="4" customFormat="1" ht="15.9" hidden="1" customHeight="1" x14ac:dyDescent="0.4"/>
    <row r="1143" spans="2:5" s="4" customFormat="1" ht="15.9" hidden="1" customHeight="1" x14ac:dyDescent="0.4"/>
    <row r="1144" spans="2:5" s="4" customFormat="1" hidden="1" x14ac:dyDescent="0.4"/>
    <row r="1145" spans="2:5" s="1" customFormat="1" ht="11.1" hidden="1" customHeight="1" x14ac:dyDescent="0.35">
      <c r="B1145" s="2"/>
      <c r="C1145" s="3"/>
      <c r="E1145" s="2"/>
    </row>
    <row r="1146" spans="2:5" s="4" customFormat="1" ht="15.9" hidden="1" customHeight="1" x14ac:dyDescent="0.4"/>
    <row r="1147" spans="2:5" s="4" customFormat="1" ht="15.9" hidden="1" customHeight="1" x14ac:dyDescent="0.4"/>
    <row r="1148" spans="2:5" s="4" customFormat="1" ht="15.9" hidden="1" customHeight="1" x14ac:dyDescent="0.4"/>
    <row r="1149" spans="2:5" s="4" customFormat="1" hidden="1" x14ac:dyDescent="0.4"/>
    <row r="1150" spans="2:5" s="4" customFormat="1" hidden="1" x14ac:dyDescent="0.4"/>
    <row r="1151" spans="2:5" s="4" customFormat="1" hidden="1" x14ac:dyDescent="0.4"/>
    <row r="1152" spans="2:5" s="4" customFormat="1" hidden="1" x14ac:dyDescent="0.4"/>
    <row r="1153" spans="2:12" s="4" customFormat="1" hidden="1" x14ac:dyDescent="0.4"/>
    <row r="1154" spans="2:12" s="4" customFormat="1" hidden="1" x14ac:dyDescent="0.4"/>
    <row r="1155" spans="2:12" s="4" customFormat="1" hidden="1" x14ac:dyDescent="0.4"/>
    <row r="1156" spans="2:12" s="4" customFormat="1" hidden="1" x14ac:dyDescent="0.4"/>
    <row r="1157" spans="2:12" s="4" customFormat="1" x14ac:dyDescent="0.4"/>
    <row r="1158" spans="2:12" s="4" customFormat="1" ht="19.2" x14ac:dyDescent="0.45">
      <c r="B1158" s="754" t="str">
        <f>"Transport to Plant"&amp;" - "&amp;Feedstocks!C37</f>
        <v xml:space="preserve">Transport to Plant - </v>
      </c>
      <c r="C1158" s="755"/>
      <c r="D1158" s="755"/>
      <c r="E1158" s="755"/>
      <c r="F1158" s="755"/>
      <c r="G1158" s="755"/>
      <c r="H1158" s="755"/>
      <c r="I1158" s="755"/>
      <c r="J1158" s="755"/>
      <c r="K1158" s="755"/>
      <c r="L1158" s="756"/>
    </row>
    <row r="1159" spans="2:12" s="4" customFormat="1" outlineLevel="1" x14ac:dyDescent="0.4">
      <c r="B1159" s="17"/>
      <c r="C1159" s="18"/>
      <c r="D1159" s="19"/>
      <c r="E1159" s="19"/>
      <c r="F1159" s="19"/>
      <c r="G1159" s="19"/>
      <c r="H1159" s="19"/>
      <c r="I1159" s="19"/>
      <c r="J1159" s="19"/>
      <c r="K1159" s="19"/>
      <c r="L1159" s="50"/>
    </row>
    <row r="1160" spans="2:12" s="4" customFormat="1" outlineLevel="1" x14ac:dyDescent="0.4">
      <c r="B1160" s="20"/>
      <c r="C1160" s="174" t="s">
        <v>87</v>
      </c>
      <c r="D1160" s="778" t="str">
        <f>IF(Feedstocks!$C$37&gt;0,Feedstocks!$C$37,"")</f>
        <v/>
      </c>
      <c r="E1160" s="778"/>
      <c r="F1160" s="778"/>
      <c r="G1160" s="1"/>
      <c r="H1160" s="303" t="s">
        <v>122</v>
      </c>
      <c r="I1160" s="47"/>
      <c r="J1160" s="47"/>
      <c r="K1160" s="61"/>
      <c r="L1160" s="35"/>
    </row>
    <row r="1161" spans="2:12" s="4" customFormat="1" outlineLevel="1" x14ac:dyDescent="0.4">
      <c r="B1161" s="20"/>
      <c r="C1161" s="21"/>
      <c r="D1161" s="21"/>
      <c r="E1161" s="21"/>
      <c r="F1161" s="21"/>
      <c r="G1161" s="76"/>
      <c r="H1161" s="43"/>
      <c r="I1161" s="36"/>
      <c r="J1161" s="164" t="s">
        <v>124</v>
      </c>
      <c r="K1161" s="44"/>
      <c r="L1161" s="35"/>
    </row>
    <row r="1162" spans="2:12" s="12" customFormat="1" ht="15" outlineLevel="1" x14ac:dyDescent="0.35">
      <c r="B1162" s="20"/>
      <c r="C1162" s="1"/>
      <c r="D1162" s="1"/>
      <c r="E1162" s="1"/>
      <c r="F1162" s="1"/>
      <c r="G1162" s="1"/>
      <c r="H1162" s="43"/>
      <c r="I1162" s="164" t="s">
        <v>125</v>
      </c>
      <c r="J1162" s="52" t="str">
        <f>IFERROR((J1165/(('Digestion &amp; outputs'!$G$40/1000)))*'Digestion &amp; outputs'!$K$23,"")</f>
        <v/>
      </c>
      <c r="K1162" s="44"/>
      <c r="L1162" s="54"/>
    </row>
    <row r="1163" spans="2:12" s="4" customFormat="1" outlineLevel="1" x14ac:dyDescent="0.4">
      <c r="B1163" s="20"/>
      <c r="C1163" s="164" t="s">
        <v>163</v>
      </c>
      <c r="D1163" s="134" t="s">
        <v>164</v>
      </c>
      <c r="E1163" s="1"/>
      <c r="F1163" s="1"/>
      <c r="G1163" s="1"/>
      <c r="H1163" s="41"/>
      <c r="I1163" s="34"/>
      <c r="J1163" s="34"/>
      <c r="K1163" s="37"/>
      <c r="L1163" s="35"/>
    </row>
    <row r="1164" spans="2:12" s="4" customFormat="1" outlineLevel="1" x14ac:dyDescent="0.4">
      <c r="B1164" s="20"/>
      <c r="C1164" s="164" t="s">
        <v>165</v>
      </c>
      <c r="D1164" s="143"/>
      <c r="E1164" s="1"/>
      <c r="F1164" s="1"/>
      <c r="G1164" s="1"/>
      <c r="H1164" s="41"/>
      <c r="I1164" s="36"/>
      <c r="J1164" s="164" t="s">
        <v>141</v>
      </c>
      <c r="K1164" s="37"/>
      <c r="L1164" s="35"/>
    </row>
    <row r="1165" spans="2:12" s="4" customFormat="1" outlineLevel="1" x14ac:dyDescent="0.4">
      <c r="B1165" s="20"/>
      <c r="C1165" s="164" t="s">
        <v>160</v>
      </c>
      <c r="D1165" s="134" t="s">
        <v>166</v>
      </c>
      <c r="E1165" s="1"/>
      <c r="F1165" s="1"/>
      <c r="G1165" s="1"/>
      <c r="H1165" s="42"/>
      <c r="I1165" s="164" t="s">
        <v>167</v>
      </c>
      <c r="J1165" s="52">
        <f>IFERROR(J1170,"Insert data")</f>
        <v>0</v>
      </c>
      <c r="K1165" s="62"/>
      <c r="L1165" s="35"/>
    </row>
    <row r="1166" spans="2:12" s="4" customFormat="1" outlineLevel="1" x14ac:dyDescent="0.4">
      <c r="B1166" s="20"/>
      <c r="C1166" s="21"/>
      <c r="D1166" s="21"/>
      <c r="E1166" s="21"/>
      <c r="F1166" s="21"/>
      <c r="G1166" s="21"/>
      <c r="H1166" s="46"/>
      <c r="I1166" s="58"/>
      <c r="J1166" s="58"/>
      <c r="K1166" s="59"/>
      <c r="L1166" s="35"/>
    </row>
    <row r="1167" spans="2:12" s="4" customFormat="1" outlineLevel="1" x14ac:dyDescent="0.4">
      <c r="B1167" s="20"/>
      <c r="C1167" s="25" t="s">
        <v>168</v>
      </c>
      <c r="D1167" s="21"/>
      <c r="E1167" s="21"/>
      <c r="F1167" s="21"/>
      <c r="G1167" s="21"/>
      <c r="H1167" s="21"/>
      <c r="I1167" s="21"/>
      <c r="J1167" s="21"/>
      <c r="K1167" s="21"/>
      <c r="L1167" s="35"/>
    </row>
    <row r="1168" spans="2:12" s="14" customFormat="1" ht="30.6" outlineLevel="1" x14ac:dyDescent="0.4">
      <c r="B1168" s="23"/>
      <c r="C1168" s="166" t="s">
        <v>131</v>
      </c>
      <c r="D1168" s="166" t="s">
        <v>169</v>
      </c>
      <c r="E1168" s="166" t="s">
        <v>170</v>
      </c>
      <c r="F1168" s="166" t="s">
        <v>171</v>
      </c>
      <c r="G1168" s="24"/>
      <c r="H1168" s="303" t="s">
        <v>136</v>
      </c>
      <c r="I1168" s="47"/>
      <c r="J1168" s="47"/>
      <c r="K1168" s="45"/>
      <c r="L1168" s="63"/>
    </row>
    <row r="1169" spans="2:12" s="4" customFormat="1" outlineLevel="1" x14ac:dyDescent="0.4">
      <c r="B1169" s="20"/>
      <c r="C1169" s="138" t="s">
        <v>96</v>
      </c>
      <c r="D1169" s="93">
        <v>1</v>
      </c>
      <c r="E1169" s="135"/>
      <c r="F1169" s="31">
        <f>IFERROR(IF(OR(C1169="Default",D1163="No transport required"),D1169,IF(ISBLANK(E1169),"Insert data",E1169)),"")</f>
        <v>1</v>
      </c>
      <c r="G1169" s="21"/>
      <c r="H1169" s="41"/>
      <c r="I1169" s="36"/>
      <c r="J1169" s="164" t="s">
        <v>141</v>
      </c>
      <c r="K1169" s="37"/>
      <c r="L1169" s="35"/>
    </row>
    <row r="1170" spans="2:12" s="4" customFormat="1" outlineLevel="1" x14ac:dyDescent="0.4">
      <c r="B1170" s="20"/>
      <c r="C1170" s="21"/>
      <c r="D1170" s="21"/>
      <c r="E1170" s="692" t="str">
        <f>IF(E1169&gt;1, "this should not be greater than 1", "")</f>
        <v/>
      </c>
      <c r="F1170" s="21"/>
      <c r="G1170" s="21"/>
      <c r="H1170" s="42"/>
      <c r="I1170" s="164" t="s">
        <v>172</v>
      </c>
      <c r="J1170" s="52">
        <f>IF(D1163="No transport required",0,IFERROR(E1173*INDEX(Fuel_EFs,MATCH(D1165,Fuels_for_EF,0))*D1164/1000,"Insert data"))</f>
        <v>0</v>
      </c>
      <c r="K1170" s="62"/>
      <c r="L1170" s="35"/>
    </row>
    <row r="1171" spans="2:12" s="4" customFormat="1" outlineLevel="1" x14ac:dyDescent="0.4">
      <c r="B1171" s="20"/>
      <c r="C1171" s="25" t="s">
        <v>173</v>
      </c>
      <c r="D1171" s="21"/>
      <c r="E1171" s="21"/>
      <c r="F1171" s="21"/>
      <c r="G1171" s="21"/>
      <c r="H1171" s="46"/>
      <c r="I1171" s="58"/>
      <c r="J1171" s="58"/>
      <c r="K1171" s="59"/>
      <c r="L1171" s="35"/>
    </row>
    <row r="1172" spans="2:12" s="14" customFormat="1" outlineLevel="1" x14ac:dyDescent="0.4">
      <c r="B1172" s="23"/>
      <c r="C1172" s="176" t="s">
        <v>174</v>
      </c>
      <c r="D1172" s="166" t="s">
        <v>175</v>
      </c>
      <c r="E1172" s="166" t="s">
        <v>176</v>
      </c>
      <c r="F1172" s="24"/>
      <c r="G1172" s="24"/>
      <c r="H1172" s="4"/>
      <c r="I1172" s="4"/>
      <c r="J1172" s="4"/>
      <c r="K1172" s="4"/>
      <c r="L1172" s="63"/>
    </row>
    <row r="1173" spans="2:12" s="4" customFormat="1" outlineLevel="1" x14ac:dyDescent="0.4">
      <c r="B1173" s="20"/>
      <c r="C1173" s="138" t="s">
        <v>96</v>
      </c>
      <c r="D1173" s="93">
        <f>IFERROR(INDEX(Transport_Fuel_Efficiencies,MATCH(D1163,Transport_Modes,0)),"Insert data")</f>
        <v>0</v>
      </c>
      <c r="E1173" s="31">
        <f>IFERROR(IF(C1173="Default",D1173,IF(OR(ISBLANK(E1175),ISBLANK(D1179),ISBLANK(D1183)),"Insert data",(IF(C1179="litres",(D1179*(INDEX(Fuel_Densities,MATCH(D1165,Fuels_for_Densities,0))/1000)*INDEX(Fuel_LHV,MATCH(D1165,Fuels_for_LHV,0)))/(D1183*D1164),(IF(C1179="m3",(D1179*(INDEX(Fuel_Densities,MATCH(D1165,Fuels_for_Densities,0)))*INDEX(Fuel_LHV,MATCH(D1165,Fuels_for_LHV,0)))/(D1183*D1164),IF(C1179="kg",(D1179*INDEX(Fuel_LHV,MATCH(D1165,Fuels_for_LHV,0)))/(D1183*D1164),IF(C1179="tonnes",(D1179*INDEX(Fuel_LHV,MATCH(D1165,Fuels_for_LHV,0))*1000)/(D1183*D1164),IF(C1179="MWh",(D1179*'Reference values'!$D$47)/(D1183*D1164),IF(C1179="kWh",(D1179*'Reference values'!$D$47/1000)/(D1183*D1164),"Insert unit")))))))))),"")</f>
        <v>0</v>
      </c>
      <c r="F1173" s="21"/>
      <c r="G1173" s="21"/>
      <c r="L1173" s="35"/>
    </row>
    <row r="1174" spans="2:12" s="4" customFormat="1" outlineLevel="1" x14ac:dyDescent="0.4">
      <c r="B1174" s="20"/>
      <c r="C1174" s="21"/>
      <c r="D1174" s="21"/>
      <c r="E1174" s="21"/>
      <c r="F1174" s="21"/>
      <c r="G1174" s="21"/>
      <c r="H1174" s="21"/>
      <c r="I1174" s="21"/>
      <c r="J1174" s="21"/>
      <c r="K1174" s="21"/>
      <c r="L1174" s="35"/>
    </row>
    <row r="1175" spans="2:12" s="4" customFormat="1" ht="16.5" customHeight="1" outlineLevel="1" x14ac:dyDescent="0.4">
      <c r="B1175" s="20"/>
      <c r="C1175" s="759" t="s">
        <v>177</v>
      </c>
      <c r="D1175" s="759"/>
      <c r="E1175" s="135" t="s">
        <v>178</v>
      </c>
      <c r="F1175" s="21"/>
      <c r="G1175" s="21"/>
      <c r="L1175" s="35"/>
    </row>
    <row r="1176" spans="2:12" s="4" customFormat="1" ht="12.75" customHeight="1" outlineLevel="1" x14ac:dyDescent="0.4">
      <c r="B1176" s="20"/>
      <c r="C1176" s="21"/>
      <c r="D1176" s="21"/>
      <c r="E1176" s="21"/>
      <c r="F1176" s="21"/>
      <c r="G1176" s="21"/>
      <c r="L1176" s="35"/>
    </row>
    <row r="1177" spans="2:12" s="4" customFormat="1" outlineLevel="1" x14ac:dyDescent="0.4">
      <c r="B1177" s="20"/>
      <c r="C1177" s="25" t="str">
        <f>IF(E1175="yes", "Fuel demand for outward journey",IF(E1175="No","Fuel demand for full journey (outward and return)",""))</f>
        <v>Fuel demand for full journey (outward and return)</v>
      </c>
      <c r="D1177" s="21"/>
      <c r="E1177" s="21"/>
      <c r="F1177" s="21"/>
      <c r="G1177" s="21"/>
      <c r="H1177" s="21"/>
      <c r="I1177" s="21"/>
      <c r="J1177" s="21"/>
      <c r="K1177" s="21"/>
      <c r="L1177" s="35"/>
    </row>
    <row r="1178" spans="2:12" s="4" customFormat="1" outlineLevel="1" x14ac:dyDescent="0.4">
      <c r="B1178" s="20"/>
      <c r="C1178" s="164" t="s">
        <v>151</v>
      </c>
      <c r="D1178" s="164" t="s">
        <v>140</v>
      </c>
      <c r="E1178" s="21"/>
      <c r="F1178" s="21"/>
      <c r="G1178" s="21"/>
      <c r="H1178" s="21"/>
      <c r="I1178" s="21"/>
      <c r="J1178" s="21"/>
      <c r="K1178" s="21"/>
      <c r="L1178" s="35"/>
    </row>
    <row r="1179" spans="2:12" s="4" customFormat="1" outlineLevel="1" x14ac:dyDescent="0.4">
      <c r="B1179" s="20"/>
      <c r="C1179" s="138"/>
      <c r="D1179" s="135"/>
      <c r="E1179" s="21"/>
      <c r="F1179" s="21"/>
      <c r="G1179" s="21"/>
      <c r="H1179" s="21"/>
      <c r="I1179" s="21"/>
      <c r="J1179" s="21"/>
      <c r="K1179" s="21"/>
      <c r="L1179" s="35"/>
    </row>
    <row r="1180" spans="2:12" s="4" customFormat="1" outlineLevel="1" x14ac:dyDescent="0.4">
      <c r="B1180" s="20"/>
      <c r="C1180" s="21"/>
      <c r="D1180" s="21"/>
      <c r="E1180" s="21"/>
      <c r="F1180" s="21"/>
      <c r="G1180" s="21"/>
      <c r="H1180" s="21"/>
      <c r="I1180" s="21"/>
      <c r="J1180" s="21"/>
      <c r="K1180" s="21"/>
      <c r="L1180" s="35"/>
    </row>
    <row r="1181" spans="2:12" s="4" customFormat="1" outlineLevel="1" x14ac:dyDescent="0.4">
      <c r="B1181" s="20"/>
      <c r="C1181" s="25" t="s">
        <v>180</v>
      </c>
      <c r="D1181" s="21"/>
      <c r="E1181" s="21"/>
      <c r="F1181" s="21"/>
      <c r="G1181" s="21"/>
      <c r="H1181" s="21"/>
      <c r="I1181" s="21"/>
      <c r="J1181" s="21"/>
      <c r="K1181" s="21"/>
      <c r="L1181" s="35"/>
    </row>
    <row r="1182" spans="2:12" s="4" customFormat="1" outlineLevel="1" x14ac:dyDescent="0.4">
      <c r="B1182" s="20"/>
      <c r="C1182" s="164" t="s">
        <v>151</v>
      </c>
      <c r="D1182" s="164" t="s">
        <v>140</v>
      </c>
      <c r="E1182" s="21"/>
      <c r="F1182" s="21"/>
      <c r="G1182" s="21"/>
      <c r="H1182" s="21"/>
      <c r="I1182" s="21"/>
      <c r="J1182" s="21"/>
      <c r="K1182" s="21"/>
      <c r="L1182" s="35"/>
    </row>
    <row r="1183" spans="2:12" s="4" customFormat="1" outlineLevel="1" x14ac:dyDescent="0.4">
      <c r="B1183" s="20"/>
      <c r="C1183" s="138"/>
      <c r="D1183" s="135"/>
      <c r="E1183" s="21"/>
      <c r="F1183" s="21"/>
      <c r="G1183" s="21"/>
      <c r="H1183" s="21"/>
      <c r="I1183" s="21"/>
      <c r="J1183" s="21"/>
      <c r="K1183" s="21"/>
      <c r="L1183" s="35"/>
    </row>
    <row r="1184" spans="2:12" s="4" customFormat="1" ht="12.75" customHeight="1" outlineLevel="1" x14ac:dyDescent="0.4">
      <c r="B1184" s="28"/>
      <c r="C1184" s="29"/>
      <c r="D1184" s="29"/>
      <c r="E1184" s="29"/>
      <c r="F1184" s="29"/>
      <c r="G1184" s="29"/>
      <c r="H1184" s="29"/>
      <c r="I1184" s="29"/>
      <c r="J1184" s="29"/>
      <c r="K1184" s="29"/>
      <c r="L1184" s="60"/>
    </row>
    <row r="1185" spans="2:5" s="4" customFormat="1" ht="3" customHeight="1" x14ac:dyDescent="0.4"/>
    <row r="1186" spans="2:5" s="4" customFormat="1" ht="8.4" hidden="1" customHeight="1" x14ac:dyDescent="0.4"/>
    <row r="1187" spans="2:5" s="1" customFormat="1" ht="11.1" hidden="1" customHeight="1" x14ac:dyDescent="0.35">
      <c r="B1187" s="2"/>
      <c r="C1187" s="3"/>
      <c r="E1187" s="2"/>
    </row>
    <row r="1188" spans="2:5" s="4" customFormat="1" ht="15.9" hidden="1" customHeight="1" x14ac:dyDescent="0.4"/>
    <row r="1189" spans="2:5" s="4" customFormat="1" ht="15.9" hidden="1" customHeight="1" x14ac:dyDescent="0.4"/>
    <row r="1190" spans="2:5" s="4" customFormat="1" ht="15.9" hidden="1" customHeight="1" x14ac:dyDescent="0.4"/>
    <row r="1191" spans="2:5" s="4" customFormat="1" hidden="1" x14ac:dyDescent="0.4"/>
    <row r="1192" spans="2:5" s="4" customFormat="1" ht="15.9" hidden="1" customHeight="1" x14ac:dyDescent="0.4"/>
    <row r="1193" spans="2:5" s="4" customFormat="1" ht="15.9" hidden="1" customHeight="1" x14ac:dyDescent="0.4"/>
    <row r="1194" spans="2:5" s="4" customFormat="1" hidden="1" x14ac:dyDescent="0.4"/>
    <row r="1195" spans="2:5" s="1" customFormat="1" ht="11.1" hidden="1" customHeight="1" x14ac:dyDescent="0.35">
      <c r="B1195" s="2"/>
      <c r="C1195" s="3"/>
      <c r="E1195" s="2"/>
    </row>
    <row r="1196" spans="2:5" s="4" customFormat="1" ht="15.9" hidden="1" customHeight="1" x14ac:dyDescent="0.4"/>
    <row r="1197" spans="2:5" s="4" customFormat="1" ht="15.9" hidden="1" customHeight="1" x14ac:dyDescent="0.4"/>
    <row r="1198" spans="2:5" s="4" customFormat="1" ht="15.9" hidden="1" customHeight="1" x14ac:dyDescent="0.4"/>
    <row r="1199" spans="2:5" s="4" customFormat="1" hidden="1" x14ac:dyDescent="0.4"/>
    <row r="1200" spans="2:5" s="4" customFormat="1" hidden="1" x14ac:dyDescent="0.4"/>
    <row r="1201" spans="2:12" s="4" customFormat="1" hidden="1" x14ac:dyDescent="0.4"/>
    <row r="1202" spans="2:12" s="4" customFormat="1" hidden="1" x14ac:dyDescent="0.4"/>
    <row r="1203" spans="2:12" s="4" customFormat="1" hidden="1" x14ac:dyDescent="0.4"/>
    <row r="1204" spans="2:12" s="4" customFormat="1" hidden="1" x14ac:dyDescent="0.4"/>
    <row r="1205" spans="2:12" s="4" customFormat="1" hidden="1" x14ac:dyDescent="0.4"/>
    <row r="1206" spans="2:12" s="4" customFormat="1" hidden="1" x14ac:dyDescent="0.4"/>
    <row r="1207" spans="2:12" s="4" customFormat="1" x14ac:dyDescent="0.4"/>
    <row r="1208" spans="2:12" s="4" customFormat="1" ht="19.2" x14ac:dyDescent="0.45">
      <c r="B1208" s="754" t="str">
        <f>"Transport to Plant"&amp;" - "&amp;Feedstocks!C38</f>
        <v xml:space="preserve">Transport to Plant - </v>
      </c>
      <c r="C1208" s="755"/>
      <c r="D1208" s="755"/>
      <c r="E1208" s="755"/>
      <c r="F1208" s="755"/>
      <c r="G1208" s="755"/>
      <c r="H1208" s="755"/>
      <c r="I1208" s="755"/>
      <c r="J1208" s="755"/>
      <c r="K1208" s="755"/>
      <c r="L1208" s="756"/>
    </row>
    <row r="1209" spans="2:12" s="4" customFormat="1" outlineLevel="1" x14ac:dyDescent="0.4">
      <c r="B1209" s="17"/>
      <c r="C1209" s="18"/>
      <c r="D1209" s="19"/>
      <c r="E1209" s="19"/>
      <c r="F1209" s="19"/>
      <c r="G1209" s="19"/>
      <c r="H1209" s="19"/>
      <c r="I1209" s="19"/>
      <c r="J1209" s="19"/>
      <c r="K1209" s="19"/>
      <c r="L1209" s="50"/>
    </row>
    <row r="1210" spans="2:12" s="4" customFormat="1" outlineLevel="1" x14ac:dyDescent="0.4">
      <c r="B1210" s="20"/>
      <c r="C1210" s="174" t="s">
        <v>87</v>
      </c>
      <c r="D1210" s="778" t="str">
        <f>IF(Feedstocks!$C$38&gt;0,Feedstocks!$C$38,"")</f>
        <v/>
      </c>
      <c r="E1210" s="778"/>
      <c r="F1210" s="778"/>
      <c r="G1210" s="1"/>
      <c r="H1210" s="303" t="s">
        <v>122</v>
      </c>
      <c r="I1210" s="47"/>
      <c r="J1210" s="47"/>
      <c r="K1210" s="61"/>
      <c r="L1210" s="35"/>
    </row>
    <row r="1211" spans="2:12" s="4" customFormat="1" outlineLevel="1" x14ac:dyDescent="0.4">
      <c r="B1211" s="20"/>
      <c r="C1211" s="21"/>
      <c r="D1211" s="21"/>
      <c r="E1211" s="21"/>
      <c r="F1211" s="21"/>
      <c r="G1211" s="76"/>
      <c r="H1211" s="43"/>
      <c r="I1211" s="36"/>
      <c r="J1211" s="164" t="s">
        <v>124</v>
      </c>
      <c r="K1211" s="44"/>
      <c r="L1211" s="35"/>
    </row>
    <row r="1212" spans="2:12" s="12" customFormat="1" ht="15" outlineLevel="1" x14ac:dyDescent="0.35">
      <c r="B1212" s="20"/>
      <c r="C1212" s="1"/>
      <c r="D1212" s="1"/>
      <c r="E1212" s="1"/>
      <c r="F1212" s="1"/>
      <c r="G1212" s="1"/>
      <c r="H1212" s="43"/>
      <c r="I1212" s="164" t="s">
        <v>125</v>
      </c>
      <c r="J1212" s="52" t="str">
        <f>IFERROR((J1215/(('Digestion &amp; outputs'!$G$41/1000)))*'Digestion &amp; outputs'!$K$23,"")</f>
        <v/>
      </c>
      <c r="K1212" s="44"/>
      <c r="L1212" s="54"/>
    </row>
    <row r="1213" spans="2:12" s="4" customFormat="1" outlineLevel="1" x14ac:dyDescent="0.4">
      <c r="B1213" s="20"/>
      <c r="C1213" s="164" t="s">
        <v>163</v>
      </c>
      <c r="D1213" s="134" t="s">
        <v>164</v>
      </c>
      <c r="E1213" s="1"/>
      <c r="F1213" s="1"/>
      <c r="G1213" s="1"/>
      <c r="H1213" s="41"/>
      <c r="I1213" s="34"/>
      <c r="J1213" s="34"/>
      <c r="K1213" s="37"/>
      <c r="L1213" s="35"/>
    </row>
    <row r="1214" spans="2:12" s="4" customFormat="1" outlineLevel="1" x14ac:dyDescent="0.4">
      <c r="B1214" s="20"/>
      <c r="C1214" s="164" t="s">
        <v>165</v>
      </c>
      <c r="D1214" s="143"/>
      <c r="E1214" s="1"/>
      <c r="F1214" s="1"/>
      <c r="G1214" s="1"/>
      <c r="H1214" s="41"/>
      <c r="I1214" s="36"/>
      <c r="J1214" s="164" t="s">
        <v>141</v>
      </c>
      <c r="K1214" s="37"/>
      <c r="L1214" s="35"/>
    </row>
    <row r="1215" spans="2:12" s="4" customFormat="1" outlineLevel="1" x14ac:dyDescent="0.4">
      <c r="B1215" s="20"/>
      <c r="C1215" s="164" t="s">
        <v>160</v>
      </c>
      <c r="D1215" s="134" t="s">
        <v>166</v>
      </c>
      <c r="E1215" s="1"/>
      <c r="F1215" s="1"/>
      <c r="G1215" s="1"/>
      <c r="H1215" s="42"/>
      <c r="I1215" s="164" t="s">
        <v>167</v>
      </c>
      <c r="J1215" s="52">
        <f>IFERROR(J1220,"Insert data")</f>
        <v>0</v>
      </c>
      <c r="K1215" s="62"/>
      <c r="L1215" s="35"/>
    </row>
    <row r="1216" spans="2:12" s="4" customFormat="1" outlineLevel="1" x14ac:dyDescent="0.4">
      <c r="B1216" s="20"/>
      <c r="C1216" s="21"/>
      <c r="D1216" s="21"/>
      <c r="E1216" s="21"/>
      <c r="F1216" s="21"/>
      <c r="G1216" s="21"/>
      <c r="H1216" s="46"/>
      <c r="I1216" s="58"/>
      <c r="J1216" s="58"/>
      <c r="K1216" s="59"/>
      <c r="L1216" s="35"/>
    </row>
    <row r="1217" spans="2:12" s="4" customFormat="1" outlineLevel="1" x14ac:dyDescent="0.4">
      <c r="B1217" s="20"/>
      <c r="C1217" s="25" t="s">
        <v>168</v>
      </c>
      <c r="D1217" s="21"/>
      <c r="E1217" s="21"/>
      <c r="F1217" s="21"/>
      <c r="G1217" s="21"/>
      <c r="H1217" s="21"/>
      <c r="I1217" s="21"/>
      <c r="J1217" s="21"/>
      <c r="K1217" s="21"/>
      <c r="L1217" s="35"/>
    </row>
    <row r="1218" spans="2:12" s="14" customFormat="1" ht="30.6" outlineLevel="1" x14ac:dyDescent="0.4">
      <c r="B1218" s="23"/>
      <c r="C1218" s="166" t="s">
        <v>131</v>
      </c>
      <c r="D1218" s="166" t="s">
        <v>169</v>
      </c>
      <c r="E1218" s="166" t="s">
        <v>170</v>
      </c>
      <c r="F1218" s="166" t="s">
        <v>171</v>
      </c>
      <c r="G1218" s="24"/>
      <c r="H1218" s="303" t="s">
        <v>136</v>
      </c>
      <c r="I1218" s="47"/>
      <c r="J1218" s="47"/>
      <c r="K1218" s="45"/>
      <c r="L1218" s="63"/>
    </row>
    <row r="1219" spans="2:12" s="4" customFormat="1" outlineLevel="1" x14ac:dyDescent="0.4">
      <c r="B1219" s="20"/>
      <c r="C1219" s="138" t="s">
        <v>96</v>
      </c>
      <c r="D1219" s="93">
        <v>1</v>
      </c>
      <c r="E1219" s="135"/>
      <c r="F1219" s="31">
        <f>IFERROR(IF(OR(C1219="Default",D1213="No transport required"),D1219,IF(ISBLANK(E1219),"Insert data",E1219)),"")</f>
        <v>1</v>
      </c>
      <c r="G1219" s="21"/>
      <c r="H1219" s="41"/>
      <c r="I1219" s="36"/>
      <c r="J1219" s="164" t="s">
        <v>141</v>
      </c>
      <c r="K1219" s="37"/>
      <c r="L1219" s="35"/>
    </row>
    <row r="1220" spans="2:12" s="4" customFormat="1" outlineLevel="1" x14ac:dyDescent="0.4">
      <c r="B1220" s="20"/>
      <c r="C1220" s="21"/>
      <c r="D1220" s="21"/>
      <c r="E1220" s="692" t="str">
        <f>IF(E1219&gt;1, "this should not be greater than 1", "")</f>
        <v/>
      </c>
      <c r="F1220" s="21"/>
      <c r="G1220" s="21"/>
      <c r="H1220" s="42"/>
      <c r="I1220" s="164" t="s">
        <v>172</v>
      </c>
      <c r="J1220" s="52">
        <f>IF(D1213="No transport required",0,IFERROR(E1223*INDEX(Fuel_EFs,MATCH(D1215,Fuels_for_EF,0))*D1214/1000,"Insert data"))</f>
        <v>0</v>
      </c>
      <c r="K1220" s="62"/>
      <c r="L1220" s="35"/>
    </row>
    <row r="1221" spans="2:12" s="4" customFormat="1" outlineLevel="1" x14ac:dyDescent="0.4">
      <c r="B1221" s="20"/>
      <c r="C1221" s="25" t="s">
        <v>173</v>
      </c>
      <c r="D1221" s="21"/>
      <c r="E1221" s="21"/>
      <c r="F1221" s="21"/>
      <c r="G1221" s="21"/>
      <c r="H1221" s="46"/>
      <c r="I1221" s="58"/>
      <c r="J1221" s="58"/>
      <c r="K1221" s="59"/>
      <c r="L1221" s="35"/>
    </row>
    <row r="1222" spans="2:12" s="14" customFormat="1" outlineLevel="1" x14ac:dyDescent="0.4">
      <c r="B1222" s="23"/>
      <c r="C1222" s="176" t="s">
        <v>174</v>
      </c>
      <c r="D1222" s="166" t="s">
        <v>175</v>
      </c>
      <c r="E1222" s="166" t="s">
        <v>176</v>
      </c>
      <c r="F1222" s="24"/>
      <c r="G1222" s="24"/>
      <c r="H1222" s="4"/>
      <c r="I1222" s="4"/>
      <c r="J1222" s="4"/>
      <c r="K1222" s="4"/>
      <c r="L1222" s="63"/>
    </row>
    <row r="1223" spans="2:12" s="4" customFormat="1" outlineLevel="1" x14ac:dyDescent="0.4">
      <c r="B1223" s="20"/>
      <c r="C1223" s="138" t="s">
        <v>96</v>
      </c>
      <c r="D1223" s="93">
        <f>IFERROR(INDEX(Transport_Fuel_Efficiencies,MATCH(D1213,Transport_Modes,0)),"Insert data")</f>
        <v>0</v>
      </c>
      <c r="E1223" s="31">
        <f>IFERROR(IF(C1223="Default",D1223,IF(OR(ISBLANK(E1225),ISBLANK(D1229),ISBLANK(D1233)),"Insert data",(IF(C1229="litres",(D1229*(INDEX(Fuel_Densities,MATCH(D1215,Fuels_for_Densities,0))/1000)*INDEX(Fuel_LHV,MATCH(D1215,Fuels_for_LHV,0)))/(D1233*D1214),(IF(C1229="m3",(D1229*(INDEX(Fuel_Densities,MATCH(D1215,Fuels_for_Densities,0)))*INDEX(Fuel_LHV,MATCH(D1215,Fuels_for_LHV,0)))/(D1233*D1214),IF(C1229="kg",(D1229*INDEX(Fuel_LHV,MATCH(D1215,Fuels_for_LHV,0)))/(D1233*D1214),IF(C1229="tonnes",(D1229*INDEX(Fuel_LHV,MATCH(D1215,Fuels_for_LHV,0))*1000)/(D1233*D1214),IF(C1229="MWh",(D1229*'Reference values'!$D$47)/(D1233*D1214),IF(C1229="kWh",(D1229*'Reference values'!$D$47/1000)/(D1233*D1214),"Insert unit")))))))))),"")</f>
        <v>0</v>
      </c>
      <c r="F1223" s="21"/>
      <c r="G1223" s="21"/>
      <c r="L1223" s="35"/>
    </row>
    <row r="1224" spans="2:12" s="4" customFormat="1" outlineLevel="1" x14ac:dyDescent="0.4">
      <c r="B1224" s="20"/>
      <c r="C1224" s="21"/>
      <c r="D1224" s="21"/>
      <c r="E1224" s="21"/>
      <c r="F1224" s="21"/>
      <c r="G1224" s="21"/>
      <c r="H1224" s="21"/>
      <c r="I1224" s="21"/>
      <c r="J1224" s="21"/>
      <c r="K1224" s="21"/>
      <c r="L1224" s="35"/>
    </row>
    <row r="1225" spans="2:12" s="4" customFormat="1" ht="16.5" customHeight="1" outlineLevel="1" x14ac:dyDescent="0.4">
      <c r="B1225" s="20"/>
      <c r="C1225" s="759" t="s">
        <v>177</v>
      </c>
      <c r="D1225" s="759"/>
      <c r="E1225" s="135" t="s">
        <v>178</v>
      </c>
      <c r="F1225" s="21"/>
      <c r="G1225" s="21"/>
      <c r="L1225" s="35"/>
    </row>
    <row r="1226" spans="2:12" s="4" customFormat="1" ht="12.75" customHeight="1" outlineLevel="1" x14ac:dyDescent="0.4">
      <c r="B1226" s="20"/>
      <c r="C1226" s="21"/>
      <c r="D1226" s="21"/>
      <c r="E1226" s="21"/>
      <c r="F1226" s="21"/>
      <c r="G1226" s="21"/>
      <c r="L1226" s="35"/>
    </row>
    <row r="1227" spans="2:12" s="4" customFormat="1" outlineLevel="1" x14ac:dyDescent="0.4">
      <c r="B1227" s="20"/>
      <c r="C1227" s="25" t="str">
        <f>IF(E1225="yes", "Fuel demand for outward journey",IF(E1225="No","Fuel demand for full journey (outward and return)",""))</f>
        <v>Fuel demand for full journey (outward and return)</v>
      </c>
      <c r="D1227" s="21"/>
      <c r="E1227" s="21"/>
      <c r="F1227" s="21"/>
      <c r="G1227" s="21"/>
      <c r="H1227" s="21"/>
      <c r="I1227" s="21"/>
      <c r="J1227" s="21"/>
      <c r="K1227" s="21"/>
      <c r="L1227" s="35"/>
    </row>
    <row r="1228" spans="2:12" s="4" customFormat="1" outlineLevel="1" x14ac:dyDescent="0.4">
      <c r="B1228" s="20"/>
      <c r="C1228" s="164" t="s">
        <v>151</v>
      </c>
      <c r="D1228" s="164" t="s">
        <v>140</v>
      </c>
      <c r="E1228" s="21"/>
      <c r="F1228" s="21"/>
      <c r="G1228" s="21"/>
      <c r="H1228" s="21"/>
      <c r="I1228" s="21"/>
      <c r="J1228" s="21"/>
      <c r="K1228" s="21"/>
      <c r="L1228" s="35"/>
    </row>
    <row r="1229" spans="2:12" s="4" customFormat="1" outlineLevel="1" x14ac:dyDescent="0.4">
      <c r="B1229" s="20"/>
      <c r="C1229" s="138"/>
      <c r="D1229" s="135"/>
      <c r="E1229" s="21"/>
      <c r="F1229" s="21"/>
      <c r="G1229" s="21"/>
      <c r="H1229" s="21"/>
      <c r="I1229" s="21"/>
      <c r="J1229" s="21"/>
      <c r="K1229" s="21"/>
      <c r="L1229" s="35"/>
    </row>
    <row r="1230" spans="2:12" s="4" customFormat="1" outlineLevel="1" x14ac:dyDescent="0.4">
      <c r="B1230" s="20"/>
      <c r="C1230" s="21"/>
      <c r="D1230" s="21"/>
      <c r="E1230" s="21"/>
      <c r="F1230" s="21"/>
      <c r="G1230" s="21"/>
      <c r="H1230" s="21"/>
      <c r="I1230" s="21"/>
      <c r="J1230" s="21"/>
      <c r="K1230" s="21"/>
      <c r="L1230" s="35"/>
    </row>
    <row r="1231" spans="2:12" s="4" customFormat="1" outlineLevel="1" x14ac:dyDescent="0.4">
      <c r="B1231" s="20"/>
      <c r="C1231" s="25" t="s">
        <v>180</v>
      </c>
      <c r="D1231" s="21"/>
      <c r="E1231" s="21"/>
      <c r="F1231" s="21"/>
      <c r="G1231" s="21"/>
      <c r="H1231" s="21"/>
      <c r="I1231" s="21"/>
      <c r="J1231" s="21"/>
      <c r="K1231" s="21"/>
      <c r="L1231" s="35"/>
    </row>
    <row r="1232" spans="2:12" s="4" customFormat="1" outlineLevel="1" x14ac:dyDescent="0.4">
      <c r="B1232" s="20"/>
      <c r="C1232" s="164" t="s">
        <v>151</v>
      </c>
      <c r="D1232" s="164" t="s">
        <v>140</v>
      </c>
      <c r="E1232" s="21"/>
      <c r="F1232" s="21"/>
      <c r="G1232" s="21"/>
      <c r="H1232" s="21"/>
      <c r="I1232" s="21"/>
      <c r="J1232" s="21"/>
      <c r="K1232" s="21"/>
      <c r="L1232" s="35"/>
    </row>
    <row r="1233" spans="2:12" s="4" customFormat="1" outlineLevel="1" x14ac:dyDescent="0.4">
      <c r="B1233" s="20"/>
      <c r="C1233" s="138"/>
      <c r="D1233" s="135"/>
      <c r="E1233" s="21"/>
      <c r="F1233" s="21"/>
      <c r="G1233" s="21"/>
      <c r="H1233" s="21"/>
      <c r="I1233" s="21"/>
      <c r="J1233" s="21"/>
      <c r="K1233" s="21"/>
      <c r="L1233" s="35"/>
    </row>
    <row r="1234" spans="2:12" s="4" customFormat="1" ht="12.75" customHeight="1" outlineLevel="1" x14ac:dyDescent="0.4">
      <c r="B1234" s="28"/>
      <c r="C1234" s="29"/>
      <c r="D1234" s="29"/>
      <c r="E1234" s="29"/>
      <c r="F1234" s="29"/>
      <c r="G1234" s="29"/>
      <c r="H1234" s="29"/>
      <c r="I1234" s="29"/>
      <c r="J1234" s="29"/>
      <c r="K1234" s="29"/>
      <c r="L1234" s="60"/>
    </row>
    <row r="1235" spans="2:12" s="4" customFormat="1" ht="3.9" customHeight="1" x14ac:dyDescent="0.4"/>
    <row r="1236" spans="2:12" s="4" customFormat="1" ht="10.5" hidden="1" customHeight="1" x14ac:dyDescent="0.4"/>
    <row r="1237" spans="2:12" s="1" customFormat="1" ht="11.1" hidden="1" customHeight="1" x14ac:dyDescent="0.35">
      <c r="B1237" s="2"/>
      <c r="C1237" s="3"/>
      <c r="E1237" s="2"/>
    </row>
    <row r="1238" spans="2:12" s="4" customFormat="1" ht="15.9" hidden="1" customHeight="1" x14ac:dyDescent="0.4"/>
    <row r="1239" spans="2:12" s="4" customFormat="1" ht="15.9" hidden="1" customHeight="1" x14ac:dyDescent="0.4"/>
    <row r="1240" spans="2:12" s="4" customFormat="1" ht="15.9" hidden="1" customHeight="1" x14ac:dyDescent="0.4"/>
    <row r="1241" spans="2:12" s="4" customFormat="1" hidden="1" x14ac:dyDescent="0.4"/>
    <row r="1242" spans="2:12" s="4" customFormat="1" ht="15.9" hidden="1" customHeight="1" x14ac:dyDescent="0.4"/>
    <row r="1243" spans="2:12" s="4" customFormat="1" ht="15.9" hidden="1" customHeight="1" x14ac:dyDescent="0.4"/>
    <row r="1244" spans="2:12" s="4" customFormat="1" hidden="1" x14ac:dyDescent="0.4"/>
    <row r="1245" spans="2:12" s="1" customFormat="1" ht="11.1" hidden="1" customHeight="1" x14ac:dyDescent="0.35">
      <c r="B1245" s="2"/>
      <c r="C1245" s="3"/>
      <c r="E1245" s="2"/>
    </row>
    <row r="1246" spans="2:12" s="4" customFormat="1" ht="15.9" hidden="1" customHeight="1" x14ac:dyDescent="0.4"/>
    <row r="1247" spans="2:12" s="4" customFormat="1" ht="15.9" hidden="1" customHeight="1" x14ac:dyDescent="0.4"/>
    <row r="1248" spans="2:12" s="4" customFormat="1" ht="15.9" hidden="1" customHeight="1" x14ac:dyDescent="0.4"/>
    <row r="1249" spans="2:12" s="4" customFormat="1" hidden="1" x14ac:dyDescent="0.4"/>
    <row r="1250" spans="2:12" s="4" customFormat="1" hidden="1" x14ac:dyDescent="0.4"/>
    <row r="1251" spans="2:12" s="4" customFormat="1" hidden="1" x14ac:dyDescent="0.4"/>
    <row r="1252" spans="2:12" s="4" customFormat="1" hidden="1" x14ac:dyDescent="0.4"/>
    <row r="1253" spans="2:12" s="4" customFormat="1" hidden="1" x14ac:dyDescent="0.4"/>
    <row r="1254" spans="2:12" s="4" customFormat="1" hidden="1" x14ac:dyDescent="0.4"/>
    <row r="1255" spans="2:12" s="4" customFormat="1" hidden="1" x14ac:dyDescent="0.4"/>
    <row r="1256" spans="2:12" s="4" customFormat="1" hidden="1" x14ac:dyDescent="0.4"/>
    <row r="1257" spans="2:12" s="4" customFormat="1" ht="18" customHeight="1" x14ac:dyDescent="0.4"/>
    <row r="1258" spans="2:12" s="4" customFormat="1" ht="19.2" x14ac:dyDescent="0.45">
      <c r="B1258" s="754" t="str">
        <f>"Transport to Plant"&amp;" - "&amp;Feedstocks!C42</f>
        <v xml:space="preserve">Transport to Plant - </v>
      </c>
      <c r="C1258" s="755"/>
      <c r="D1258" s="755"/>
      <c r="E1258" s="755"/>
      <c r="F1258" s="755"/>
      <c r="G1258" s="755"/>
      <c r="H1258" s="755"/>
      <c r="I1258" s="755"/>
      <c r="J1258" s="755"/>
      <c r="K1258" s="755"/>
      <c r="L1258" s="756"/>
    </row>
    <row r="1259" spans="2:12" s="4" customFormat="1" outlineLevel="1" x14ac:dyDescent="0.4">
      <c r="B1259" s="17"/>
      <c r="C1259" s="18"/>
      <c r="D1259" s="19"/>
      <c r="E1259" s="19"/>
      <c r="F1259" s="19"/>
      <c r="G1259" s="19"/>
      <c r="H1259" s="19"/>
      <c r="I1259" s="19"/>
      <c r="J1259" s="19"/>
      <c r="K1259" s="19"/>
      <c r="L1259" s="50"/>
    </row>
    <row r="1260" spans="2:12" s="4" customFormat="1" outlineLevel="1" x14ac:dyDescent="0.4">
      <c r="B1260" s="20"/>
      <c r="C1260" s="174" t="s">
        <v>87</v>
      </c>
      <c r="D1260" s="778" t="str">
        <f>IF(Feedstocks!$C$42&gt;0,Feedstocks!$C$42,"")</f>
        <v/>
      </c>
      <c r="E1260" s="778"/>
      <c r="F1260" s="778"/>
      <c r="G1260" s="1"/>
      <c r="H1260" s="303" t="s">
        <v>122</v>
      </c>
      <c r="I1260" s="47"/>
      <c r="J1260" s="47"/>
      <c r="K1260" s="61"/>
      <c r="L1260" s="35"/>
    </row>
    <row r="1261" spans="2:12" s="4" customFormat="1" outlineLevel="1" x14ac:dyDescent="0.4">
      <c r="B1261" s="20"/>
      <c r="C1261" s="1"/>
      <c r="D1261" s="1"/>
      <c r="E1261" s="1"/>
      <c r="F1261" s="1"/>
      <c r="G1261" s="523"/>
      <c r="H1261" s="43"/>
      <c r="I1261" s="36"/>
      <c r="J1261" s="164" t="s">
        <v>124</v>
      </c>
      <c r="K1261" s="44"/>
      <c r="L1261" s="35"/>
    </row>
    <row r="1262" spans="2:12" s="12" customFormat="1" ht="15" outlineLevel="1" x14ac:dyDescent="0.35">
      <c r="B1262" s="20"/>
      <c r="C1262" s="85"/>
      <c r="D1262" s="1"/>
      <c r="E1262" s="1"/>
      <c r="F1262" s="1"/>
      <c r="G1262" s="1"/>
      <c r="H1262" s="43"/>
      <c r="I1262" s="164" t="s">
        <v>125</v>
      </c>
      <c r="J1262" s="52" t="str">
        <f>IFERROR((J1265/(('Digestion &amp; outputs'!$G$43/1000)))*'Digestion &amp; outputs'!$K$23,"")</f>
        <v/>
      </c>
      <c r="K1262" s="44"/>
      <c r="L1262" s="54"/>
    </row>
    <row r="1263" spans="2:12" s="4" customFormat="1" outlineLevel="1" x14ac:dyDescent="0.4">
      <c r="B1263" s="20"/>
      <c r="C1263" s="164" t="s">
        <v>163</v>
      </c>
      <c r="D1263" s="134" t="s">
        <v>164</v>
      </c>
      <c r="E1263" s="1"/>
      <c r="F1263" s="1"/>
      <c r="G1263" s="1"/>
      <c r="H1263" s="41"/>
      <c r="I1263" s="34"/>
      <c r="J1263" s="34"/>
      <c r="K1263" s="37"/>
      <c r="L1263" s="35"/>
    </row>
    <row r="1264" spans="2:12" s="4" customFormat="1" outlineLevel="1" x14ac:dyDescent="0.4">
      <c r="B1264" s="20"/>
      <c r="C1264" s="164" t="s">
        <v>165</v>
      </c>
      <c r="D1264" s="143"/>
      <c r="E1264" s="1"/>
      <c r="F1264" s="1"/>
      <c r="G1264" s="1"/>
      <c r="H1264" s="41"/>
      <c r="I1264" s="36"/>
      <c r="J1264" s="164" t="s">
        <v>141</v>
      </c>
      <c r="K1264" s="37"/>
      <c r="L1264" s="35"/>
    </row>
    <row r="1265" spans="2:12" s="4" customFormat="1" outlineLevel="1" x14ac:dyDescent="0.4">
      <c r="B1265" s="20"/>
      <c r="C1265" s="164" t="s">
        <v>160</v>
      </c>
      <c r="D1265" s="134" t="s">
        <v>166</v>
      </c>
      <c r="E1265" s="1"/>
      <c r="F1265" s="1"/>
      <c r="G1265" s="1"/>
      <c r="H1265" s="42"/>
      <c r="I1265" s="164" t="s">
        <v>167</v>
      </c>
      <c r="J1265" s="52">
        <f>IFERROR(J1270,"Insert data")</f>
        <v>0</v>
      </c>
      <c r="K1265" s="62"/>
      <c r="L1265" s="35"/>
    </row>
    <row r="1266" spans="2:12" s="4" customFormat="1" outlineLevel="1" x14ac:dyDescent="0.4">
      <c r="B1266" s="20"/>
      <c r="C1266" s="21"/>
      <c r="D1266" s="21"/>
      <c r="E1266" s="21"/>
      <c r="F1266" s="21"/>
      <c r="G1266" s="21"/>
      <c r="H1266" s="46"/>
      <c r="I1266" s="58"/>
      <c r="J1266" s="58"/>
      <c r="K1266" s="59"/>
      <c r="L1266" s="35"/>
    </row>
    <row r="1267" spans="2:12" s="4" customFormat="1" outlineLevel="1" x14ac:dyDescent="0.4">
      <c r="B1267" s="20"/>
      <c r="C1267" s="25" t="s">
        <v>168</v>
      </c>
      <c r="D1267" s="21"/>
      <c r="E1267" s="21"/>
      <c r="F1267" s="21"/>
      <c r="G1267" s="21"/>
      <c r="H1267" s="21"/>
      <c r="I1267" s="21"/>
      <c r="J1267" s="21"/>
      <c r="K1267" s="21"/>
      <c r="L1267" s="35"/>
    </row>
    <row r="1268" spans="2:12" s="14" customFormat="1" ht="30.6" outlineLevel="1" x14ac:dyDescent="0.4">
      <c r="B1268" s="23"/>
      <c r="C1268" s="166" t="s">
        <v>131</v>
      </c>
      <c r="D1268" s="166" t="s">
        <v>169</v>
      </c>
      <c r="E1268" s="166" t="s">
        <v>170</v>
      </c>
      <c r="F1268" s="166" t="s">
        <v>171</v>
      </c>
      <c r="G1268" s="24"/>
      <c r="H1268" s="303" t="s">
        <v>136</v>
      </c>
      <c r="I1268" s="47"/>
      <c r="J1268" s="47"/>
      <c r="K1268" s="45"/>
      <c r="L1268" s="63"/>
    </row>
    <row r="1269" spans="2:12" s="4" customFormat="1" outlineLevel="1" x14ac:dyDescent="0.4">
      <c r="B1269" s="20"/>
      <c r="C1269" s="138" t="s">
        <v>96</v>
      </c>
      <c r="D1269" s="93">
        <v>1</v>
      </c>
      <c r="E1269" s="135"/>
      <c r="F1269" s="31">
        <f>IFERROR(IF(OR(C1269="Default",D1263="No transport required"),D1269,IF(ISBLANK(E1269),"Insert data",E1269)),"")</f>
        <v>1</v>
      </c>
      <c r="G1269" s="21"/>
      <c r="H1269" s="41"/>
      <c r="I1269" s="36"/>
      <c r="J1269" s="164" t="s">
        <v>141</v>
      </c>
      <c r="K1269" s="37"/>
      <c r="L1269" s="35"/>
    </row>
    <row r="1270" spans="2:12" s="4" customFormat="1" outlineLevel="1" x14ac:dyDescent="0.4">
      <c r="B1270" s="20"/>
      <c r="C1270" s="21"/>
      <c r="D1270" s="21"/>
      <c r="E1270" s="692" t="str">
        <f>IF(E1269&gt;1, "this should not be greater than 1", "")</f>
        <v/>
      </c>
      <c r="F1270" s="21"/>
      <c r="G1270" s="21"/>
      <c r="H1270" s="42"/>
      <c r="I1270" s="164" t="s">
        <v>172</v>
      </c>
      <c r="J1270" s="52">
        <f>IF(D1263="No transport required",0,IFERROR(E1273*INDEX(Fuel_EFs,MATCH(D1265,Fuels_for_EF,0))*D1264/1000,"Insert data"))</f>
        <v>0</v>
      </c>
      <c r="K1270" s="62"/>
      <c r="L1270" s="35"/>
    </row>
    <row r="1271" spans="2:12" s="4" customFormat="1" outlineLevel="1" x14ac:dyDescent="0.4">
      <c r="B1271" s="20"/>
      <c r="C1271" s="25" t="s">
        <v>173</v>
      </c>
      <c r="D1271" s="21"/>
      <c r="E1271" s="21"/>
      <c r="F1271" s="21"/>
      <c r="G1271" s="21"/>
      <c r="H1271" s="46"/>
      <c r="I1271" s="58"/>
      <c r="J1271" s="58"/>
      <c r="K1271" s="59"/>
      <c r="L1271" s="35"/>
    </row>
    <row r="1272" spans="2:12" s="14" customFormat="1" outlineLevel="1" x14ac:dyDescent="0.4">
      <c r="B1272" s="23"/>
      <c r="C1272" s="176" t="s">
        <v>174</v>
      </c>
      <c r="D1272" s="166" t="s">
        <v>175</v>
      </c>
      <c r="E1272" s="166" t="s">
        <v>176</v>
      </c>
      <c r="F1272" s="24"/>
      <c r="G1272" s="24"/>
      <c r="H1272" s="4"/>
      <c r="I1272" s="4"/>
      <c r="J1272" s="4"/>
      <c r="K1272" s="4"/>
      <c r="L1272" s="63"/>
    </row>
    <row r="1273" spans="2:12" s="4" customFormat="1" outlineLevel="1" x14ac:dyDescent="0.4">
      <c r="B1273" s="20"/>
      <c r="C1273" s="138" t="s">
        <v>96</v>
      </c>
      <c r="D1273" s="93">
        <f>IFERROR(INDEX(Transport_Fuel_Efficiencies,MATCH(D1263,Transport_Modes,0)),"Insert data")</f>
        <v>0</v>
      </c>
      <c r="E1273" s="31">
        <f>IFERROR(IF(C1273="Default",D1273,IF(OR(ISBLANK(E1275),ISBLANK(D1279),ISBLANK(D1283)),"Insert data",(IF(C1279="litres",(D1279*(INDEX(Fuel_Densities,MATCH(D1265,Fuels_for_Densities,0))/1000)*INDEX(Fuel_LHV,MATCH(D1265,Fuels_for_LHV,0)))/(D1283*D1264),(IF(C1279="m3",(D1279*(INDEX(Fuel_Densities,MATCH(D1265,Fuels_for_Densities,0)))*INDEX(Fuel_LHV,MATCH(D1265,Fuels_for_LHV,0)))/(D1283*D1264),IF(C1279="kg",(D1279*INDEX(Fuel_LHV,MATCH(D1265,Fuels_for_LHV,0)))/(D1283*D1264),IF(C1279="tonnes",(D1279*INDEX(Fuel_LHV,MATCH(D1265,Fuels_for_LHV,0))*1000)/(D1283*D1264),IF(C1279="MWh",(D1279*'Reference values'!$D$47)/(D1283*D1264),IF(C1279="kWh",(D1279*'Reference values'!$D$47/1000)/(D1283*D1264),"Insert unit")))))))))),"")</f>
        <v>0</v>
      </c>
      <c r="F1273" s="21"/>
      <c r="G1273" s="21"/>
      <c r="L1273" s="35"/>
    </row>
    <row r="1274" spans="2:12" s="4" customFormat="1" outlineLevel="1" x14ac:dyDescent="0.4">
      <c r="B1274" s="20"/>
      <c r="C1274" s="21"/>
      <c r="D1274" s="21"/>
      <c r="E1274" s="21"/>
      <c r="F1274" s="21"/>
      <c r="G1274" s="21"/>
      <c r="H1274" s="21"/>
      <c r="I1274" s="21"/>
      <c r="J1274" s="21"/>
      <c r="K1274" s="21"/>
      <c r="L1274" s="35"/>
    </row>
    <row r="1275" spans="2:12" s="4" customFormat="1" ht="16.5" customHeight="1" outlineLevel="1" x14ac:dyDescent="0.4">
      <c r="B1275" s="20"/>
      <c r="C1275" s="759" t="s">
        <v>177</v>
      </c>
      <c r="D1275" s="759"/>
      <c r="E1275" s="135" t="s">
        <v>178</v>
      </c>
      <c r="F1275" s="21"/>
      <c r="G1275" s="21"/>
      <c r="H1275" s="21"/>
      <c r="I1275" s="21"/>
      <c r="J1275" s="21"/>
      <c r="K1275" s="21"/>
      <c r="L1275" s="35"/>
    </row>
    <row r="1276" spans="2:12" s="4" customFormat="1" ht="12.75" customHeight="1" outlineLevel="1" x14ac:dyDescent="0.4">
      <c r="B1276" s="20"/>
      <c r="C1276" s="21"/>
      <c r="D1276" s="21"/>
      <c r="E1276" s="21"/>
      <c r="F1276" s="21"/>
      <c r="G1276" s="21"/>
      <c r="L1276" s="35"/>
    </row>
    <row r="1277" spans="2:12" s="4" customFormat="1" outlineLevel="1" x14ac:dyDescent="0.4">
      <c r="B1277" s="20"/>
      <c r="C1277" s="25" t="str">
        <f>IF(E1275="yes", "Fuel demand for outward journey",IF(E1275="No","Fuel demand for full journey (outward and return)",""))</f>
        <v>Fuel demand for full journey (outward and return)</v>
      </c>
      <c r="D1277" s="21"/>
      <c r="E1277" s="21"/>
      <c r="F1277" s="21"/>
      <c r="G1277" s="21"/>
      <c r="H1277" s="21"/>
      <c r="I1277" s="21"/>
      <c r="J1277" s="21"/>
      <c r="K1277" s="21"/>
      <c r="L1277" s="35"/>
    </row>
    <row r="1278" spans="2:12" s="4" customFormat="1" outlineLevel="1" x14ac:dyDescent="0.4">
      <c r="B1278" s="20"/>
      <c r="C1278" s="164" t="s">
        <v>151</v>
      </c>
      <c r="D1278" s="164" t="s">
        <v>140</v>
      </c>
      <c r="E1278" s="21"/>
      <c r="F1278" s="21"/>
      <c r="G1278" s="21"/>
      <c r="H1278" s="21"/>
      <c r="I1278" s="21"/>
      <c r="J1278" s="21"/>
      <c r="K1278" s="21"/>
      <c r="L1278" s="35"/>
    </row>
    <row r="1279" spans="2:12" s="4" customFormat="1" outlineLevel="1" x14ac:dyDescent="0.4">
      <c r="B1279" s="20"/>
      <c r="C1279" s="138"/>
      <c r="D1279" s="135"/>
      <c r="E1279" s="21"/>
      <c r="F1279" s="21"/>
      <c r="G1279" s="21"/>
      <c r="H1279" s="21"/>
      <c r="I1279" s="21"/>
      <c r="J1279" s="21"/>
      <c r="K1279" s="21"/>
      <c r="L1279" s="35"/>
    </row>
    <row r="1280" spans="2:12" s="4" customFormat="1" outlineLevel="1" x14ac:dyDescent="0.4">
      <c r="B1280" s="20"/>
      <c r="C1280" s="21"/>
      <c r="D1280" s="21"/>
      <c r="E1280" s="21"/>
      <c r="F1280" s="21"/>
      <c r="G1280" s="21"/>
      <c r="H1280" s="21"/>
      <c r="I1280" s="21"/>
      <c r="J1280" s="21"/>
      <c r="K1280" s="21"/>
      <c r="L1280" s="35"/>
    </row>
    <row r="1281" spans="2:12" s="4" customFormat="1" outlineLevel="1" x14ac:dyDescent="0.4">
      <c r="B1281" s="20"/>
      <c r="C1281" s="25" t="s">
        <v>180</v>
      </c>
      <c r="D1281" s="21"/>
      <c r="E1281" s="21"/>
      <c r="F1281" s="21"/>
      <c r="G1281" s="21"/>
      <c r="H1281" s="21"/>
      <c r="I1281" s="21"/>
      <c r="J1281" s="21"/>
      <c r="K1281" s="21"/>
      <c r="L1281" s="35"/>
    </row>
    <row r="1282" spans="2:12" s="4" customFormat="1" outlineLevel="1" x14ac:dyDescent="0.4">
      <c r="B1282" s="20"/>
      <c r="C1282" s="164" t="s">
        <v>151</v>
      </c>
      <c r="D1282" s="164" t="s">
        <v>140</v>
      </c>
      <c r="E1282" s="21"/>
      <c r="F1282" s="21"/>
      <c r="G1282" s="21"/>
      <c r="H1282" s="21"/>
      <c r="I1282" s="21"/>
      <c r="J1282" s="21"/>
      <c r="K1282" s="21"/>
      <c r="L1282" s="35"/>
    </row>
    <row r="1283" spans="2:12" s="4" customFormat="1" outlineLevel="1" x14ac:dyDescent="0.4">
      <c r="B1283" s="20"/>
      <c r="C1283" s="138"/>
      <c r="D1283" s="135"/>
      <c r="E1283" s="21"/>
      <c r="F1283" s="21"/>
      <c r="G1283" s="21"/>
      <c r="H1283" s="21"/>
      <c r="I1283" s="21"/>
      <c r="J1283" s="21"/>
      <c r="K1283" s="21"/>
      <c r="L1283" s="35"/>
    </row>
    <row r="1284" spans="2:12" s="4" customFormat="1" ht="12.75" customHeight="1" outlineLevel="1" x14ac:dyDescent="0.4">
      <c r="B1284" s="28"/>
      <c r="C1284" s="29"/>
      <c r="D1284" s="29"/>
      <c r="E1284" s="29"/>
      <c r="F1284" s="29"/>
      <c r="G1284" s="29"/>
      <c r="H1284" s="29"/>
      <c r="I1284" s="29"/>
      <c r="J1284" s="29"/>
      <c r="K1284" s="29"/>
      <c r="L1284" s="60"/>
    </row>
    <row r="1285" spans="2:12" s="4" customFormat="1" ht="3.9" customHeight="1" x14ac:dyDescent="0.4"/>
    <row r="1286" spans="2:12" s="4" customFormat="1" ht="10.5" hidden="1" customHeight="1" x14ac:dyDescent="0.4"/>
    <row r="1287" spans="2:12" s="1" customFormat="1" ht="11.1" hidden="1" customHeight="1" x14ac:dyDescent="0.35">
      <c r="B1287" s="2"/>
      <c r="C1287" s="3"/>
      <c r="E1287" s="2"/>
    </row>
    <row r="1288" spans="2:12" s="4" customFormat="1" ht="15.9" hidden="1" customHeight="1" x14ac:dyDescent="0.4"/>
    <row r="1289" spans="2:12" s="4" customFormat="1" ht="15.9" hidden="1" customHeight="1" x14ac:dyDescent="0.4"/>
    <row r="1290" spans="2:12" s="4" customFormat="1" ht="15.9" hidden="1" customHeight="1" x14ac:dyDescent="0.4"/>
    <row r="1291" spans="2:12" s="4" customFormat="1" hidden="1" x14ac:dyDescent="0.4"/>
    <row r="1292" spans="2:12" s="4" customFormat="1" ht="15.9" hidden="1" customHeight="1" x14ac:dyDescent="0.4"/>
    <row r="1293" spans="2:12" s="4" customFormat="1" ht="15.9" hidden="1" customHeight="1" x14ac:dyDescent="0.4"/>
    <row r="1294" spans="2:12" s="4" customFormat="1" hidden="1" x14ac:dyDescent="0.4"/>
    <row r="1295" spans="2:12" s="1" customFormat="1" ht="11.1" hidden="1" customHeight="1" x14ac:dyDescent="0.35">
      <c r="B1295" s="2"/>
      <c r="C1295" s="3"/>
      <c r="E1295" s="2"/>
    </row>
    <row r="1296" spans="2:12" s="4" customFormat="1" ht="15.9" hidden="1" customHeight="1" x14ac:dyDescent="0.4"/>
    <row r="1297" spans="2:12" s="4" customFormat="1" ht="15.9" hidden="1" customHeight="1" x14ac:dyDescent="0.4"/>
    <row r="1298" spans="2:12" s="4" customFormat="1" ht="15.9" hidden="1" customHeight="1" x14ac:dyDescent="0.4"/>
    <row r="1299" spans="2:12" s="4" customFormat="1" hidden="1" x14ac:dyDescent="0.4"/>
    <row r="1300" spans="2:12" s="4" customFormat="1" hidden="1" x14ac:dyDescent="0.4"/>
    <row r="1301" spans="2:12" s="4" customFormat="1" hidden="1" x14ac:dyDescent="0.4"/>
    <row r="1302" spans="2:12" s="4" customFormat="1" hidden="1" x14ac:dyDescent="0.4"/>
    <row r="1303" spans="2:12" s="4" customFormat="1" hidden="1" x14ac:dyDescent="0.4"/>
    <row r="1304" spans="2:12" s="4" customFormat="1" hidden="1" x14ac:dyDescent="0.4"/>
    <row r="1305" spans="2:12" s="4" customFormat="1" hidden="1" x14ac:dyDescent="0.4"/>
    <row r="1306" spans="2:12" s="4" customFormat="1" hidden="1" x14ac:dyDescent="0.4"/>
    <row r="1307" spans="2:12" s="4" customFormat="1" ht="20.399999999999999" customHeight="1" x14ac:dyDescent="0.4"/>
    <row r="1308" spans="2:12" s="4" customFormat="1" ht="19.2" x14ac:dyDescent="0.45">
      <c r="B1308" s="754" t="str">
        <f>"Transport to Plant"&amp;" - "&amp;Feedstocks!C43</f>
        <v xml:space="preserve">Transport to Plant - </v>
      </c>
      <c r="C1308" s="755"/>
      <c r="D1308" s="755"/>
      <c r="E1308" s="755"/>
      <c r="F1308" s="755"/>
      <c r="G1308" s="755"/>
      <c r="H1308" s="755"/>
      <c r="I1308" s="755"/>
      <c r="J1308" s="755"/>
      <c r="K1308" s="755"/>
      <c r="L1308" s="756"/>
    </row>
    <row r="1309" spans="2:12" s="4" customFormat="1" outlineLevel="1" x14ac:dyDescent="0.4">
      <c r="B1309" s="17"/>
      <c r="C1309" s="18"/>
      <c r="D1309" s="19"/>
      <c r="E1309" s="19"/>
      <c r="F1309" s="19"/>
      <c r="G1309" s="19"/>
      <c r="H1309" s="19"/>
      <c r="I1309" s="19"/>
      <c r="J1309" s="19"/>
      <c r="K1309" s="19"/>
      <c r="L1309" s="50"/>
    </row>
    <row r="1310" spans="2:12" s="4" customFormat="1" outlineLevel="1" x14ac:dyDescent="0.4">
      <c r="B1310" s="20"/>
      <c r="C1310" s="174" t="s">
        <v>87</v>
      </c>
      <c r="D1310" s="778" t="str">
        <f>IF(Feedstocks!$C$43&gt;0,Feedstocks!$C$43,"")</f>
        <v/>
      </c>
      <c r="E1310" s="778"/>
      <c r="F1310" s="778"/>
      <c r="G1310" s="1"/>
      <c r="H1310" s="303" t="s">
        <v>122</v>
      </c>
      <c r="I1310" s="47"/>
      <c r="J1310" s="47"/>
      <c r="K1310" s="61"/>
      <c r="L1310" s="35"/>
    </row>
    <row r="1311" spans="2:12" s="4" customFormat="1" outlineLevel="1" x14ac:dyDescent="0.4">
      <c r="B1311" s="20"/>
      <c r="C1311" s="21"/>
      <c r="D1311" s="21"/>
      <c r="E1311" s="21"/>
      <c r="F1311" s="21"/>
      <c r="G1311" s="76"/>
      <c r="H1311" s="43"/>
      <c r="I1311" s="36"/>
      <c r="J1311" s="164" t="s">
        <v>124</v>
      </c>
      <c r="K1311" s="44"/>
      <c r="L1311" s="35"/>
    </row>
    <row r="1312" spans="2:12" s="12" customFormat="1" ht="15" outlineLevel="1" x14ac:dyDescent="0.35">
      <c r="B1312" s="20"/>
      <c r="C1312" s="1"/>
      <c r="D1312" s="1"/>
      <c r="E1312" s="1"/>
      <c r="F1312" s="1"/>
      <c r="G1312" s="1"/>
      <c r="H1312" s="43"/>
      <c r="I1312" s="164" t="s">
        <v>125</v>
      </c>
      <c r="J1312" s="52" t="str">
        <f>IFERROR((J1315/(('Digestion &amp; outputs'!$G$44/1000)))*'Digestion &amp; outputs'!$K$23,"")</f>
        <v/>
      </c>
      <c r="K1312" s="44"/>
      <c r="L1312" s="54"/>
    </row>
    <row r="1313" spans="2:12" s="4" customFormat="1" outlineLevel="1" x14ac:dyDescent="0.4">
      <c r="B1313" s="20"/>
      <c r="C1313" s="164" t="s">
        <v>163</v>
      </c>
      <c r="D1313" s="134" t="s">
        <v>164</v>
      </c>
      <c r="E1313" s="1"/>
      <c r="F1313" s="1"/>
      <c r="G1313" s="1"/>
      <c r="H1313" s="41"/>
      <c r="I1313" s="34"/>
      <c r="J1313" s="34"/>
      <c r="K1313" s="37"/>
      <c r="L1313" s="35"/>
    </row>
    <row r="1314" spans="2:12" s="4" customFormat="1" outlineLevel="1" x14ac:dyDescent="0.4">
      <c r="B1314" s="20"/>
      <c r="C1314" s="164" t="s">
        <v>165</v>
      </c>
      <c r="D1314" s="143"/>
      <c r="E1314" s="1"/>
      <c r="F1314" s="1"/>
      <c r="G1314" s="1"/>
      <c r="H1314" s="41"/>
      <c r="I1314" s="36"/>
      <c r="J1314" s="164" t="s">
        <v>141</v>
      </c>
      <c r="K1314" s="37"/>
      <c r="L1314" s="35"/>
    </row>
    <row r="1315" spans="2:12" s="4" customFormat="1" outlineLevel="1" x14ac:dyDescent="0.4">
      <c r="B1315" s="20"/>
      <c r="C1315" s="164" t="s">
        <v>160</v>
      </c>
      <c r="D1315" s="134" t="s">
        <v>166</v>
      </c>
      <c r="E1315" s="1"/>
      <c r="F1315" s="1"/>
      <c r="G1315" s="1"/>
      <c r="H1315" s="42"/>
      <c r="I1315" s="164" t="s">
        <v>167</v>
      </c>
      <c r="J1315" s="52">
        <f>IFERROR(J1320,"Insert data")</f>
        <v>0</v>
      </c>
      <c r="K1315" s="62"/>
      <c r="L1315" s="35"/>
    </row>
    <row r="1316" spans="2:12" s="4" customFormat="1" outlineLevel="1" x14ac:dyDescent="0.4">
      <c r="B1316" s="20"/>
      <c r="C1316" s="21"/>
      <c r="D1316" s="21"/>
      <c r="E1316" s="21"/>
      <c r="F1316" s="21"/>
      <c r="G1316" s="21"/>
      <c r="H1316" s="46"/>
      <c r="I1316" s="58"/>
      <c r="J1316" s="58"/>
      <c r="K1316" s="59"/>
      <c r="L1316" s="35"/>
    </row>
    <row r="1317" spans="2:12" s="4" customFormat="1" outlineLevel="1" x14ac:dyDescent="0.4">
      <c r="B1317" s="20"/>
      <c r="C1317" s="25" t="s">
        <v>168</v>
      </c>
      <c r="D1317" s="21"/>
      <c r="E1317" s="21"/>
      <c r="F1317" s="21"/>
      <c r="G1317" s="21"/>
      <c r="H1317" s="21"/>
      <c r="I1317" s="21"/>
      <c r="J1317" s="21"/>
      <c r="K1317" s="21"/>
      <c r="L1317" s="35"/>
    </row>
    <row r="1318" spans="2:12" s="14" customFormat="1" ht="30.6" outlineLevel="1" x14ac:dyDescent="0.4">
      <c r="B1318" s="23"/>
      <c r="C1318" s="166" t="s">
        <v>131</v>
      </c>
      <c r="D1318" s="166" t="s">
        <v>169</v>
      </c>
      <c r="E1318" s="166" t="s">
        <v>170</v>
      </c>
      <c r="F1318" s="166" t="s">
        <v>171</v>
      </c>
      <c r="G1318" s="24"/>
      <c r="H1318" s="303" t="s">
        <v>136</v>
      </c>
      <c r="I1318" s="47"/>
      <c r="J1318" s="47"/>
      <c r="K1318" s="45"/>
      <c r="L1318" s="63"/>
    </row>
    <row r="1319" spans="2:12" s="4" customFormat="1" outlineLevel="1" x14ac:dyDescent="0.4">
      <c r="B1319" s="20"/>
      <c r="C1319" s="138" t="s">
        <v>96</v>
      </c>
      <c r="D1319" s="93">
        <v>1</v>
      </c>
      <c r="E1319" s="135"/>
      <c r="F1319" s="31">
        <f>IFERROR(IF(OR(C1319="Default",D1313="No transport required"),D1319,IF(ISBLANK(E1319),"Insert data",E1319)),"")</f>
        <v>1</v>
      </c>
      <c r="G1319" s="21"/>
      <c r="H1319" s="41"/>
      <c r="I1319" s="36"/>
      <c r="J1319" s="164" t="s">
        <v>141</v>
      </c>
      <c r="K1319" s="37"/>
      <c r="L1319" s="35"/>
    </row>
    <row r="1320" spans="2:12" s="4" customFormat="1" outlineLevel="1" x14ac:dyDescent="0.4">
      <c r="B1320" s="20"/>
      <c r="C1320" s="21"/>
      <c r="D1320" s="21"/>
      <c r="E1320" s="692" t="str">
        <f>IF(E1319&gt;1, "this should not be greater than 1", "")</f>
        <v/>
      </c>
      <c r="F1320" s="21"/>
      <c r="G1320" s="21"/>
      <c r="H1320" s="42"/>
      <c r="I1320" s="164" t="s">
        <v>172</v>
      </c>
      <c r="J1320" s="52">
        <f>IF(D1313="No transport required",0,IFERROR(E1323*INDEX(Fuel_EFs,MATCH(D1315,Fuels_for_EF,0))*D1314/1000,"Insert data"))</f>
        <v>0</v>
      </c>
      <c r="K1320" s="62"/>
      <c r="L1320" s="35"/>
    </row>
    <row r="1321" spans="2:12" s="4" customFormat="1" outlineLevel="1" x14ac:dyDescent="0.4">
      <c r="B1321" s="20"/>
      <c r="C1321" s="25" t="s">
        <v>173</v>
      </c>
      <c r="D1321" s="21"/>
      <c r="E1321" s="21"/>
      <c r="F1321" s="21"/>
      <c r="G1321" s="21"/>
      <c r="H1321" s="46"/>
      <c r="I1321" s="58"/>
      <c r="J1321" s="58"/>
      <c r="K1321" s="59"/>
      <c r="L1321" s="35"/>
    </row>
    <row r="1322" spans="2:12" s="14" customFormat="1" outlineLevel="1" x14ac:dyDescent="0.4">
      <c r="B1322" s="23"/>
      <c r="C1322" s="176" t="s">
        <v>174</v>
      </c>
      <c r="D1322" s="166" t="s">
        <v>175</v>
      </c>
      <c r="E1322" s="166" t="s">
        <v>176</v>
      </c>
      <c r="F1322" s="24"/>
      <c r="G1322" s="24"/>
      <c r="H1322" s="4"/>
      <c r="I1322" s="4"/>
      <c r="J1322" s="4"/>
      <c r="K1322" s="4"/>
      <c r="L1322" s="63"/>
    </row>
    <row r="1323" spans="2:12" s="4" customFormat="1" outlineLevel="1" x14ac:dyDescent="0.4">
      <c r="B1323" s="20"/>
      <c r="C1323" s="138" t="s">
        <v>96</v>
      </c>
      <c r="D1323" s="93">
        <f>IFERROR(INDEX(Transport_Fuel_Efficiencies,MATCH(D1313,Transport_Modes,0)),"Insert data")</f>
        <v>0</v>
      </c>
      <c r="E1323" s="31">
        <f>IFERROR(IF(C1323="Default",D1323,IF(OR(ISBLANK(E1325),ISBLANK(D1329),ISBLANK(D1333)),"Insert data",(IF(C1329="litres",(D1329*(INDEX(Fuel_Densities,MATCH(D1315,Fuels_for_Densities,0))/1000)*INDEX(Fuel_LHV,MATCH(D1315,Fuels_for_LHV,0)))/(D1333*D1314),(IF(C1329="m3",(D1329*(INDEX(Fuel_Densities,MATCH(D1315,Fuels_for_Densities,0)))*INDEX(Fuel_LHV,MATCH(D1315,Fuels_for_LHV,0)))/(D1333*D1314),IF(C1329="kg",(D1329*INDEX(Fuel_LHV,MATCH(D1315,Fuels_for_LHV,0)))/(D1333*D1314),IF(C1329="tonnes",(D1329*INDEX(Fuel_LHV,MATCH(D1315,Fuels_for_LHV,0))*1000)/(D1333*D1314),IF(C1329="MWh",(D1329*'Reference values'!$D$47)/(D1333*D1314),IF(C1329="kWh",(D1329*'Reference values'!$D$47/1000)/(D1333*D1314),"Insert unit")))))))))),"")</f>
        <v>0</v>
      </c>
      <c r="F1323" s="21"/>
      <c r="G1323" s="21"/>
      <c r="L1323" s="35"/>
    </row>
    <row r="1324" spans="2:12" s="4" customFormat="1" outlineLevel="1" x14ac:dyDescent="0.4">
      <c r="B1324" s="20"/>
      <c r="C1324" s="21"/>
      <c r="D1324" s="21"/>
      <c r="E1324" s="21"/>
      <c r="F1324" s="21"/>
      <c r="G1324" s="21"/>
      <c r="H1324" s="21"/>
      <c r="I1324" s="21"/>
      <c r="J1324" s="21"/>
      <c r="K1324" s="21"/>
      <c r="L1324" s="35"/>
    </row>
    <row r="1325" spans="2:12" s="4" customFormat="1" ht="16.5" customHeight="1" outlineLevel="1" x14ac:dyDescent="0.4">
      <c r="B1325" s="20"/>
      <c r="C1325" s="759" t="s">
        <v>177</v>
      </c>
      <c r="D1325" s="759"/>
      <c r="E1325" s="135" t="s">
        <v>178</v>
      </c>
      <c r="F1325" s="21"/>
      <c r="G1325" s="21"/>
      <c r="L1325" s="35"/>
    </row>
    <row r="1326" spans="2:12" s="4" customFormat="1" ht="12.75" customHeight="1" outlineLevel="1" x14ac:dyDescent="0.4">
      <c r="B1326" s="20"/>
      <c r="C1326" s="21"/>
      <c r="D1326" s="21"/>
      <c r="E1326" s="21"/>
      <c r="F1326" s="21"/>
      <c r="G1326" s="21"/>
      <c r="L1326" s="35"/>
    </row>
    <row r="1327" spans="2:12" s="4" customFormat="1" outlineLevel="1" x14ac:dyDescent="0.4">
      <c r="B1327" s="20"/>
      <c r="C1327" s="25" t="str">
        <f>IF(E1325="yes", "Fuel demand for outward journey",IF(E1325="No","Fuel demand for full journey (outward and return)",""))</f>
        <v>Fuel demand for full journey (outward and return)</v>
      </c>
      <c r="D1327" s="21"/>
      <c r="E1327" s="21"/>
      <c r="F1327" s="21"/>
      <c r="G1327" s="21"/>
      <c r="H1327" s="21"/>
      <c r="I1327" s="21"/>
      <c r="J1327" s="21"/>
      <c r="K1327" s="21"/>
      <c r="L1327" s="35"/>
    </row>
    <row r="1328" spans="2:12" s="4" customFormat="1" outlineLevel="1" x14ac:dyDescent="0.4">
      <c r="B1328" s="20"/>
      <c r="C1328" s="164" t="s">
        <v>151</v>
      </c>
      <c r="D1328" s="164" t="s">
        <v>140</v>
      </c>
      <c r="E1328" s="21"/>
      <c r="F1328" s="21"/>
      <c r="G1328" s="21"/>
      <c r="H1328" s="21"/>
      <c r="I1328" s="21"/>
      <c r="J1328" s="21"/>
      <c r="K1328" s="21"/>
      <c r="L1328" s="35"/>
    </row>
    <row r="1329" spans="2:12" s="4" customFormat="1" outlineLevel="1" x14ac:dyDescent="0.4">
      <c r="B1329" s="20"/>
      <c r="C1329" s="138"/>
      <c r="D1329" s="135"/>
      <c r="E1329" s="21"/>
      <c r="F1329" s="21"/>
      <c r="G1329" s="21"/>
      <c r="H1329" s="21"/>
      <c r="I1329" s="21"/>
      <c r="J1329" s="21"/>
      <c r="K1329" s="21"/>
      <c r="L1329" s="35"/>
    </row>
    <row r="1330" spans="2:12" s="4" customFormat="1" outlineLevel="1" x14ac:dyDescent="0.4">
      <c r="B1330" s="20"/>
      <c r="C1330" s="21"/>
      <c r="D1330" s="21"/>
      <c r="E1330" s="21"/>
      <c r="F1330" s="21"/>
      <c r="G1330" s="21"/>
      <c r="H1330" s="21"/>
      <c r="I1330" s="21"/>
      <c r="J1330" s="21"/>
      <c r="K1330" s="21"/>
      <c r="L1330" s="35"/>
    </row>
    <row r="1331" spans="2:12" s="4" customFormat="1" outlineLevel="1" x14ac:dyDescent="0.4">
      <c r="B1331" s="20"/>
      <c r="C1331" s="25" t="s">
        <v>180</v>
      </c>
      <c r="D1331" s="21"/>
      <c r="E1331" s="21"/>
      <c r="F1331" s="21"/>
      <c r="G1331" s="21"/>
      <c r="H1331" s="21"/>
      <c r="I1331" s="21"/>
      <c r="J1331" s="21"/>
      <c r="K1331" s="21"/>
      <c r="L1331" s="35"/>
    </row>
    <row r="1332" spans="2:12" s="4" customFormat="1" outlineLevel="1" x14ac:dyDescent="0.4">
      <c r="B1332" s="20"/>
      <c r="C1332" s="164" t="s">
        <v>151</v>
      </c>
      <c r="D1332" s="164" t="s">
        <v>140</v>
      </c>
      <c r="E1332" s="21"/>
      <c r="F1332" s="21"/>
      <c r="G1332" s="21"/>
      <c r="H1332" s="21"/>
      <c r="I1332" s="21"/>
      <c r="J1332" s="21"/>
      <c r="K1332" s="21"/>
      <c r="L1332" s="35"/>
    </row>
    <row r="1333" spans="2:12" s="4" customFormat="1" outlineLevel="1" x14ac:dyDescent="0.4">
      <c r="B1333" s="20"/>
      <c r="C1333" s="138"/>
      <c r="D1333" s="135"/>
      <c r="E1333" s="21"/>
      <c r="F1333" s="21"/>
      <c r="G1333" s="21"/>
      <c r="H1333" s="21"/>
      <c r="I1333" s="21"/>
      <c r="J1333" s="21"/>
      <c r="K1333" s="21"/>
      <c r="L1333" s="35"/>
    </row>
    <row r="1334" spans="2:12" s="4" customFormat="1" ht="12.75" customHeight="1" outlineLevel="1" x14ac:dyDescent="0.4">
      <c r="B1334" s="28"/>
      <c r="C1334" s="29"/>
      <c r="D1334" s="29"/>
      <c r="E1334" s="29"/>
      <c r="F1334" s="29"/>
      <c r="G1334" s="29"/>
      <c r="H1334" s="29"/>
      <c r="I1334" s="29"/>
      <c r="J1334" s="29"/>
      <c r="K1334" s="29"/>
      <c r="L1334" s="60"/>
    </row>
    <row r="1335" spans="2:12" s="4" customFormat="1" ht="3" customHeight="1" x14ac:dyDescent="0.4"/>
    <row r="1336" spans="2:12" s="4" customFormat="1" ht="8.4" hidden="1" customHeight="1" x14ac:dyDescent="0.4"/>
    <row r="1337" spans="2:12" s="1" customFormat="1" ht="11.1" hidden="1" customHeight="1" x14ac:dyDescent="0.35">
      <c r="B1337" s="2"/>
      <c r="C1337" s="3"/>
      <c r="E1337" s="2"/>
    </row>
    <row r="1338" spans="2:12" s="4" customFormat="1" ht="15.9" hidden="1" customHeight="1" x14ac:dyDescent="0.4"/>
    <row r="1339" spans="2:12" s="4" customFormat="1" ht="15.9" hidden="1" customHeight="1" x14ac:dyDescent="0.4"/>
    <row r="1340" spans="2:12" s="4" customFormat="1" ht="15.9" hidden="1" customHeight="1" x14ac:dyDescent="0.4"/>
    <row r="1341" spans="2:12" s="4" customFormat="1" hidden="1" x14ac:dyDescent="0.4"/>
    <row r="1342" spans="2:12" s="4" customFormat="1" ht="15.9" hidden="1" customHeight="1" x14ac:dyDescent="0.4"/>
    <row r="1343" spans="2:12" s="4" customFormat="1" ht="15.9" hidden="1" customHeight="1" x14ac:dyDescent="0.4"/>
    <row r="1344" spans="2:12" s="4" customFormat="1" hidden="1" x14ac:dyDescent="0.4"/>
    <row r="1345" spans="2:12" s="1" customFormat="1" ht="11.1" hidden="1" customHeight="1" x14ac:dyDescent="0.35">
      <c r="B1345" s="2"/>
      <c r="C1345" s="3"/>
      <c r="E1345" s="2"/>
    </row>
    <row r="1346" spans="2:12" s="4" customFormat="1" ht="15.9" hidden="1" customHeight="1" x14ac:dyDescent="0.4"/>
    <row r="1347" spans="2:12" s="4" customFormat="1" ht="15.9" hidden="1" customHeight="1" x14ac:dyDescent="0.4"/>
    <row r="1348" spans="2:12" s="4" customFormat="1" ht="15.9" hidden="1" customHeight="1" x14ac:dyDescent="0.4"/>
    <row r="1349" spans="2:12" s="4" customFormat="1" hidden="1" x14ac:dyDescent="0.4"/>
    <row r="1350" spans="2:12" s="4" customFormat="1" hidden="1" x14ac:dyDescent="0.4"/>
    <row r="1351" spans="2:12" s="4" customFormat="1" hidden="1" x14ac:dyDescent="0.4"/>
    <row r="1352" spans="2:12" s="4" customFormat="1" hidden="1" x14ac:dyDescent="0.4"/>
    <row r="1353" spans="2:12" s="4" customFormat="1" hidden="1" x14ac:dyDescent="0.4"/>
    <row r="1354" spans="2:12" s="4" customFormat="1" hidden="1" x14ac:dyDescent="0.4"/>
    <row r="1355" spans="2:12" s="4" customFormat="1" hidden="1" x14ac:dyDescent="0.4"/>
    <row r="1356" spans="2:12" s="4" customFormat="1" hidden="1" x14ac:dyDescent="0.4"/>
    <row r="1357" spans="2:12" s="4" customFormat="1" x14ac:dyDescent="0.4"/>
    <row r="1358" spans="2:12" s="4" customFormat="1" ht="19.2" x14ac:dyDescent="0.45">
      <c r="B1358" s="754" t="str">
        <f>"Transport to Plant"&amp;" - "&amp;Feedstocks!C44</f>
        <v xml:space="preserve">Transport to Plant - </v>
      </c>
      <c r="C1358" s="755"/>
      <c r="D1358" s="755"/>
      <c r="E1358" s="755"/>
      <c r="F1358" s="755"/>
      <c r="G1358" s="755"/>
      <c r="H1358" s="755"/>
      <c r="I1358" s="755"/>
      <c r="J1358" s="755"/>
      <c r="K1358" s="755"/>
      <c r="L1358" s="756"/>
    </row>
    <row r="1359" spans="2:12" s="4" customFormat="1" outlineLevel="1" x14ac:dyDescent="0.4">
      <c r="B1359" s="17"/>
      <c r="C1359" s="18"/>
      <c r="D1359" s="19"/>
      <c r="E1359" s="19"/>
      <c r="F1359" s="19"/>
      <c r="G1359" s="19"/>
      <c r="H1359" s="19"/>
      <c r="I1359" s="19"/>
      <c r="J1359" s="19"/>
      <c r="K1359" s="19"/>
      <c r="L1359" s="50"/>
    </row>
    <row r="1360" spans="2:12" s="4" customFormat="1" outlineLevel="1" x14ac:dyDescent="0.4">
      <c r="B1360" s="20"/>
      <c r="C1360" s="174" t="s">
        <v>87</v>
      </c>
      <c r="D1360" s="778" t="str">
        <f>IF(Feedstocks!$C$44&gt;0,Feedstocks!$C$44,"")</f>
        <v/>
      </c>
      <c r="E1360" s="778"/>
      <c r="F1360" s="778"/>
      <c r="G1360" s="1"/>
      <c r="H1360" s="303" t="s">
        <v>122</v>
      </c>
      <c r="I1360" s="47"/>
      <c r="J1360" s="47"/>
      <c r="K1360" s="61"/>
      <c r="L1360" s="35"/>
    </row>
    <row r="1361" spans="2:12" s="4" customFormat="1" outlineLevel="1" x14ac:dyDescent="0.4">
      <c r="B1361" s="20"/>
      <c r="C1361" s="1"/>
      <c r="D1361" s="1"/>
      <c r="E1361" s="1"/>
      <c r="F1361" s="1"/>
      <c r="G1361" s="76"/>
      <c r="H1361" s="43"/>
      <c r="I1361" s="36"/>
      <c r="J1361" s="164" t="s">
        <v>124</v>
      </c>
      <c r="K1361" s="44"/>
      <c r="L1361" s="35"/>
    </row>
    <row r="1362" spans="2:12" s="12" customFormat="1" ht="15" outlineLevel="1" x14ac:dyDescent="0.35">
      <c r="B1362" s="20"/>
      <c r="C1362" s="1"/>
      <c r="D1362" s="1"/>
      <c r="E1362" s="1"/>
      <c r="F1362" s="1"/>
      <c r="G1362" s="1"/>
      <c r="H1362" s="43"/>
      <c r="I1362" s="164" t="s">
        <v>125</v>
      </c>
      <c r="J1362" s="52" t="str">
        <f>IFERROR((J1365/(('Digestion &amp; outputs'!$G$45/1000)))*'Digestion &amp; outputs'!$K$23,"")</f>
        <v/>
      </c>
      <c r="K1362" s="44"/>
      <c r="L1362" s="54"/>
    </row>
    <row r="1363" spans="2:12" s="4" customFormat="1" outlineLevel="1" x14ac:dyDescent="0.4">
      <c r="B1363" s="20"/>
      <c r="C1363" s="164" t="s">
        <v>163</v>
      </c>
      <c r="D1363" s="134" t="s">
        <v>164</v>
      </c>
      <c r="E1363" s="1"/>
      <c r="F1363" s="1"/>
      <c r="G1363" s="1"/>
      <c r="H1363" s="41"/>
      <c r="I1363" s="34"/>
      <c r="J1363" s="34"/>
      <c r="K1363" s="37"/>
      <c r="L1363" s="35"/>
    </row>
    <row r="1364" spans="2:12" s="4" customFormat="1" outlineLevel="1" x14ac:dyDescent="0.4">
      <c r="B1364" s="20"/>
      <c r="C1364" s="164" t="s">
        <v>165</v>
      </c>
      <c r="D1364" s="143"/>
      <c r="E1364" s="1"/>
      <c r="F1364" s="1"/>
      <c r="G1364" s="1"/>
      <c r="H1364" s="41"/>
      <c r="I1364" s="36"/>
      <c r="J1364" s="164" t="s">
        <v>141</v>
      </c>
      <c r="K1364" s="37"/>
      <c r="L1364" s="35"/>
    </row>
    <row r="1365" spans="2:12" s="4" customFormat="1" outlineLevel="1" x14ac:dyDescent="0.4">
      <c r="B1365" s="20"/>
      <c r="C1365" s="164" t="s">
        <v>160</v>
      </c>
      <c r="D1365" s="134" t="s">
        <v>166</v>
      </c>
      <c r="E1365" s="1"/>
      <c r="F1365" s="1"/>
      <c r="G1365" s="1"/>
      <c r="H1365" s="42"/>
      <c r="I1365" s="164" t="s">
        <v>167</v>
      </c>
      <c r="J1365" s="52">
        <f>IFERROR(J1370,"Insert data")</f>
        <v>0</v>
      </c>
      <c r="K1365" s="62"/>
      <c r="L1365" s="35"/>
    </row>
    <row r="1366" spans="2:12" s="4" customFormat="1" outlineLevel="1" x14ac:dyDescent="0.4">
      <c r="B1366" s="20"/>
      <c r="C1366" s="21"/>
      <c r="D1366" s="21"/>
      <c r="E1366" s="21"/>
      <c r="F1366" s="21"/>
      <c r="G1366" s="21"/>
      <c r="H1366" s="46"/>
      <c r="I1366" s="58"/>
      <c r="J1366" s="58"/>
      <c r="K1366" s="59"/>
      <c r="L1366" s="35"/>
    </row>
    <row r="1367" spans="2:12" s="4" customFormat="1" outlineLevel="1" x14ac:dyDescent="0.4">
      <c r="B1367" s="20"/>
      <c r="C1367" s="25" t="s">
        <v>168</v>
      </c>
      <c r="D1367" s="21"/>
      <c r="E1367" s="21"/>
      <c r="F1367" s="21"/>
      <c r="G1367" s="21"/>
      <c r="H1367" s="21"/>
      <c r="I1367" s="21"/>
      <c r="J1367" s="21"/>
      <c r="K1367" s="21"/>
      <c r="L1367" s="35"/>
    </row>
    <row r="1368" spans="2:12" s="14" customFormat="1" ht="30.6" outlineLevel="1" x14ac:dyDescent="0.4">
      <c r="B1368" s="23"/>
      <c r="C1368" s="166" t="s">
        <v>131</v>
      </c>
      <c r="D1368" s="166" t="s">
        <v>169</v>
      </c>
      <c r="E1368" s="166" t="s">
        <v>170</v>
      </c>
      <c r="F1368" s="166" t="s">
        <v>171</v>
      </c>
      <c r="G1368" s="24"/>
      <c r="H1368" s="303" t="s">
        <v>136</v>
      </c>
      <c r="I1368" s="47"/>
      <c r="J1368" s="47"/>
      <c r="K1368" s="45"/>
      <c r="L1368" s="63"/>
    </row>
    <row r="1369" spans="2:12" s="4" customFormat="1" outlineLevel="1" x14ac:dyDescent="0.4">
      <c r="B1369" s="20"/>
      <c r="C1369" s="138" t="s">
        <v>96</v>
      </c>
      <c r="D1369" s="93">
        <v>1</v>
      </c>
      <c r="E1369" s="135"/>
      <c r="F1369" s="31">
        <f>IFERROR(IF(OR(C1369="Default",D1363="No transport required"),D1369,IF(ISBLANK(E1369),"Insert data",E1369)),"")</f>
        <v>1</v>
      </c>
      <c r="G1369" s="21"/>
      <c r="H1369" s="41"/>
      <c r="I1369" s="36"/>
      <c r="J1369" s="164" t="s">
        <v>141</v>
      </c>
      <c r="K1369" s="37"/>
      <c r="L1369" s="35"/>
    </row>
    <row r="1370" spans="2:12" s="4" customFormat="1" outlineLevel="1" x14ac:dyDescent="0.4">
      <c r="B1370" s="20"/>
      <c r="C1370" s="21"/>
      <c r="D1370" s="21"/>
      <c r="E1370" s="692" t="str">
        <f>IF(E1369&gt;1, "this should not be greater than 1", "")</f>
        <v/>
      </c>
      <c r="F1370" s="21"/>
      <c r="G1370" s="21"/>
      <c r="H1370" s="42"/>
      <c r="I1370" s="164" t="s">
        <v>172</v>
      </c>
      <c r="J1370" s="52">
        <f>IF(D1363="No transport required",0,IFERROR(E1373*INDEX(Fuel_EFs,MATCH(D1365,Fuels_for_EF,0))*D1364/1000,"Insert data"))</f>
        <v>0</v>
      </c>
      <c r="K1370" s="62"/>
      <c r="L1370" s="35"/>
    </row>
    <row r="1371" spans="2:12" s="4" customFormat="1" outlineLevel="1" x14ac:dyDescent="0.4">
      <c r="B1371" s="20"/>
      <c r="C1371" s="25" t="s">
        <v>173</v>
      </c>
      <c r="D1371" s="21"/>
      <c r="E1371" s="21"/>
      <c r="F1371" s="21"/>
      <c r="G1371" s="21"/>
      <c r="H1371" s="46"/>
      <c r="I1371" s="58"/>
      <c r="J1371" s="58"/>
      <c r="K1371" s="59"/>
      <c r="L1371" s="35"/>
    </row>
    <row r="1372" spans="2:12" s="14" customFormat="1" outlineLevel="1" x14ac:dyDescent="0.4">
      <c r="B1372" s="23"/>
      <c r="C1372" s="176" t="s">
        <v>174</v>
      </c>
      <c r="D1372" s="166" t="s">
        <v>175</v>
      </c>
      <c r="E1372" s="166" t="s">
        <v>176</v>
      </c>
      <c r="F1372" s="24"/>
      <c r="G1372" s="24"/>
      <c r="H1372" s="4"/>
      <c r="I1372" s="4"/>
      <c r="J1372" s="4"/>
      <c r="K1372" s="4"/>
      <c r="L1372" s="63"/>
    </row>
    <row r="1373" spans="2:12" s="4" customFormat="1" outlineLevel="1" x14ac:dyDescent="0.4">
      <c r="B1373" s="20"/>
      <c r="C1373" s="138" t="s">
        <v>96</v>
      </c>
      <c r="D1373" s="93">
        <f>IFERROR(INDEX(Transport_Fuel_Efficiencies,MATCH(D1363,Transport_Modes,0)),"Insert data")</f>
        <v>0</v>
      </c>
      <c r="E1373" s="31">
        <f>IFERROR(IF(C1373="Default",D1373,IF(OR(ISBLANK(E1375),ISBLANK(D1379),ISBLANK(D1383)),"Insert data",(IF(C1379="litres",(D1379*(INDEX(Fuel_Densities,MATCH(D1365,Fuels_for_Densities,0))/1000)*INDEX(Fuel_LHV,MATCH(D1365,Fuels_for_LHV,0)))/(D1383*D1364),(IF(C1379="m3",(D1379*(INDEX(Fuel_Densities,MATCH(D1365,Fuels_for_Densities,0)))*INDEX(Fuel_LHV,MATCH(D1365,Fuels_for_LHV,0)))/(D1383*D1364),IF(C1379="kg",(D1379*INDEX(Fuel_LHV,MATCH(D1365,Fuels_for_LHV,0)))/(D1383*D1364),IF(C1379="tonnes",(D1379*INDEX(Fuel_LHV,MATCH(D1365,Fuels_for_LHV,0))*1000)/(D1383*D1364),IF(C1379="MWh",(D1379*'Reference values'!$D$47)/(D1383*D1364),IF(C1379="kWh",(D1379*'Reference values'!$D$47/1000)/(D1383*D1364),"Insert unit")))))))))),"")</f>
        <v>0</v>
      </c>
      <c r="F1373" s="21"/>
      <c r="G1373" s="21"/>
      <c r="L1373" s="35"/>
    </row>
    <row r="1374" spans="2:12" s="4" customFormat="1" outlineLevel="1" x14ac:dyDescent="0.4">
      <c r="B1374" s="20"/>
      <c r="C1374" s="21"/>
      <c r="D1374" s="21"/>
      <c r="E1374" s="21"/>
      <c r="F1374" s="21"/>
      <c r="G1374" s="21"/>
      <c r="H1374" s="21"/>
      <c r="I1374" s="21"/>
      <c r="J1374" s="21"/>
      <c r="K1374" s="21"/>
      <c r="L1374" s="35"/>
    </row>
    <row r="1375" spans="2:12" s="4" customFormat="1" ht="16.5" customHeight="1" outlineLevel="1" x14ac:dyDescent="0.4">
      <c r="B1375" s="20"/>
      <c r="C1375" s="759" t="s">
        <v>177</v>
      </c>
      <c r="D1375" s="759"/>
      <c r="E1375" s="135" t="s">
        <v>178</v>
      </c>
      <c r="F1375" s="21"/>
      <c r="G1375" s="21"/>
      <c r="L1375" s="35"/>
    </row>
    <row r="1376" spans="2:12" s="4" customFormat="1" ht="12.75" customHeight="1" outlineLevel="1" x14ac:dyDescent="0.4">
      <c r="B1376" s="20"/>
      <c r="C1376" s="21"/>
      <c r="D1376" s="21"/>
      <c r="E1376" s="21"/>
      <c r="F1376" s="21"/>
      <c r="G1376" s="21"/>
      <c r="L1376" s="35"/>
    </row>
    <row r="1377" spans="2:12" s="4" customFormat="1" outlineLevel="1" x14ac:dyDescent="0.4">
      <c r="B1377" s="20"/>
      <c r="C1377" s="25" t="str">
        <f>IF(E1375="yes", "Fuel demand for outward journey",IF(E1375="No","Fuel demand for full journey (outward and return)",""))</f>
        <v>Fuel demand for full journey (outward and return)</v>
      </c>
      <c r="D1377" s="21"/>
      <c r="E1377" s="21"/>
      <c r="F1377" s="21"/>
      <c r="G1377" s="21"/>
      <c r="H1377" s="21"/>
      <c r="I1377" s="21"/>
      <c r="J1377" s="21"/>
      <c r="K1377" s="21"/>
      <c r="L1377" s="35"/>
    </row>
    <row r="1378" spans="2:12" s="4" customFormat="1" outlineLevel="1" x14ac:dyDescent="0.4">
      <c r="B1378" s="20"/>
      <c r="C1378" s="164" t="s">
        <v>151</v>
      </c>
      <c r="D1378" s="164" t="s">
        <v>140</v>
      </c>
      <c r="E1378" s="21"/>
      <c r="F1378" s="21"/>
      <c r="G1378" s="21"/>
      <c r="H1378" s="21"/>
      <c r="I1378" s="21"/>
      <c r="J1378" s="21"/>
      <c r="K1378" s="21"/>
      <c r="L1378" s="35"/>
    </row>
    <row r="1379" spans="2:12" s="4" customFormat="1" outlineLevel="1" x14ac:dyDescent="0.4">
      <c r="B1379" s="20"/>
      <c r="C1379" s="138"/>
      <c r="D1379" s="135"/>
      <c r="E1379" s="21"/>
      <c r="F1379" s="21"/>
      <c r="G1379" s="21"/>
      <c r="H1379" s="21"/>
      <c r="I1379" s="21"/>
      <c r="J1379" s="21"/>
      <c r="K1379" s="21"/>
      <c r="L1379" s="35"/>
    </row>
    <row r="1380" spans="2:12" s="4" customFormat="1" outlineLevel="1" x14ac:dyDescent="0.4">
      <c r="B1380" s="20"/>
      <c r="C1380" s="21"/>
      <c r="D1380" s="21"/>
      <c r="E1380" s="21"/>
      <c r="F1380" s="21"/>
      <c r="G1380" s="21"/>
      <c r="H1380" s="21"/>
      <c r="I1380" s="21"/>
      <c r="J1380" s="21"/>
      <c r="K1380" s="21"/>
      <c r="L1380" s="35"/>
    </row>
    <row r="1381" spans="2:12" s="4" customFormat="1" outlineLevel="1" x14ac:dyDescent="0.4">
      <c r="B1381" s="20"/>
      <c r="C1381" s="25" t="s">
        <v>180</v>
      </c>
      <c r="D1381" s="21"/>
      <c r="E1381" s="21"/>
      <c r="F1381" s="21"/>
      <c r="G1381" s="21"/>
      <c r="H1381" s="21"/>
      <c r="I1381" s="21"/>
      <c r="J1381" s="21"/>
      <c r="K1381" s="21"/>
      <c r="L1381" s="35"/>
    </row>
    <row r="1382" spans="2:12" s="4" customFormat="1" outlineLevel="1" x14ac:dyDescent="0.4">
      <c r="B1382" s="20"/>
      <c r="C1382" s="164" t="s">
        <v>151</v>
      </c>
      <c r="D1382" s="164" t="s">
        <v>140</v>
      </c>
      <c r="E1382" s="21"/>
      <c r="F1382" s="21"/>
      <c r="G1382" s="21"/>
      <c r="H1382" s="21"/>
      <c r="I1382" s="21"/>
      <c r="J1382" s="21"/>
      <c r="K1382" s="21"/>
      <c r="L1382" s="35"/>
    </row>
    <row r="1383" spans="2:12" s="4" customFormat="1" outlineLevel="1" x14ac:dyDescent="0.4">
      <c r="B1383" s="20"/>
      <c r="C1383" s="138"/>
      <c r="D1383" s="135"/>
      <c r="E1383" s="21"/>
      <c r="F1383" s="21"/>
      <c r="G1383" s="21"/>
      <c r="H1383" s="21"/>
      <c r="I1383" s="21"/>
      <c r="J1383" s="21"/>
      <c r="K1383" s="21"/>
      <c r="L1383" s="35"/>
    </row>
    <row r="1384" spans="2:12" s="4" customFormat="1" ht="12.75" customHeight="1" outlineLevel="1" x14ac:dyDescent="0.4">
      <c r="B1384" s="28"/>
      <c r="C1384" s="29"/>
      <c r="D1384" s="29"/>
      <c r="E1384" s="29"/>
      <c r="F1384" s="29"/>
      <c r="G1384" s="29"/>
      <c r="H1384" s="29"/>
      <c r="I1384" s="29"/>
      <c r="J1384" s="29"/>
      <c r="K1384" s="29"/>
      <c r="L1384" s="60"/>
    </row>
    <row r="1385" spans="2:12" s="4" customFormat="1" ht="3" customHeight="1" x14ac:dyDescent="0.4"/>
    <row r="1386" spans="2:12" s="4" customFormat="1" ht="8.4" hidden="1" customHeight="1" x14ac:dyDescent="0.4"/>
    <row r="1387" spans="2:12" s="1" customFormat="1" ht="11.1" hidden="1" customHeight="1" x14ac:dyDescent="0.35">
      <c r="B1387" s="2"/>
      <c r="C1387" s="3"/>
      <c r="E1387" s="2"/>
    </row>
    <row r="1388" spans="2:12" s="4" customFormat="1" ht="15.9" hidden="1" customHeight="1" x14ac:dyDescent="0.4"/>
    <row r="1389" spans="2:12" s="4" customFormat="1" ht="15.9" hidden="1" customHeight="1" x14ac:dyDescent="0.4"/>
    <row r="1390" spans="2:12" s="4" customFormat="1" ht="15.9" hidden="1" customHeight="1" x14ac:dyDescent="0.4"/>
    <row r="1391" spans="2:12" s="4" customFormat="1" hidden="1" x14ac:dyDescent="0.4"/>
    <row r="1392" spans="2:12" s="4" customFormat="1" ht="15.9" hidden="1" customHeight="1" x14ac:dyDescent="0.4"/>
    <row r="1393" spans="2:12" s="4" customFormat="1" ht="15.9" hidden="1" customHeight="1" x14ac:dyDescent="0.4"/>
    <row r="1394" spans="2:12" s="4" customFormat="1" hidden="1" x14ac:dyDescent="0.4"/>
    <row r="1395" spans="2:12" s="1" customFormat="1" ht="11.1" hidden="1" customHeight="1" x14ac:dyDescent="0.35">
      <c r="B1395" s="2"/>
      <c r="C1395" s="3"/>
      <c r="E1395" s="2"/>
    </row>
    <row r="1396" spans="2:12" s="4" customFormat="1" ht="15.9" hidden="1" customHeight="1" x14ac:dyDescent="0.4"/>
    <row r="1397" spans="2:12" s="4" customFormat="1" ht="15.9" hidden="1" customHeight="1" x14ac:dyDescent="0.4"/>
    <row r="1398" spans="2:12" s="4" customFormat="1" ht="15.9" hidden="1" customHeight="1" x14ac:dyDescent="0.4"/>
    <row r="1399" spans="2:12" s="4" customFormat="1" hidden="1" x14ac:dyDescent="0.4"/>
    <row r="1400" spans="2:12" s="4" customFormat="1" hidden="1" x14ac:dyDescent="0.4"/>
    <row r="1401" spans="2:12" s="4" customFormat="1" hidden="1" x14ac:dyDescent="0.4"/>
    <row r="1402" spans="2:12" s="4" customFormat="1" hidden="1" x14ac:dyDescent="0.4"/>
    <row r="1403" spans="2:12" s="4" customFormat="1" hidden="1" x14ac:dyDescent="0.4"/>
    <row r="1404" spans="2:12" s="4" customFormat="1" hidden="1" x14ac:dyDescent="0.4"/>
    <row r="1405" spans="2:12" s="4" customFormat="1" hidden="1" x14ac:dyDescent="0.4"/>
    <row r="1406" spans="2:12" s="4" customFormat="1" hidden="1" x14ac:dyDescent="0.4"/>
    <row r="1407" spans="2:12" s="4" customFormat="1" x14ac:dyDescent="0.4"/>
    <row r="1408" spans="2:12" s="4" customFormat="1" ht="19.2" x14ac:dyDescent="0.45">
      <c r="B1408" s="754" t="str">
        <f>"Transport to Plant"&amp;" - "&amp;Feedstocks!C45</f>
        <v xml:space="preserve">Transport to Plant - </v>
      </c>
      <c r="C1408" s="755"/>
      <c r="D1408" s="755"/>
      <c r="E1408" s="755"/>
      <c r="F1408" s="755"/>
      <c r="G1408" s="755"/>
      <c r="H1408" s="755"/>
      <c r="I1408" s="755"/>
      <c r="J1408" s="755"/>
      <c r="K1408" s="755"/>
      <c r="L1408" s="756"/>
    </row>
    <row r="1409" spans="2:12" s="4" customFormat="1" outlineLevel="1" x14ac:dyDescent="0.4">
      <c r="B1409" s="17"/>
      <c r="C1409" s="18"/>
      <c r="D1409" s="19"/>
      <c r="E1409" s="19"/>
      <c r="F1409" s="19"/>
      <c r="G1409" s="19"/>
      <c r="H1409" s="19"/>
      <c r="I1409" s="19"/>
      <c r="J1409" s="19"/>
      <c r="K1409" s="19"/>
      <c r="L1409" s="50"/>
    </row>
    <row r="1410" spans="2:12" s="4" customFormat="1" outlineLevel="1" x14ac:dyDescent="0.4">
      <c r="B1410" s="20"/>
      <c r="C1410" s="174" t="s">
        <v>87</v>
      </c>
      <c r="D1410" s="778" t="str">
        <f>IF(Feedstocks!$C$45&gt;0,Feedstocks!$C$45,"")</f>
        <v/>
      </c>
      <c r="E1410" s="778"/>
      <c r="F1410" s="778"/>
      <c r="G1410" s="1"/>
      <c r="H1410" s="303" t="s">
        <v>122</v>
      </c>
      <c r="I1410" s="47"/>
      <c r="J1410" s="47"/>
      <c r="K1410" s="61"/>
      <c r="L1410" s="35"/>
    </row>
    <row r="1411" spans="2:12" s="4" customFormat="1" outlineLevel="1" x14ac:dyDescent="0.4">
      <c r="B1411" s="20"/>
      <c r="C1411" s="1"/>
      <c r="D1411" s="1"/>
      <c r="E1411" s="1"/>
      <c r="F1411" s="1"/>
      <c r="G1411" s="76"/>
      <c r="H1411" s="43"/>
      <c r="I1411" s="36"/>
      <c r="J1411" s="164" t="s">
        <v>124</v>
      </c>
      <c r="K1411" s="44"/>
      <c r="L1411" s="35"/>
    </row>
    <row r="1412" spans="2:12" s="12" customFormat="1" ht="15" outlineLevel="1" x14ac:dyDescent="0.35">
      <c r="B1412" s="20"/>
      <c r="C1412" s="1"/>
      <c r="D1412" s="1"/>
      <c r="E1412" s="1"/>
      <c r="F1412" s="1"/>
      <c r="G1412" s="1"/>
      <c r="H1412" s="43"/>
      <c r="I1412" s="164" t="s">
        <v>125</v>
      </c>
      <c r="J1412" s="52" t="str">
        <f>IFERROR((J1415/(('Digestion &amp; outputs'!$G$46/1000)))*'Digestion &amp; outputs'!$K$23,"")</f>
        <v/>
      </c>
      <c r="K1412" s="44"/>
      <c r="L1412" s="54"/>
    </row>
    <row r="1413" spans="2:12" s="4" customFormat="1" outlineLevel="1" x14ac:dyDescent="0.4">
      <c r="B1413" s="20"/>
      <c r="C1413" s="164" t="s">
        <v>163</v>
      </c>
      <c r="D1413" s="134" t="s">
        <v>164</v>
      </c>
      <c r="E1413" s="1"/>
      <c r="F1413" s="1"/>
      <c r="G1413" s="1"/>
      <c r="H1413" s="41"/>
      <c r="I1413" s="34"/>
      <c r="J1413" s="34"/>
      <c r="K1413" s="37"/>
      <c r="L1413" s="35"/>
    </row>
    <row r="1414" spans="2:12" s="4" customFormat="1" outlineLevel="1" x14ac:dyDescent="0.4">
      <c r="B1414" s="20"/>
      <c r="C1414" s="164" t="s">
        <v>165</v>
      </c>
      <c r="D1414" s="143"/>
      <c r="E1414" s="1"/>
      <c r="F1414" s="1"/>
      <c r="G1414" s="1"/>
      <c r="H1414" s="41"/>
      <c r="I1414" s="36"/>
      <c r="J1414" s="164" t="s">
        <v>141</v>
      </c>
      <c r="K1414" s="37"/>
      <c r="L1414" s="35"/>
    </row>
    <row r="1415" spans="2:12" s="4" customFormat="1" outlineLevel="1" x14ac:dyDescent="0.4">
      <c r="B1415" s="20"/>
      <c r="C1415" s="164" t="s">
        <v>160</v>
      </c>
      <c r="D1415" s="134" t="s">
        <v>166</v>
      </c>
      <c r="E1415" s="1"/>
      <c r="F1415" s="1"/>
      <c r="G1415" s="1"/>
      <c r="H1415" s="42"/>
      <c r="I1415" s="164" t="s">
        <v>167</v>
      </c>
      <c r="J1415" s="52">
        <f>IFERROR(J1420,"Insert data")</f>
        <v>0</v>
      </c>
      <c r="K1415" s="62"/>
      <c r="L1415" s="35"/>
    </row>
    <row r="1416" spans="2:12" s="4" customFormat="1" outlineLevel="1" x14ac:dyDescent="0.4">
      <c r="B1416" s="20"/>
      <c r="C1416" s="21"/>
      <c r="D1416" s="21"/>
      <c r="E1416" s="21"/>
      <c r="F1416" s="21"/>
      <c r="G1416" s="21"/>
      <c r="H1416" s="46"/>
      <c r="I1416" s="58"/>
      <c r="J1416" s="58"/>
      <c r="K1416" s="59"/>
      <c r="L1416" s="35"/>
    </row>
    <row r="1417" spans="2:12" s="4" customFormat="1" outlineLevel="1" x14ac:dyDescent="0.4">
      <c r="B1417" s="20"/>
      <c r="C1417" s="25" t="s">
        <v>168</v>
      </c>
      <c r="D1417" s="21"/>
      <c r="E1417" s="21"/>
      <c r="F1417" s="21"/>
      <c r="G1417" s="21"/>
      <c r="H1417" s="21"/>
      <c r="I1417" s="21"/>
      <c r="J1417" s="21"/>
      <c r="K1417" s="21"/>
      <c r="L1417" s="35"/>
    </row>
    <row r="1418" spans="2:12" s="14" customFormat="1" ht="30.6" outlineLevel="1" x14ac:dyDescent="0.4">
      <c r="B1418" s="23"/>
      <c r="C1418" s="166" t="s">
        <v>131</v>
      </c>
      <c r="D1418" s="166" t="s">
        <v>169</v>
      </c>
      <c r="E1418" s="166" t="s">
        <v>170</v>
      </c>
      <c r="F1418" s="166" t="s">
        <v>171</v>
      </c>
      <c r="G1418" s="24"/>
      <c r="H1418" s="303" t="s">
        <v>136</v>
      </c>
      <c r="I1418" s="47"/>
      <c r="J1418" s="47"/>
      <c r="K1418" s="45"/>
      <c r="L1418" s="63"/>
    </row>
    <row r="1419" spans="2:12" s="4" customFormat="1" outlineLevel="1" x14ac:dyDescent="0.4">
      <c r="B1419" s="20"/>
      <c r="C1419" s="138" t="s">
        <v>96</v>
      </c>
      <c r="D1419" s="93">
        <v>1</v>
      </c>
      <c r="E1419" s="135"/>
      <c r="F1419" s="31">
        <f>IFERROR(IF(OR(C1419="Default",D1413="No transport required"),D1419,IF(ISBLANK(E1419),"Insert data",E1419)),"")</f>
        <v>1</v>
      </c>
      <c r="G1419" s="21"/>
      <c r="H1419" s="41"/>
      <c r="I1419" s="36"/>
      <c r="J1419" s="164" t="s">
        <v>141</v>
      </c>
      <c r="K1419" s="37"/>
      <c r="L1419" s="35"/>
    </row>
    <row r="1420" spans="2:12" s="4" customFormat="1" outlineLevel="1" x14ac:dyDescent="0.4">
      <c r="B1420" s="20"/>
      <c r="C1420" s="21"/>
      <c r="D1420" s="21"/>
      <c r="E1420" s="692" t="str">
        <f>IF(E1419&gt;1, "this should not be greater than 1", "")</f>
        <v/>
      </c>
      <c r="F1420" s="21"/>
      <c r="G1420" s="21"/>
      <c r="H1420" s="42"/>
      <c r="I1420" s="164" t="s">
        <v>172</v>
      </c>
      <c r="J1420" s="52">
        <f>IF(D1413="No transport required",0,IFERROR(E1423*INDEX(Fuel_EFs,MATCH(D1415,Fuels_for_EF,0))*D1414/1000,"Insert data"))</f>
        <v>0</v>
      </c>
      <c r="K1420" s="62"/>
      <c r="L1420" s="35"/>
    </row>
    <row r="1421" spans="2:12" s="4" customFormat="1" outlineLevel="1" x14ac:dyDescent="0.4">
      <c r="B1421" s="20"/>
      <c r="C1421" s="25" t="s">
        <v>173</v>
      </c>
      <c r="D1421" s="21"/>
      <c r="E1421" s="21"/>
      <c r="F1421" s="21"/>
      <c r="G1421" s="21"/>
      <c r="H1421" s="46"/>
      <c r="I1421" s="58"/>
      <c r="J1421" s="58"/>
      <c r="K1421" s="59"/>
      <c r="L1421" s="35"/>
    </row>
    <row r="1422" spans="2:12" s="14" customFormat="1" outlineLevel="1" x14ac:dyDescent="0.4">
      <c r="B1422" s="23"/>
      <c r="C1422" s="176" t="s">
        <v>174</v>
      </c>
      <c r="D1422" s="166" t="s">
        <v>175</v>
      </c>
      <c r="E1422" s="166" t="s">
        <v>176</v>
      </c>
      <c r="F1422" s="24"/>
      <c r="G1422" s="24"/>
      <c r="H1422" s="4"/>
      <c r="I1422" s="4"/>
      <c r="J1422" s="4"/>
      <c r="K1422" s="4"/>
      <c r="L1422" s="63"/>
    </row>
    <row r="1423" spans="2:12" s="4" customFormat="1" outlineLevel="1" x14ac:dyDescent="0.4">
      <c r="B1423" s="20"/>
      <c r="C1423" s="138" t="s">
        <v>96</v>
      </c>
      <c r="D1423" s="93">
        <f>IFERROR(INDEX(Transport_Fuel_Efficiencies,MATCH(D1413,Transport_Modes,0)),"Insert data")</f>
        <v>0</v>
      </c>
      <c r="E1423" s="31">
        <f>IFERROR(IF(C1423="Default",D1423,IF(OR(ISBLANK(E1425),ISBLANK(D1429),ISBLANK(D1433)),"Insert data",(IF(C1429="litres",(D1429*(INDEX(Fuel_Densities,MATCH(D1415,Fuels_for_Densities,0))/1000)*INDEX(Fuel_LHV,MATCH(D1415,Fuels_for_LHV,0)))/(D1433*D1414),(IF(C1429="m3",(D1429*(INDEX(Fuel_Densities,MATCH(D1415,Fuels_for_Densities,0)))*INDEX(Fuel_LHV,MATCH(D1415,Fuels_for_LHV,0)))/(D1433*D1414),IF(C1429="kg",(D1429*INDEX(Fuel_LHV,MATCH(D1415,Fuels_for_LHV,0)))/(D1433*D1414),IF(C1429="tonnes",(D1429*INDEX(Fuel_LHV,MATCH(D1415,Fuels_for_LHV,0))*1000)/(D1433*D1414),IF(C1429="MWh",(D1429*'Reference values'!$D$47)/(D1433*D1414),IF(C1429="kWh",(D1429*'Reference values'!$D$47/1000)/(D1433*D1414),"Insert unit")))))))))),"")</f>
        <v>0</v>
      </c>
      <c r="F1423" s="21"/>
      <c r="G1423" s="21"/>
      <c r="L1423" s="35"/>
    </row>
    <row r="1424" spans="2:12" s="4" customFormat="1" outlineLevel="1" x14ac:dyDescent="0.4">
      <c r="B1424" s="20"/>
      <c r="C1424" s="21"/>
      <c r="D1424" s="21"/>
      <c r="E1424" s="21"/>
      <c r="F1424" s="21"/>
      <c r="G1424" s="21"/>
      <c r="H1424" s="21"/>
      <c r="I1424" s="21"/>
      <c r="J1424" s="21"/>
      <c r="K1424" s="21"/>
      <c r="L1424" s="35"/>
    </row>
    <row r="1425" spans="2:12" s="4" customFormat="1" ht="16.5" customHeight="1" outlineLevel="1" x14ac:dyDescent="0.4">
      <c r="B1425" s="20"/>
      <c r="C1425" s="759" t="s">
        <v>177</v>
      </c>
      <c r="D1425" s="759"/>
      <c r="E1425" s="135" t="s">
        <v>178</v>
      </c>
      <c r="F1425" s="21"/>
      <c r="G1425" s="21"/>
      <c r="L1425" s="35"/>
    </row>
    <row r="1426" spans="2:12" s="4" customFormat="1" ht="12.75" customHeight="1" outlineLevel="1" x14ac:dyDescent="0.4">
      <c r="B1426" s="20"/>
      <c r="C1426" s="21"/>
      <c r="D1426" s="21"/>
      <c r="E1426" s="21"/>
      <c r="F1426" s="21"/>
      <c r="G1426" s="21"/>
      <c r="L1426" s="35"/>
    </row>
    <row r="1427" spans="2:12" s="4" customFormat="1" outlineLevel="1" x14ac:dyDescent="0.4">
      <c r="B1427" s="20"/>
      <c r="C1427" s="25" t="str">
        <f>IF(E1425="yes", "Fuel demand for outward journey",IF(E1425="No","Fuel demand for full journey (outward and return)",""))</f>
        <v>Fuel demand for full journey (outward and return)</v>
      </c>
      <c r="D1427" s="21"/>
      <c r="E1427" s="21"/>
      <c r="F1427" s="21"/>
      <c r="G1427" s="21"/>
      <c r="H1427" s="21"/>
      <c r="I1427" s="21"/>
      <c r="J1427" s="21"/>
      <c r="K1427" s="21"/>
      <c r="L1427" s="35"/>
    </row>
    <row r="1428" spans="2:12" s="4" customFormat="1" outlineLevel="1" x14ac:dyDescent="0.4">
      <c r="B1428" s="20"/>
      <c r="C1428" s="164" t="s">
        <v>151</v>
      </c>
      <c r="D1428" s="164" t="s">
        <v>140</v>
      </c>
      <c r="E1428" s="21"/>
      <c r="F1428" s="21"/>
      <c r="G1428" s="21"/>
      <c r="H1428" s="21"/>
      <c r="I1428" s="21"/>
      <c r="J1428" s="21"/>
      <c r="K1428" s="21"/>
      <c r="L1428" s="35"/>
    </row>
    <row r="1429" spans="2:12" s="4" customFormat="1" outlineLevel="1" x14ac:dyDescent="0.4">
      <c r="B1429" s="20"/>
      <c r="C1429" s="138"/>
      <c r="D1429" s="135"/>
      <c r="E1429" s="21"/>
      <c r="F1429" s="21"/>
      <c r="G1429" s="21"/>
      <c r="H1429" s="21"/>
      <c r="I1429" s="21"/>
      <c r="J1429" s="21"/>
      <c r="K1429" s="21"/>
      <c r="L1429" s="35"/>
    </row>
    <row r="1430" spans="2:12" s="4" customFormat="1" outlineLevel="1" x14ac:dyDescent="0.4">
      <c r="B1430" s="20"/>
      <c r="C1430" s="21"/>
      <c r="D1430" s="21"/>
      <c r="E1430" s="21"/>
      <c r="F1430" s="21"/>
      <c r="G1430" s="21"/>
      <c r="H1430" s="21"/>
      <c r="I1430" s="21"/>
      <c r="J1430" s="21"/>
      <c r="K1430" s="21"/>
      <c r="L1430" s="35"/>
    </row>
    <row r="1431" spans="2:12" s="4" customFormat="1" outlineLevel="1" x14ac:dyDescent="0.4">
      <c r="B1431" s="20"/>
      <c r="C1431" s="25" t="s">
        <v>180</v>
      </c>
      <c r="D1431" s="21"/>
      <c r="E1431" s="21"/>
      <c r="F1431" s="21"/>
      <c r="G1431" s="21"/>
      <c r="H1431" s="21"/>
      <c r="I1431" s="21"/>
      <c r="J1431" s="21"/>
      <c r="K1431" s="21"/>
      <c r="L1431" s="35"/>
    </row>
    <row r="1432" spans="2:12" s="4" customFormat="1" outlineLevel="1" x14ac:dyDescent="0.4">
      <c r="B1432" s="20"/>
      <c r="C1432" s="164" t="s">
        <v>151</v>
      </c>
      <c r="D1432" s="164" t="s">
        <v>140</v>
      </c>
      <c r="E1432" s="21"/>
      <c r="F1432" s="21"/>
      <c r="G1432" s="21"/>
      <c r="H1432" s="21"/>
      <c r="I1432" s="21"/>
      <c r="J1432" s="21"/>
      <c r="K1432" s="21"/>
      <c r="L1432" s="35"/>
    </row>
    <row r="1433" spans="2:12" s="4" customFormat="1" outlineLevel="1" x14ac:dyDescent="0.4">
      <c r="B1433" s="20"/>
      <c r="C1433" s="138"/>
      <c r="D1433" s="135"/>
      <c r="E1433" s="21"/>
      <c r="F1433" s="21"/>
      <c r="G1433" s="21"/>
      <c r="H1433" s="21"/>
      <c r="I1433" s="21"/>
      <c r="J1433" s="21"/>
      <c r="K1433" s="21"/>
      <c r="L1433" s="35"/>
    </row>
    <row r="1434" spans="2:12" s="4" customFormat="1" ht="12.75" customHeight="1" outlineLevel="1" x14ac:dyDescent="0.4">
      <c r="B1434" s="28"/>
      <c r="C1434" s="29"/>
      <c r="D1434" s="29"/>
      <c r="E1434" s="29"/>
      <c r="F1434" s="29"/>
      <c r="G1434" s="29"/>
      <c r="H1434" s="29"/>
      <c r="I1434" s="29"/>
      <c r="J1434" s="29"/>
      <c r="K1434" s="29"/>
      <c r="L1434" s="60"/>
    </row>
    <row r="1435" spans="2:12" s="4" customFormat="1" ht="3" customHeight="1" x14ac:dyDescent="0.4"/>
    <row r="1436" spans="2:12" s="4" customFormat="1" ht="8.4" hidden="1" customHeight="1" x14ac:dyDescent="0.4"/>
    <row r="1437" spans="2:12" s="1" customFormat="1" ht="11.1" hidden="1" customHeight="1" x14ac:dyDescent="0.35">
      <c r="B1437" s="2"/>
      <c r="C1437" s="3"/>
      <c r="E1437" s="2"/>
    </row>
    <row r="1438" spans="2:12" s="4" customFormat="1" ht="15.9" hidden="1" customHeight="1" x14ac:dyDescent="0.4"/>
    <row r="1439" spans="2:12" s="4" customFormat="1" ht="15.9" hidden="1" customHeight="1" x14ac:dyDescent="0.4"/>
    <row r="1440" spans="2:12" s="4" customFormat="1" ht="15.9" hidden="1" customHeight="1" x14ac:dyDescent="0.4"/>
    <row r="1441" spans="2:5" s="4" customFormat="1" hidden="1" x14ac:dyDescent="0.4"/>
    <row r="1442" spans="2:5" s="4" customFormat="1" ht="15.9" hidden="1" customHeight="1" x14ac:dyDescent="0.4"/>
    <row r="1443" spans="2:5" s="4" customFormat="1" ht="15.9" hidden="1" customHeight="1" x14ac:dyDescent="0.4"/>
    <row r="1444" spans="2:5" s="4" customFormat="1" hidden="1" x14ac:dyDescent="0.4"/>
    <row r="1445" spans="2:5" s="1" customFormat="1" ht="11.1" hidden="1" customHeight="1" x14ac:dyDescent="0.35">
      <c r="B1445" s="2"/>
      <c r="C1445" s="3"/>
      <c r="E1445" s="2"/>
    </row>
    <row r="1446" spans="2:5" s="4" customFormat="1" ht="15.9" hidden="1" customHeight="1" x14ac:dyDescent="0.4"/>
    <row r="1447" spans="2:5" s="4" customFormat="1" ht="15.9" hidden="1" customHeight="1" x14ac:dyDescent="0.4"/>
    <row r="1448" spans="2:5" s="4" customFormat="1" ht="15.9" hidden="1" customHeight="1" x14ac:dyDescent="0.4"/>
    <row r="1449" spans="2:5" s="4" customFormat="1" hidden="1" x14ac:dyDescent="0.4"/>
    <row r="1450" spans="2:5" s="4" customFormat="1" hidden="1" x14ac:dyDescent="0.4"/>
    <row r="1451" spans="2:5" s="4" customFormat="1" hidden="1" x14ac:dyDescent="0.4"/>
    <row r="1452" spans="2:5" s="4" customFormat="1" hidden="1" x14ac:dyDescent="0.4"/>
    <row r="1453" spans="2:5" s="4" customFormat="1" hidden="1" x14ac:dyDescent="0.4"/>
    <row r="1454" spans="2:5" s="4" customFormat="1" hidden="1" x14ac:dyDescent="0.4"/>
    <row r="1455" spans="2:5" s="4" customFormat="1" hidden="1" x14ac:dyDescent="0.4"/>
    <row r="1456" spans="2:5" s="4" customFormat="1" hidden="1" x14ac:dyDescent="0.4"/>
    <row r="1457" spans="2:12" s="4" customFormat="1" x14ac:dyDescent="0.4"/>
    <row r="1458" spans="2:12" s="4" customFormat="1" ht="19.2" x14ac:dyDescent="0.45">
      <c r="B1458" s="754" t="str">
        <f>"Transport to Plant"&amp;" - "&amp;Feedstocks!C46</f>
        <v xml:space="preserve">Transport to Plant - </v>
      </c>
      <c r="C1458" s="755"/>
      <c r="D1458" s="755"/>
      <c r="E1458" s="755"/>
      <c r="F1458" s="755"/>
      <c r="G1458" s="755"/>
      <c r="H1458" s="755"/>
      <c r="I1458" s="755"/>
      <c r="J1458" s="755"/>
      <c r="K1458" s="755"/>
      <c r="L1458" s="756"/>
    </row>
    <row r="1459" spans="2:12" s="4" customFormat="1" outlineLevel="1" x14ac:dyDescent="0.4">
      <c r="B1459" s="17"/>
      <c r="C1459" s="18"/>
      <c r="D1459" s="19"/>
      <c r="E1459" s="19"/>
      <c r="F1459" s="19"/>
      <c r="G1459" s="19"/>
      <c r="H1459" s="19"/>
      <c r="I1459" s="19"/>
      <c r="J1459" s="19"/>
      <c r="K1459" s="19"/>
      <c r="L1459" s="50"/>
    </row>
    <row r="1460" spans="2:12" s="4" customFormat="1" outlineLevel="1" x14ac:dyDescent="0.4">
      <c r="B1460" s="20"/>
      <c r="C1460" s="174" t="s">
        <v>87</v>
      </c>
      <c r="D1460" s="778" t="str">
        <f>IF(Feedstocks!$C$46&gt;0,Feedstocks!$C$46,"")</f>
        <v/>
      </c>
      <c r="E1460" s="778"/>
      <c r="F1460" s="778"/>
      <c r="G1460" s="1"/>
      <c r="H1460" s="303" t="s">
        <v>122</v>
      </c>
      <c r="I1460" s="47"/>
      <c r="J1460" s="47"/>
      <c r="K1460" s="61"/>
      <c r="L1460" s="35"/>
    </row>
    <row r="1461" spans="2:12" s="4" customFormat="1" outlineLevel="1" x14ac:dyDescent="0.4">
      <c r="B1461" s="20"/>
      <c r="C1461" s="1"/>
      <c r="D1461" s="1"/>
      <c r="E1461" s="1"/>
      <c r="F1461" s="1"/>
      <c r="G1461" s="76"/>
      <c r="H1461" s="43"/>
      <c r="I1461" s="36"/>
      <c r="J1461" s="164" t="s">
        <v>124</v>
      </c>
      <c r="K1461" s="44"/>
      <c r="L1461" s="35"/>
    </row>
    <row r="1462" spans="2:12" s="12" customFormat="1" ht="15" outlineLevel="1" x14ac:dyDescent="0.35">
      <c r="B1462" s="20"/>
      <c r="C1462" s="1"/>
      <c r="D1462" s="1"/>
      <c r="E1462" s="1"/>
      <c r="F1462" s="1"/>
      <c r="G1462" s="1"/>
      <c r="H1462" s="43"/>
      <c r="I1462" s="164" t="s">
        <v>125</v>
      </c>
      <c r="J1462" s="52" t="str">
        <f>IFERROR((J1465/(('Digestion &amp; outputs'!$G$47/1000)))*'Digestion &amp; outputs'!$K$23,"")</f>
        <v/>
      </c>
      <c r="K1462" s="44"/>
      <c r="L1462" s="54"/>
    </row>
    <row r="1463" spans="2:12" s="4" customFormat="1" outlineLevel="1" x14ac:dyDescent="0.4">
      <c r="B1463" s="20"/>
      <c r="C1463" s="164" t="s">
        <v>163</v>
      </c>
      <c r="D1463" s="134" t="s">
        <v>164</v>
      </c>
      <c r="E1463" s="1"/>
      <c r="F1463" s="1"/>
      <c r="G1463" s="1"/>
      <c r="H1463" s="41"/>
      <c r="I1463" s="34"/>
      <c r="J1463" s="34"/>
      <c r="K1463" s="37"/>
      <c r="L1463" s="35"/>
    </row>
    <row r="1464" spans="2:12" s="4" customFormat="1" outlineLevel="1" x14ac:dyDescent="0.4">
      <c r="B1464" s="20"/>
      <c r="C1464" s="164" t="s">
        <v>165</v>
      </c>
      <c r="D1464" s="143"/>
      <c r="E1464" s="1"/>
      <c r="F1464" s="1"/>
      <c r="G1464" s="1"/>
      <c r="H1464" s="41"/>
      <c r="I1464" s="36"/>
      <c r="J1464" s="164" t="s">
        <v>141</v>
      </c>
      <c r="K1464" s="37"/>
      <c r="L1464" s="35"/>
    </row>
    <row r="1465" spans="2:12" s="4" customFormat="1" outlineLevel="1" x14ac:dyDescent="0.4">
      <c r="B1465" s="20"/>
      <c r="C1465" s="164" t="s">
        <v>160</v>
      </c>
      <c r="D1465" s="134" t="s">
        <v>166</v>
      </c>
      <c r="E1465" s="1"/>
      <c r="F1465" s="1"/>
      <c r="G1465" s="1"/>
      <c r="H1465" s="42"/>
      <c r="I1465" s="164" t="s">
        <v>167</v>
      </c>
      <c r="J1465" s="52">
        <f>IFERROR(J1470,"Insert data")</f>
        <v>0</v>
      </c>
      <c r="K1465" s="62"/>
      <c r="L1465" s="35"/>
    </row>
    <row r="1466" spans="2:12" s="4" customFormat="1" outlineLevel="1" x14ac:dyDescent="0.4">
      <c r="B1466" s="20"/>
      <c r="C1466" s="21"/>
      <c r="D1466" s="21"/>
      <c r="E1466" s="21"/>
      <c r="F1466" s="21"/>
      <c r="G1466" s="21"/>
      <c r="H1466" s="46"/>
      <c r="I1466" s="58"/>
      <c r="J1466" s="58"/>
      <c r="K1466" s="59"/>
      <c r="L1466" s="35"/>
    </row>
    <row r="1467" spans="2:12" s="4" customFormat="1" outlineLevel="1" x14ac:dyDescent="0.4">
      <c r="B1467" s="20"/>
      <c r="C1467" s="25" t="s">
        <v>168</v>
      </c>
      <c r="D1467" s="21"/>
      <c r="E1467" s="21"/>
      <c r="F1467" s="21"/>
      <c r="G1467" s="21"/>
      <c r="H1467" s="21"/>
      <c r="I1467" s="21"/>
      <c r="J1467" s="21"/>
      <c r="K1467" s="21"/>
      <c r="L1467" s="35"/>
    </row>
    <row r="1468" spans="2:12" s="14" customFormat="1" ht="30.6" outlineLevel="1" x14ac:dyDescent="0.4">
      <c r="B1468" s="23"/>
      <c r="C1468" s="166" t="s">
        <v>131</v>
      </c>
      <c r="D1468" s="166" t="s">
        <v>169</v>
      </c>
      <c r="E1468" s="166" t="s">
        <v>170</v>
      </c>
      <c r="F1468" s="166" t="s">
        <v>171</v>
      </c>
      <c r="G1468" s="24"/>
      <c r="H1468" s="303" t="s">
        <v>136</v>
      </c>
      <c r="I1468" s="47"/>
      <c r="J1468" s="47"/>
      <c r="K1468" s="45"/>
      <c r="L1468" s="63"/>
    </row>
    <row r="1469" spans="2:12" s="4" customFormat="1" outlineLevel="1" x14ac:dyDescent="0.4">
      <c r="B1469" s="20"/>
      <c r="C1469" s="138" t="s">
        <v>96</v>
      </c>
      <c r="D1469" s="93">
        <v>1</v>
      </c>
      <c r="E1469" s="135"/>
      <c r="F1469" s="31">
        <f>IFERROR(IF(OR(C1469="Default",D1463="No transport required"),D1469,IF(ISBLANK(E1469),"Insert data",E1469)),"")</f>
        <v>1</v>
      </c>
      <c r="G1469" s="21"/>
      <c r="H1469" s="41"/>
      <c r="I1469" s="36"/>
      <c r="J1469" s="164" t="s">
        <v>141</v>
      </c>
      <c r="K1469" s="37"/>
      <c r="L1469" s="35"/>
    </row>
    <row r="1470" spans="2:12" s="4" customFormat="1" outlineLevel="1" x14ac:dyDescent="0.4">
      <c r="B1470" s="20"/>
      <c r="C1470" s="21"/>
      <c r="D1470" s="21"/>
      <c r="E1470" s="692" t="str">
        <f>IF(E1469&gt;1, "this should not be greater than 1", "")</f>
        <v/>
      </c>
      <c r="F1470" s="21"/>
      <c r="G1470" s="21"/>
      <c r="H1470" s="42"/>
      <c r="I1470" s="164" t="s">
        <v>172</v>
      </c>
      <c r="J1470" s="52">
        <f>IF(D1463="No transport required",0,IFERROR(E1473*INDEX(Fuel_EFs,MATCH(D1465,Fuels_for_EF,0))*D1464/1000,"Insert data"))</f>
        <v>0</v>
      </c>
      <c r="K1470" s="62"/>
      <c r="L1470" s="35"/>
    </row>
    <row r="1471" spans="2:12" s="4" customFormat="1" outlineLevel="1" x14ac:dyDescent="0.4">
      <c r="B1471" s="20"/>
      <c r="C1471" s="25" t="s">
        <v>173</v>
      </c>
      <c r="D1471" s="21"/>
      <c r="E1471" s="21"/>
      <c r="F1471" s="21"/>
      <c r="G1471" s="21"/>
      <c r="H1471" s="46"/>
      <c r="I1471" s="58"/>
      <c r="J1471" s="58"/>
      <c r="K1471" s="59"/>
      <c r="L1471" s="35"/>
    </row>
    <row r="1472" spans="2:12" s="14" customFormat="1" outlineLevel="1" x14ac:dyDescent="0.4">
      <c r="B1472" s="23"/>
      <c r="C1472" s="176" t="s">
        <v>174</v>
      </c>
      <c r="D1472" s="166" t="s">
        <v>175</v>
      </c>
      <c r="E1472" s="166" t="s">
        <v>176</v>
      </c>
      <c r="F1472" s="24"/>
      <c r="G1472" s="24"/>
      <c r="H1472" s="4"/>
      <c r="I1472" s="4"/>
      <c r="J1472" s="4"/>
      <c r="K1472" s="4"/>
      <c r="L1472" s="63"/>
    </row>
    <row r="1473" spans="2:12" s="4" customFormat="1" outlineLevel="1" x14ac:dyDescent="0.4">
      <c r="B1473" s="20"/>
      <c r="C1473" s="138" t="s">
        <v>96</v>
      </c>
      <c r="D1473" s="93">
        <f>IFERROR(INDEX(Transport_Fuel_Efficiencies,MATCH(D1463,Transport_Modes,0)),"Insert data")</f>
        <v>0</v>
      </c>
      <c r="E1473" s="31">
        <f>IFERROR(IF(C1473="Default",D1473,IF(OR(ISBLANK(E1475),ISBLANK(D1479),ISBLANK(D1483)),"Insert data",(IF(C1479="litres",(D1479*(INDEX(Fuel_Densities,MATCH(D1465,Fuels_for_Densities,0))/1000)*INDEX(Fuel_LHV,MATCH(D1465,Fuels_for_LHV,0)))/(D1483*D1464),(IF(C1479="m3",(D1479*(INDEX(Fuel_Densities,MATCH(D1465,Fuels_for_Densities,0)))*INDEX(Fuel_LHV,MATCH(D1465,Fuels_for_LHV,0)))/(D1483*D1464),IF(C1479="kg",(D1479*INDEX(Fuel_LHV,MATCH(D1465,Fuels_for_LHV,0)))/(D1483*D1464),IF(C1479="tonnes",(D1479*INDEX(Fuel_LHV,MATCH(D1465,Fuels_for_LHV,0))*1000)/(D1483*D1464),IF(C1479="MWh",(D1479*'Reference values'!$D$47)/(D1483*D1464),IF(C1479="kWh",(D1479*'Reference values'!$D$47/1000)/(D1483*D1464),"Insert unit")))))))))),"")</f>
        <v>0</v>
      </c>
      <c r="F1473" s="21"/>
      <c r="G1473" s="21"/>
      <c r="L1473" s="35"/>
    </row>
    <row r="1474" spans="2:12" s="4" customFormat="1" outlineLevel="1" x14ac:dyDescent="0.4">
      <c r="B1474" s="20"/>
      <c r="C1474" s="21"/>
      <c r="D1474" s="21"/>
      <c r="E1474" s="21"/>
      <c r="F1474" s="21"/>
      <c r="G1474" s="21"/>
      <c r="H1474" s="21"/>
      <c r="I1474" s="21"/>
      <c r="J1474" s="21"/>
      <c r="K1474" s="21"/>
      <c r="L1474" s="35"/>
    </row>
    <row r="1475" spans="2:12" s="4" customFormat="1" ht="16.5" customHeight="1" outlineLevel="1" x14ac:dyDescent="0.4">
      <c r="B1475" s="20"/>
      <c r="C1475" s="759" t="s">
        <v>177</v>
      </c>
      <c r="D1475" s="759"/>
      <c r="E1475" s="135" t="s">
        <v>178</v>
      </c>
      <c r="F1475" s="21"/>
      <c r="G1475" s="21"/>
      <c r="L1475" s="35"/>
    </row>
    <row r="1476" spans="2:12" s="4" customFormat="1" ht="12.75" customHeight="1" outlineLevel="1" x14ac:dyDescent="0.4">
      <c r="B1476" s="20"/>
      <c r="C1476" s="21"/>
      <c r="D1476" s="21"/>
      <c r="E1476" s="21"/>
      <c r="F1476" s="21"/>
      <c r="G1476" s="21"/>
      <c r="L1476" s="35"/>
    </row>
    <row r="1477" spans="2:12" s="4" customFormat="1" outlineLevel="1" x14ac:dyDescent="0.4">
      <c r="B1477" s="20"/>
      <c r="C1477" s="25" t="str">
        <f>IF(E1475="yes", "Fuel demand for outward journey",IF(E1475="No","Fuel demand for full journey (outward and return)",""))</f>
        <v>Fuel demand for full journey (outward and return)</v>
      </c>
      <c r="D1477" s="21"/>
      <c r="E1477" s="21"/>
      <c r="F1477" s="21"/>
      <c r="G1477" s="21"/>
      <c r="H1477" s="21"/>
      <c r="I1477" s="21"/>
      <c r="J1477" s="21"/>
      <c r="K1477" s="21"/>
      <c r="L1477" s="35"/>
    </row>
    <row r="1478" spans="2:12" s="4" customFormat="1" outlineLevel="1" x14ac:dyDescent="0.4">
      <c r="B1478" s="20"/>
      <c r="C1478" s="164" t="s">
        <v>151</v>
      </c>
      <c r="D1478" s="164" t="s">
        <v>140</v>
      </c>
      <c r="E1478" s="21"/>
      <c r="F1478" s="21"/>
      <c r="G1478" s="21"/>
      <c r="H1478" s="21"/>
      <c r="I1478" s="21"/>
      <c r="J1478" s="21"/>
      <c r="K1478" s="21"/>
      <c r="L1478" s="35"/>
    </row>
    <row r="1479" spans="2:12" s="4" customFormat="1" outlineLevel="1" x14ac:dyDescent="0.4">
      <c r="B1479" s="20"/>
      <c r="C1479" s="138"/>
      <c r="D1479" s="135"/>
      <c r="E1479" s="21"/>
      <c r="F1479" s="21"/>
      <c r="G1479" s="21"/>
      <c r="H1479" s="21"/>
      <c r="I1479" s="21"/>
      <c r="J1479" s="21"/>
      <c r="K1479" s="21"/>
      <c r="L1479" s="35"/>
    </row>
    <row r="1480" spans="2:12" s="4" customFormat="1" outlineLevel="1" x14ac:dyDescent="0.4">
      <c r="B1480" s="20"/>
      <c r="C1480" s="21"/>
      <c r="D1480" s="21"/>
      <c r="E1480" s="21"/>
      <c r="F1480" s="21"/>
      <c r="G1480" s="21"/>
      <c r="H1480" s="21"/>
      <c r="I1480" s="21"/>
      <c r="J1480" s="21"/>
      <c r="K1480" s="21"/>
      <c r="L1480" s="35"/>
    </row>
    <row r="1481" spans="2:12" s="4" customFormat="1" outlineLevel="1" x14ac:dyDescent="0.4">
      <c r="B1481" s="20"/>
      <c r="C1481" s="25" t="s">
        <v>180</v>
      </c>
      <c r="D1481" s="21"/>
      <c r="E1481" s="21"/>
      <c r="F1481" s="21"/>
      <c r="G1481" s="21"/>
      <c r="H1481" s="21"/>
      <c r="I1481" s="21"/>
      <c r="J1481" s="21"/>
      <c r="K1481" s="21"/>
      <c r="L1481" s="35"/>
    </row>
    <row r="1482" spans="2:12" s="4" customFormat="1" outlineLevel="1" x14ac:dyDescent="0.4">
      <c r="B1482" s="20"/>
      <c r="C1482" s="164" t="s">
        <v>151</v>
      </c>
      <c r="D1482" s="164" t="s">
        <v>140</v>
      </c>
      <c r="E1482" s="21"/>
      <c r="F1482" s="21"/>
      <c r="G1482" s="21"/>
      <c r="H1482" s="21"/>
      <c r="I1482" s="21"/>
      <c r="J1482" s="21"/>
      <c r="K1482" s="21"/>
      <c r="L1482" s="35"/>
    </row>
    <row r="1483" spans="2:12" s="4" customFormat="1" outlineLevel="1" x14ac:dyDescent="0.4">
      <c r="B1483" s="20"/>
      <c r="C1483" s="138"/>
      <c r="D1483" s="135"/>
      <c r="E1483" s="21"/>
      <c r="F1483" s="21"/>
      <c r="G1483" s="21"/>
      <c r="H1483" s="21"/>
      <c r="I1483" s="21"/>
      <c r="J1483" s="21"/>
      <c r="K1483" s="21"/>
      <c r="L1483" s="35"/>
    </row>
    <row r="1484" spans="2:12" s="4" customFormat="1" ht="12.75" customHeight="1" outlineLevel="1" x14ac:dyDescent="0.4">
      <c r="B1484" s="28"/>
      <c r="C1484" s="29"/>
      <c r="D1484" s="29"/>
      <c r="E1484" s="29"/>
      <c r="F1484" s="29"/>
      <c r="G1484" s="29"/>
      <c r="H1484" s="29"/>
      <c r="I1484" s="29"/>
      <c r="J1484" s="29"/>
      <c r="K1484" s="29"/>
      <c r="L1484" s="60"/>
    </row>
    <row r="1485" spans="2:12" s="4" customFormat="1" ht="3" customHeight="1" x14ac:dyDescent="0.4"/>
    <row r="1486" spans="2:12" s="4" customFormat="1" ht="8.4" hidden="1" customHeight="1" x14ac:dyDescent="0.4"/>
    <row r="1487" spans="2:12" s="1" customFormat="1" ht="11.1" hidden="1" customHeight="1" x14ac:dyDescent="0.35">
      <c r="B1487" s="2"/>
      <c r="C1487" s="3"/>
      <c r="E1487" s="2"/>
    </row>
    <row r="1488" spans="2:12" s="4" customFormat="1" ht="15.9" hidden="1" customHeight="1" x14ac:dyDescent="0.4"/>
    <row r="1489" spans="2:5" s="4" customFormat="1" ht="15.9" hidden="1" customHeight="1" x14ac:dyDescent="0.4"/>
    <row r="1490" spans="2:5" s="4" customFormat="1" ht="15.9" hidden="1" customHeight="1" x14ac:dyDescent="0.4"/>
    <row r="1491" spans="2:5" s="4" customFormat="1" hidden="1" x14ac:dyDescent="0.4"/>
    <row r="1492" spans="2:5" s="4" customFormat="1" ht="15.9" hidden="1" customHeight="1" x14ac:dyDescent="0.4"/>
    <row r="1493" spans="2:5" s="4" customFormat="1" ht="15.9" hidden="1" customHeight="1" x14ac:dyDescent="0.4"/>
    <row r="1494" spans="2:5" s="4" customFormat="1" hidden="1" x14ac:dyDescent="0.4"/>
    <row r="1495" spans="2:5" s="1" customFormat="1" ht="11.1" hidden="1" customHeight="1" x14ac:dyDescent="0.35">
      <c r="B1495" s="2"/>
      <c r="C1495" s="3"/>
      <c r="E1495" s="2"/>
    </row>
    <row r="1496" spans="2:5" s="4" customFormat="1" ht="15.9" hidden="1" customHeight="1" x14ac:dyDescent="0.4"/>
    <row r="1497" spans="2:5" s="4" customFormat="1" ht="15.9" hidden="1" customHeight="1" x14ac:dyDescent="0.4"/>
    <row r="1498" spans="2:5" s="4" customFormat="1" ht="15.9" hidden="1" customHeight="1" x14ac:dyDescent="0.4"/>
    <row r="1499" spans="2:5" s="4" customFormat="1" hidden="1" x14ac:dyDescent="0.4"/>
    <row r="1500" spans="2:5" s="4" customFormat="1" hidden="1" x14ac:dyDescent="0.4"/>
    <row r="1501" spans="2:5" s="4" customFormat="1" hidden="1" x14ac:dyDescent="0.4"/>
    <row r="1502" spans="2:5" s="4" customFormat="1" hidden="1" x14ac:dyDescent="0.4"/>
    <row r="1503" spans="2:5" s="4" customFormat="1" hidden="1" x14ac:dyDescent="0.4"/>
    <row r="1504" spans="2:5" s="4" customFormat="1" hidden="1" x14ac:dyDescent="0.4"/>
    <row r="1505" spans="2:12" s="4" customFormat="1" hidden="1" x14ac:dyDescent="0.4"/>
    <row r="1506" spans="2:12" s="4" customFormat="1" hidden="1" x14ac:dyDescent="0.4"/>
    <row r="1507" spans="2:12" s="4" customFormat="1" x14ac:dyDescent="0.4"/>
    <row r="1508" spans="2:12" s="4" customFormat="1" ht="19.2" x14ac:dyDescent="0.45">
      <c r="B1508" s="754" t="str">
        <f>"Transport to Plant"&amp;" - "&amp;Feedstocks!C47</f>
        <v xml:space="preserve">Transport to Plant - </v>
      </c>
      <c r="C1508" s="755"/>
      <c r="D1508" s="755"/>
      <c r="E1508" s="755"/>
      <c r="F1508" s="755"/>
      <c r="G1508" s="755"/>
      <c r="H1508" s="755"/>
      <c r="I1508" s="755"/>
      <c r="J1508" s="755"/>
      <c r="K1508" s="755"/>
      <c r="L1508" s="756"/>
    </row>
    <row r="1509" spans="2:12" s="4" customFormat="1" outlineLevel="1" x14ac:dyDescent="0.4">
      <c r="B1509" s="17"/>
      <c r="C1509" s="18"/>
      <c r="D1509" s="19"/>
      <c r="E1509" s="19"/>
      <c r="F1509" s="19"/>
      <c r="G1509" s="19"/>
      <c r="H1509" s="19"/>
      <c r="I1509" s="19"/>
      <c r="J1509" s="19"/>
      <c r="K1509" s="19"/>
      <c r="L1509" s="50"/>
    </row>
    <row r="1510" spans="2:12" s="4" customFormat="1" outlineLevel="1" x14ac:dyDescent="0.4">
      <c r="B1510" s="20"/>
      <c r="C1510" s="174" t="s">
        <v>87</v>
      </c>
      <c r="D1510" s="778" t="str">
        <f>IF(Feedstocks!$C$47&gt;0,Feedstocks!$C$47,"")</f>
        <v/>
      </c>
      <c r="E1510" s="778"/>
      <c r="F1510" s="778"/>
      <c r="G1510" s="1"/>
      <c r="H1510" s="303" t="s">
        <v>122</v>
      </c>
      <c r="I1510" s="47"/>
      <c r="J1510" s="47"/>
      <c r="K1510" s="61"/>
      <c r="L1510" s="35"/>
    </row>
    <row r="1511" spans="2:12" s="4" customFormat="1" outlineLevel="1" x14ac:dyDescent="0.4">
      <c r="B1511" s="20"/>
      <c r="C1511" s="1"/>
      <c r="D1511" s="1"/>
      <c r="E1511" s="1"/>
      <c r="F1511" s="1"/>
      <c r="G1511" s="76"/>
      <c r="H1511" s="43"/>
      <c r="I1511" s="36"/>
      <c r="J1511" s="164" t="s">
        <v>124</v>
      </c>
      <c r="K1511" s="44"/>
      <c r="L1511" s="35"/>
    </row>
    <row r="1512" spans="2:12" s="12" customFormat="1" ht="15" outlineLevel="1" x14ac:dyDescent="0.35">
      <c r="B1512" s="20"/>
      <c r="C1512" s="1"/>
      <c r="D1512" s="1"/>
      <c r="E1512" s="1"/>
      <c r="F1512" s="1"/>
      <c r="G1512" s="1"/>
      <c r="H1512" s="43"/>
      <c r="I1512" s="164" t="s">
        <v>125</v>
      </c>
      <c r="J1512" s="52" t="str">
        <f>IFERROR((J1515/(('Digestion &amp; outputs'!$G$48/1000)))*'Digestion &amp; outputs'!$K$23,"")</f>
        <v/>
      </c>
      <c r="K1512" s="44"/>
      <c r="L1512" s="54"/>
    </row>
    <row r="1513" spans="2:12" s="4" customFormat="1" outlineLevel="1" x14ac:dyDescent="0.4">
      <c r="B1513" s="20"/>
      <c r="C1513" s="164" t="s">
        <v>163</v>
      </c>
      <c r="D1513" s="134" t="s">
        <v>164</v>
      </c>
      <c r="E1513" s="1"/>
      <c r="F1513" s="1"/>
      <c r="G1513" s="1"/>
      <c r="H1513" s="41"/>
      <c r="I1513" s="34"/>
      <c r="J1513" s="34"/>
      <c r="K1513" s="37"/>
      <c r="L1513" s="35"/>
    </row>
    <row r="1514" spans="2:12" s="4" customFormat="1" outlineLevel="1" x14ac:dyDescent="0.4">
      <c r="B1514" s="20"/>
      <c r="C1514" s="164" t="s">
        <v>165</v>
      </c>
      <c r="D1514" s="143"/>
      <c r="E1514" s="1"/>
      <c r="F1514" s="1"/>
      <c r="G1514" s="1"/>
      <c r="H1514" s="41"/>
      <c r="I1514" s="36"/>
      <c r="J1514" s="164" t="s">
        <v>141</v>
      </c>
      <c r="K1514" s="37"/>
      <c r="L1514" s="35"/>
    </row>
    <row r="1515" spans="2:12" s="4" customFormat="1" outlineLevel="1" x14ac:dyDescent="0.4">
      <c r="B1515" s="20"/>
      <c r="C1515" s="164" t="s">
        <v>160</v>
      </c>
      <c r="D1515" s="134" t="s">
        <v>166</v>
      </c>
      <c r="E1515" s="1"/>
      <c r="F1515" s="1"/>
      <c r="G1515" s="1"/>
      <c r="H1515" s="42"/>
      <c r="I1515" s="164" t="s">
        <v>167</v>
      </c>
      <c r="J1515" s="52">
        <f>IFERROR(J1520,"Insert data")</f>
        <v>0</v>
      </c>
      <c r="K1515" s="62"/>
      <c r="L1515" s="35"/>
    </row>
    <row r="1516" spans="2:12" s="4" customFormat="1" outlineLevel="1" x14ac:dyDescent="0.4">
      <c r="B1516" s="20"/>
      <c r="C1516" s="21"/>
      <c r="D1516" s="21"/>
      <c r="E1516" s="21"/>
      <c r="F1516" s="21"/>
      <c r="G1516" s="21"/>
      <c r="H1516" s="46"/>
      <c r="I1516" s="58"/>
      <c r="J1516" s="58"/>
      <c r="K1516" s="59"/>
      <c r="L1516" s="35"/>
    </row>
    <row r="1517" spans="2:12" s="4" customFormat="1" outlineLevel="1" x14ac:dyDescent="0.4">
      <c r="B1517" s="20"/>
      <c r="C1517" s="25" t="s">
        <v>168</v>
      </c>
      <c r="D1517" s="21"/>
      <c r="E1517" s="21"/>
      <c r="F1517" s="21"/>
      <c r="G1517" s="21"/>
      <c r="H1517" s="21"/>
      <c r="I1517" s="21"/>
      <c r="J1517" s="21"/>
      <c r="K1517" s="21"/>
      <c r="L1517" s="35"/>
    </row>
    <row r="1518" spans="2:12" s="14" customFormat="1" ht="30.6" outlineLevel="1" x14ac:dyDescent="0.4">
      <c r="B1518" s="23"/>
      <c r="C1518" s="166" t="s">
        <v>131</v>
      </c>
      <c r="D1518" s="166" t="s">
        <v>169</v>
      </c>
      <c r="E1518" s="166" t="s">
        <v>170</v>
      </c>
      <c r="F1518" s="166" t="s">
        <v>171</v>
      </c>
      <c r="G1518" s="24"/>
      <c r="H1518" s="303" t="s">
        <v>136</v>
      </c>
      <c r="I1518" s="47"/>
      <c r="J1518" s="47"/>
      <c r="K1518" s="45"/>
      <c r="L1518" s="63"/>
    </row>
    <row r="1519" spans="2:12" s="4" customFormat="1" outlineLevel="1" x14ac:dyDescent="0.4">
      <c r="B1519" s="20"/>
      <c r="C1519" s="138" t="s">
        <v>96</v>
      </c>
      <c r="D1519" s="93">
        <v>1</v>
      </c>
      <c r="E1519" s="135"/>
      <c r="F1519" s="31">
        <f>IFERROR(IF(OR(C1519="Default",D1513="No transport required"),D1519,IF(ISBLANK(E1519),"Insert data",E1519)),"")</f>
        <v>1</v>
      </c>
      <c r="G1519" s="21"/>
      <c r="H1519" s="41"/>
      <c r="I1519" s="36"/>
      <c r="J1519" s="164" t="s">
        <v>141</v>
      </c>
      <c r="K1519" s="37"/>
      <c r="L1519" s="35"/>
    </row>
    <row r="1520" spans="2:12" s="4" customFormat="1" outlineLevel="1" x14ac:dyDescent="0.4">
      <c r="B1520" s="20"/>
      <c r="C1520" s="21"/>
      <c r="D1520" s="21"/>
      <c r="E1520" s="692" t="str">
        <f>IF(E1519&gt;1, "this should not be greater than 1", "")</f>
        <v/>
      </c>
      <c r="F1520" s="21"/>
      <c r="G1520" s="21"/>
      <c r="H1520" s="42"/>
      <c r="I1520" s="164" t="s">
        <v>172</v>
      </c>
      <c r="J1520" s="52">
        <f>IF(D1513="No transport required",0,IFERROR(E1523*INDEX(Fuel_EFs,MATCH(D1515,Fuels_for_EF,0))*D1514/1000,"Insert data"))</f>
        <v>0</v>
      </c>
      <c r="K1520" s="62"/>
      <c r="L1520" s="35"/>
    </row>
    <row r="1521" spans="2:12" s="4" customFormat="1" outlineLevel="1" x14ac:dyDescent="0.4">
      <c r="B1521" s="20"/>
      <c r="C1521" s="25" t="s">
        <v>173</v>
      </c>
      <c r="D1521" s="21"/>
      <c r="E1521" s="21"/>
      <c r="F1521" s="21"/>
      <c r="G1521" s="21"/>
      <c r="H1521" s="46"/>
      <c r="I1521" s="58"/>
      <c r="J1521" s="58"/>
      <c r="K1521" s="59"/>
      <c r="L1521" s="35"/>
    </row>
    <row r="1522" spans="2:12" s="14" customFormat="1" outlineLevel="1" x14ac:dyDescent="0.4">
      <c r="B1522" s="23"/>
      <c r="C1522" s="176" t="s">
        <v>174</v>
      </c>
      <c r="D1522" s="166" t="s">
        <v>175</v>
      </c>
      <c r="E1522" s="166" t="s">
        <v>176</v>
      </c>
      <c r="F1522" s="24"/>
      <c r="G1522" s="24"/>
      <c r="H1522" s="4"/>
      <c r="I1522" s="4"/>
      <c r="J1522" s="4"/>
      <c r="K1522" s="4"/>
      <c r="L1522" s="63"/>
    </row>
    <row r="1523" spans="2:12" s="4" customFormat="1" outlineLevel="1" x14ac:dyDescent="0.4">
      <c r="B1523" s="20"/>
      <c r="C1523" s="138" t="s">
        <v>96</v>
      </c>
      <c r="D1523" s="93">
        <f>IFERROR(INDEX(Transport_Fuel_Efficiencies,MATCH(D1513,Transport_Modes,0)),"Insert data")</f>
        <v>0</v>
      </c>
      <c r="E1523" s="31">
        <f>IFERROR(IF(C1523="Default",D1523,IF(OR(ISBLANK(E1525),ISBLANK(D1529),ISBLANK(D1533)),"Insert data",(IF(C1529="litres",(D1529*(INDEX(Fuel_Densities,MATCH(D1515,Fuels_for_Densities,0))/1000)*INDEX(Fuel_LHV,MATCH(D1515,Fuels_for_LHV,0)))/(D1533*D1514),(IF(C1529="m3",(D1529*(INDEX(Fuel_Densities,MATCH(D1515,Fuels_for_Densities,0)))*INDEX(Fuel_LHV,MATCH(D1515,Fuels_for_LHV,0)))/(D1533*D1514),IF(C1529="kg",(D1529*INDEX(Fuel_LHV,MATCH(D1515,Fuels_for_LHV,0)))/(D1533*D1514),IF(C1529="tonnes",(D1529*INDEX(Fuel_LHV,MATCH(D1515,Fuels_for_LHV,0))*1000)/(D1533*D1514),IF(C1529="MWh",(D1529*'Reference values'!$D$47)/(D1533*D1514),IF(C1529="kWh",(D1529*'Reference values'!$D$47/1000)/(D1533*D1514),"Insert unit")))))))))),"")</f>
        <v>0</v>
      </c>
      <c r="F1523" s="21"/>
      <c r="G1523" s="21"/>
      <c r="L1523" s="35"/>
    </row>
    <row r="1524" spans="2:12" s="4" customFormat="1" outlineLevel="1" x14ac:dyDescent="0.4">
      <c r="B1524" s="20"/>
      <c r="C1524" s="21"/>
      <c r="D1524" s="21"/>
      <c r="E1524" s="21"/>
      <c r="F1524" s="21"/>
      <c r="G1524" s="21"/>
      <c r="H1524" s="21"/>
      <c r="I1524" s="21"/>
      <c r="J1524" s="21"/>
      <c r="K1524" s="21"/>
      <c r="L1524" s="35"/>
    </row>
    <row r="1525" spans="2:12" s="4" customFormat="1" ht="16.5" customHeight="1" outlineLevel="1" x14ac:dyDescent="0.4">
      <c r="B1525" s="20"/>
      <c r="C1525" s="759" t="s">
        <v>177</v>
      </c>
      <c r="D1525" s="759"/>
      <c r="E1525" s="135" t="s">
        <v>178</v>
      </c>
      <c r="F1525" s="21"/>
      <c r="G1525" s="21"/>
      <c r="L1525" s="35"/>
    </row>
    <row r="1526" spans="2:12" s="4" customFormat="1" ht="12.75" customHeight="1" outlineLevel="1" x14ac:dyDescent="0.4">
      <c r="B1526" s="20"/>
      <c r="C1526" s="21"/>
      <c r="D1526" s="21"/>
      <c r="E1526" s="21"/>
      <c r="F1526" s="21"/>
      <c r="G1526" s="21"/>
      <c r="L1526" s="35"/>
    </row>
    <row r="1527" spans="2:12" s="4" customFormat="1" outlineLevel="1" x14ac:dyDescent="0.4">
      <c r="B1527" s="20"/>
      <c r="C1527" s="25" t="str">
        <f>IF(E1525="yes", "Fuel demand for outward journey",IF(E1525="No","Fuel demand for full journey (outward and return)",""))</f>
        <v>Fuel demand for full journey (outward and return)</v>
      </c>
      <c r="D1527" s="21"/>
      <c r="E1527" s="21"/>
      <c r="F1527" s="21"/>
      <c r="G1527" s="21"/>
      <c r="H1527" s="21"/>
      <c r="I1527" s="21"/>
      <c r="J1527" s="21"/>
      <c r="K1527" s="21"/>
      <c r="L1527" s="35"/>
    </row>
    <row r="1528" spans="2:12" s="4" customFormat="1" outlineLevel="1" x14ac:dyDescent="0.4">
      <c r="B1528" s="20"/>
      <c r="C1528" s="164" t="s">
        <v>151</v>
      </c>
      <c r="D1528" s="164" t="s">
        <v>140</v>
      </c>
      <c r="E1528" s="21"/>
      <c r="F1528" s="21"/>
      <c r="G1528" s="21"/>
      <c r="H1528" s="21"/>
      <c r="I1528" s="21"/>
      <c r="J1528" s="21"/>
      <c r="K1528" s="21"/>
      <c r="L1528" s="35"/>
    </row>
    <row r="1529" spans="2:12" s="4" customFormat="1" outlineLevel="1" x14ac:dyDescent="0.4">
      <c r="B1529" s="20"/>
      <c r="C1529" s="138"/>
      <c r="D1529" s="135"/>
      <c r="E1529" s="21"/>
      <c r="F1529" s="21"/>
      <c r="G1529" s="21"/>
      <c r="H1529" s="21"/>
      <c r="I1529" s="21"/>
      <c r="J1529" s="21"/>
      <c r="K1529" s="21"/>
      <c r="L1529" s="35"/>
    </row>
    <row r="1530" spans="2:12" s="4" customFormat="1" outlineLevel="1" x14ac:dyDescent="0.4">
      <c r="B1530" s="20"/>
      <c r="C1530" s="21"/>
      <c r="D1530" s="21"/>
      <c r="E1530" s="21"/>
      <c r="F1530" s="21"/>
      <c r="G1530" s="21"/>
      <c r="H1530" s="21"/>
      <c r="I1530" s="21"/>
      <c r="J1530" s="21"/>
      <c r="K1530" s="21"/>
      <c r="L1530" s="35"/>
    </row>
    <row r="1531" spans="2:12" s="4" customFormat="1" outlineLevel="1" x14ac:dyDescent="0.4">
      <c r="B1531" s="20"/>
      <c r="C1531" s="25" t="s">
        <v>180</v>
      </c>
      <c r="D1531" s="21"/>
      <c r="E1531" s="21"/>
      <c r="F1531" s="21"/>
      <c r="G1531" s="21"/>
      <c r="H1531" s="21"/>
      <c r="I1531" s="21"/>
      <c r="J1531" s="21"/>
      <c r="K1531" s="21"/>
      <c r="L1531" s="35"/>
    </row>
    <row r="1532" spans="2:12" s="4" customFormat="1" outlineLevel="1" x14ac:dyDescent="0.4">
      <c r="B1532" s="20"/>
      <c r="C1532" s="164" t="s">
        <v>151</v>
      </c>
      <c r="D1532" s="164" t="s">
        <v>140</v>
      </c>
      <c r="E1532" s="21"/>
      <c r="F1532" s="21"/>
      <c r="G1532" s="21"/>
      <c r="H1532" s="21"/>
      <c r="I1532" s="21"/>
      <c r="J1532" s="21"/>
      <c r="K1532" s="21"/>
      <c r="L1532" s="35"/>
    </row>
    <row r="1533" spans="2:12" s="4" customFormat="1" outlineLevel="1" x14ac:dyDescent="0.4">
      <c r="B1533" s="20"/>
      <c r="C1533" s="138"/>
      <c r="D1533" s="135"/>
      <c r="E1533" s="21"/>
      <c r="F1533" s="21"/>
      <c r="G1533" s="21"/>
      <c r="H1533" s="21"/>
      <c r="I1533" s="21"/>
      <c r="J1533" s="21"/>
      <c r="K1533" s="21"/>
      <c r="L1533" s="35"/>
    </row>
    <row r="1534" spans="2:12" s="4" customFormat="1" ht="12.75" customHeight="1" outlineLevel="1" x14ac:dyDescent="0.4">
      <c r="B1534" s="28"/>
      <c r="C1534" s="29"/>
      <c r="D1534" s="29"/>
      <c r="E1534" s="29"/>
      <c r="F1534" s="29"/>
      <c r="G1534" s="29"/>
      <c r="H1534" s="29"/>
      <c r="I1534" s="29"/>
      <c r="J1534" s="29"/>
      <c r="K1534" s="29"/>
      <c r="L1534" s="60"/>
    </row>
    <row r="1535" spans="2:12" s="4" customFormat="1" ht="3" customHeight="1" x14ac:dyDescent="0.4"/>
    <row r="1536" spans="2:12" s="4" customFormat="1" ht="8.4" hidden="1" customHeight="1" x14ac:dyDescent="0.4"/>
    <row r="1537" spans="2:5" s="1" customFormat="1" ht="11.1" hidden="1" customHeight="1" x14ac:dyDescent="0.35">
      <c r="B1537" s="2"/>
      <c r="C1537" s="3"/>
      <c r="E1537" s="2"/>
    </row>
    <row r="1538" spans="2:5" s="4" customFormat="1" ht="15.9" hidden="1" customHeight="1" x14ac:dyDescent="0.4"/>
    <row r="1539" spans="2:5" s="4" customFormat="1" ht="15.9" hidden="1" customHeight="1" x14ac:dyDescent="0.4"/>
    <row r="1540" spans="2:5" s="4" customFormat="1" ht="15.9" hidden="1" customHeight="1" x14ac:dyDescent="0.4"/>
    <row r="1541" spans="2:5" s="4" customFormat="1" hidden="1" x14ac:dyDescent="0.4"/>
    <row r="1542" spans="2:5" s="4" customFormat="1" ht="15.9" hidden="1" customHeight="1" x14ac:dyDescent="0.4"/>
    <row r="1543" spans="2:5" s="4" customFormat="1" ht="15.9" hidden="1" customHeight="1" x14ac:dyDescent="0.4"/>
    <row r="1544" spans="2:5" s="4" customFormat="1" hidden="1" x14ac:dyDescent="0.4"/>
    <row r="1545" spans="2:5" s="1" customFormat="1" ht="11.1" hidden="1" customHeight="1" x14ac:dyDescent="0.35">
      <c r="B1545" s="2"/>
      <c r="C1545" s="3"/>
      <c r="E1545" s="2"/>
    </row>
    <row r="1546" spans="2:5" s="4" customFormat="1" ht="15.9" hidden="1" customHeight="1" x14ac:dyDescent="0.4"/>
    <row r="1547" spans="2:5" s="4" customFormat="1" ht="15.9" hidden="1" customHeight="1" x14ac:dyDescent="0.4"/>
    <row r="1548" spans="2:5" s="4" customFormat="1" ht="15.9" hidden="1" customHeight="1" x14ac:dyDescent="0.4"/>
    <row r="1549" spans="2:5" s="4" customFormat="1" hidden="1" x14ac:dyDescent="0.4"/>
    <row r="1550" spans="2:5" s="4" customFormat="1" hidden="1" x14ac:dyDescent="0.4"/>
    <row r="1551" spans="2:5" s="4" customFormat="1" hidden="1" x14ac:dyDescent="0.4"/>
    <row r="1552" spans="2:5" s="4" customFormat="1" hidden="1" x14ac:dyDescent="0.4"/>
    <row r="1553" spans="2:12" s="4" customFormat="1" hidden="1" x14ac:dyDescent="0.4"/>
    <row r="1554" spans="2:12" s="4" customFormat="1" hidden="1" x14ac:dyDescent="0.4"/>
    <row r="1555" spans="2:12" s="4" customFormat="1" hidden="1" x14ac:dyDescent="0.4"/>
    <row r="1556" spans="2:12" s="4" customFormat="1" hidden="1" x14ac:dyDescent="0.4"/>
    <row r="1557" spans="2:12" s="4" customFormat="1" x14ac:dyDescent="0.4"/>
    <row r="1558" spans="2:12" s="4" customFormat="1" ht="19.2" x14ac:dyDescent="0.45">
      <c r="B1558" s="754" t="str">
        <f>"Transport to Plant"&amp;" - "&amp;Feedstocks!C48</f>
        <v xml:space="preserve">Transport to Plant - </v>
      </c>
      <c r="C1558" s="755"/>
      <c r="D1558" s="755"/>
      <c r="E1558" s="755"/>
      <c r="F1558" s="755"/>
      <c r="G1558" s="755"/>
      <c r="H1558" s="755"/>
      <c r="I1558" s="755"/>
      <c r="J1558" s="755"/>
      <c r="K1558" s="755"/>
      <c r="L1558" s="756"/>
    </row>
    <row r="1559" spans="2:12" s="4" customFormat="1" outlineLevel="1" x14ac:dyDescent="0.4">
      <c r="B1559" s="17"/>
      <c r="C1559" s="18"/>
      <c r="D1559" s="19"/>
      <c r="E1559" s="19"/>
      <c r="F1559" s="19"/>
      <c r="G1559" s="19"/>
      <c r="H1559" s="19"/>
      <c r="I1559" s="19"/>
      <c r="J1559" s="19"/>
      <c r="K1559" s="19"/>
      <c r="L1559" s="50"/>
    </row>
    <row r="1560" spans="2:12" s="4" customFormat="1" outlineLevel="1" x14ac:dyDescent="0.4">
      <c r="B1560" s="20"/>
      <c r="C1560" s="174" t="s">
        <v>87</v>
      </c>
      <c r="D1560" s="778" t="str">
        <f>IF(Feedstocks!$C$48&gt;0,Feedstocks!$C$48,"")</f>
        <v/>
      </c>
      <c r="E1560" s="778"/>
      <c r="F1560" s="778"/>
      <c r="G1560" s="1"/>
      <c r="H1560" s="303" t="s">
        <v>122</v>
      </c>
      <c r="I1560" s="47"/>
      <c r="J1560" s="47"/>
      <c r="K1560" s="61"/>
      <c r="L1560" s="35"/>
    </row>
    <row r="1561" spans="2:12" s="4" customFormat="1" outlineLevel="1" x14ac:dyDescent="0.4">
      <c r="B1561" s="20"/>
      <c r="C1561" s="1"/>
      <c r="D1561" s="1"/>
      <c r="E1561" s="1"/>
      <c r="F1561" s="1"/>
      <c r="G1561" s="76"/>
      <c r="H1561" s="43"/>
      <c r="I1561" s="36"/>
      <c r="J1561" s="164" t="s">
        <v>124</v>
      </c>
      <c r="K1561" s="44"/>
      <c r="L1561" s="35"/>
    </row>
    <row r="1562" spans="2:12" s="12" customFormat="1" ht="15" outlineLevel="1" x14ac:dyDescent="0.35">
      <c r="B1562" s="20"/>
      <c r="C1562" s="1"/>
      <c r="D1562" s="1"/>
      <c r="E1562" s="1"/>
      <c r="F1562" s="1"/>
      <c r="G1562" s="1"/>
      <c r="H1562" s="43"/>
      <c r="I1562" s="164" t="s">
        <v>125</v>
      </c>
      <c r="J1562" s="52" t="str">
        <f>IFERROR((J1565/(('Digestion &amp; outputs'!$G$49/1000)))*'Digestion &amp; outputs'!$K$23,"")</f>
        <v/>
      </c>
      <c r="K1562" s="44"/>
      <c r="L1562" s="54"/>
    </row>
    <row r="1563" spans="2:12" s="4" customFormat="1" outlineLevel="1" x14ac:dyDescent="0.4">
      <c r="B1563" s="20"/>
      <c r="C1563" s="164" t="s">
        <v>163</v>
      </c>
      <c r="D1563" s="134" t="s">
        <v>164</v>
      </c>
      <c r="E1563" s="1"/>
      <c r="F1563" s="1"/>
      <c r="G1563" s="1"/>
      <c r="H1563" s="41"/>
      <c r="I1563" s="34"/>
      <c r="J1563" s="34"/>
      <c r="K1563" s="37"/>
      <c r="L1563" s="35"/>
    </row>
    <row r="1564" spans="2:12" s="4" customFormat="1" outlineLevel="1" x14ac:dyDescent="0.4">
      <c r="B1564" s="20"/>
      <c r="C1564" s="164" t="s">
        <v>165</v>
      </c>
      <c r="D1564" s="143"/>
      <c r="E1564" s="1"/>
      <c r="F1564" s="1"/>
      <c r="G1564" s="1"/>
      <c r="H1564" s="41"/>
      <c r="I1564" s="36"/>
      <c r="J1564" s="164" t="s">
        <v>141</v>
      </c>
      <c r="K1564" s="37"/>
      <c r="L1564" s="35"/>
    </row>
    <row r="1565" spans="2:12" s="4" customFormat="1" outlineLevel="1" x14ac:dyDescent="0.4">
      <c r="B1565" s="20"/>
      <c r="C1565" s="164" t="s">
        <v>160</v>
      </c>
      <c r="D1565" s="134" t="s">
        <v>166</v>
      </c>
      <c r="E1565" s="1"/>
      <c r="F1565" s="1"/>
      <c r="G1565" s="1"/>
      <c r="H1565" s="42"/>
      <c r="I1565" s="164" t="s">
        <v>167</v>
      </c>
      <c r="J1565" s="52">
        <f>IFERROR(J1570,"Insert data")</f>
        <v>0</v>
      </c>
      <c r="K1565" s="62"/>
      <c r="L1565" s="35"/>
    </row>
    <row r="1566" spans="2:12" s="4" customFormat="1" outlineLevel="1" x14ac:dyDescent="0.4">
      <c r="B1566" s="20"/>
      <c r="C1566" s="21"/>
      <c r="D1566" s="21"/>
      <c r="E1566" s="21"/>
      <c r="F1566" s="21"/>
      <c r="G1566" s="21"/>
      <c r="H1566" s="46"/>
      <c r="I1566" s="58"/>
      <c r="J1566" s="58"/>
      <c r="K1566" s="59"/>
      <c r="L1566" s="35"/>
    </row>
    <row r="1567" spans="2:12" s="4" customFormat="1" outlineLevel="1" x14ac:dyDescent="0.4">
      <c r="B1567" s="20"/>
      <c r="C1567" s="25" t="s">
        <v>168</v>
      </c>
      <c r="D1567" s="21"/>
      <c r="E1567" s="21"/>
      <c r="F1567" s="21"/>
      <c r="G1567" s="21"/>
      <c r="H1567" s="21"/>
      <c r="I1567" s="21"/>
      <c r="J1567" s="21"/>
      <c r="K1567" s="21"/>
      <c r="L1567" s="35"/>
    </row>
    <row r="1568" spans="2:12" s="14" customFormat="1" ht="30.6" outlineLevel="1" x14ac:dyDescent="0.4">
      <c r="B1568" s="23"/>
      <c r="C1568" s="166" t="s">
        <v>131</v>
      </c>
      <c r="D1568" s="166" t="s">
        <v>169</v>
      </c>
      <c r="E1568" s="166" t="s">
        <v>170</v>
      </c>
      <c r="F1568" s="166" t="s">
        <v>171</v>
      </c>
      <c r="G1568" s="24"/>
      <c r="H1568" s="303" t="s">
        <v>136</v>
      </c>
      <c r="I1568" s="47"/>
      <c r="J1568" s="47"/>
      <c r="K1568" s="45"/>
      <c r="L1568" s="63"/>
    </row>
    <row r="1569" spans="2:12" s="4" customFormat="1" outlineLevel="1" x14ac:dyDescent="0.4">
      <c r="B1569" s="20"/>
      <c r="C1569" s="138" t="s">
        <v>96</v>
      </c>
      <c r="D1569" s="93">
        <v>1</v>
      </c>
      <c r="E1569" s="135"/>
      <c r="F1569" s="31">
        <f>IFERROR(IF(OR(C1569="Default",D1563="No transport required"),D1569,IF(ISBLANK(E1569),"Insert data",E1569)),"")</f>
        <v>1</v>
      </c>
      <c r="G1569" s="21"/>
      <c r="H1569" s="41"/>
      <c r="I1569" s="36"/>
      <c r="J1569" s="164" t="s">
        <v>141</v>
      </c>
      <c r="K1569" s="37"/>
      <c r="L1569" s="35"/>
    </row>
    <row r="1570" spans="2:12" s="4" customFormat="1" outlineLevel="1" x14ac:dyDescent="0.4">
      <c r="B1570" s="20"/>
      <c r="C1570" s="21"/>
      <c r="D1570" s="21"/>
      <c r="E1570" s="692" t="str">
        <f>IF(E1569&gt;1, "this should not be greater than 1", "")</f>
        <v/>
      </c>
      <c r="F1570" s="21"/>
      <c r="G1570" s="21"/>
      <c r="H1570" s="42"/>
      <c r="I1570" s="164" t="s">
        <v>172</v>
      </c>
      <c r="J1570" s="52">
        <f>IF(D1563="No transport required",0,IFERROR(E1573*INDEX(Fuel_EFs,MATCH(D1565,Fuels_for_EF,0))*D1564/1000,"Insert data"))</f>
        <v>0</v>
      </c>
      <c r="K1570" s="62"/>
      <c r="L1570" s="35"/>
    </row>
    <row r="1571" spans="2:12" s="4" customFormat="1" outlineLevel="1" x14ac:dyDescent="0.4">
      <c r="B1571" s="20"/>
      <c r="C1571" s="25" t="s">
        <v>173</v>
      </c>
      <c r="D1571" s="21"/>
      <c r="E1571" s="21"/>
      <c r="F1571" s="21"/>
      <c r="G1571" s="21"/>
      <c r="H1571" s="46"/>
      <c r="I1571" s="58"/>
      <c r="J1571" s="58"/>
      <c r="K1571" s="59"/>
      <c r="L1571" s="35"/>
    </row>
    <row r="1572" spans="2:12" s="14" customFormat="1" outlineLevel="1" x14ac:dyDescent="0.4">
      <c r="B1572" s="23"/>
      <c r="C1572" s="176" t="s">
        <v>174</v>
      </c>
      <c r="D1572" s="166" t="s">
        <v>175</v>
      </c>
      <c r="E1572" s="166" t="s">
        <v>176</v>
      </c>
      <c r="F1572" s="24"/>
      <c r="G1572" s="24"/>
      <c r="H1572" s="4"/>
      <c r="I1572" s="4"/>
      <c r="J1572" s="4"/>
      <c r="K1572" s="4"/>
      <c r="L1572" s="63"/>
    </row>
    <row r="1573" spans="2:12" s="4" customFormat="1" outlineLevel="1" x14ac:dyDescent="0.4">
      <c r="B1573" s="20"/>
      <c r="C1573" s="138" t="s">
        <v>96</v>
      </c>
      <c r="D1573" s="93">
        <f>IFERROR(INDEX(Transport_Fuel_Efficiencies,MATCH(D1563,Transport_Modes,0)),"Insert data")</f>
        <v>0</v>
      </c>
      <c r="E1573" s="31">
        <f>IFERROR(IF(C1573="Default",D1573,IF(OR(ISBLANK(E1575),ISBLANK(D1579),ISBLANK(D1583)),"Insert data",(IF(C1579="litres",(D1579*(INDEX(Fuel_Densities,MATCH(D1565,Fuels_for_Densities,0))/1000)*INDEX(Fuel_LHV,MATCH(D1565,Fuels_for_LHV,0)))/(D1583*D1564),(IF(C1579="m3",(D1579*(INDEX(Fuel_Densities,MATCH(D1565,Fuels_for_Densities,0)))*INDEX(Fuel_LHV,MATCH(D1565,Fuels_for_LHV,0)))/(D1583*D1564),IF(C1579="kg",(D1579*INDEX(Fuel_LHV,MATCH(D1565,Fuels_for_LHV,0)))/(D1583*D1564),IF(C1579="tonnes",(D1579*INDEX(Fuel_LHV,MATCH(D1565,Fuels_for_LHV,0))*1000)/(D1583*D1564),IF(C1579="MWh",(D1579*'Reference values'!$D$47)/(D1583*D1564),IF(C1579="kWh",(D1579*'Reference values'!$D$47/1000)/(D1583*D1564),"Insert unit")))))))))),"")</f>
        <v>0</v>
      </c>
      <c r="F1573" s="21"/>
      <c r="G1573" s="21"/>
      <c r="L1573" s="35"/>
    </row>
    <row r="1574" spans="2:12" s="4" customFormat="1" outlineLevel="1" x14ac:dyDescent="0.4">
      <c r="B1574" s="20"/>
      <c r="C1574" s="21"/>
      <c r="D1574" s="21"/>
      <c r="E1574" s="21"/>
      <c r="F1574" s="21"/>
      <c r="G1574" s="21"/>
      <c r="H1574" s="21"/>
      <c r="I1574" s="21"/>
      <c r="J1574" s="21"/>
      <c r="K1574" s="21"/>
      <c r="L1574" s="35"/>
    </row>
    <row r="1575" spans="2:12" s="4" customFormat="1" ht="16.5" customHeight="1" outlineLevel="1" x14ac:dyDescent="0.4">
      <c r="B1575" s="20"/>
      <c r="C1575" s="759" t="s">
        <v>177</v>
      </c>
      <c r="D1575" s="759"/>
      <c r="E1575" s="135" t="s">
        <v>178</v>
      </c>
      <c r="F1575" s="21"/>
      <c r="G1575" s="21"/>
      <c r="L1575" s="35"/>
    </row>
    <row r="1576" spans="2:12" s="4" customFormat="1" ht="12.75" customHeight="1" outlineLevel="1" x14ac:dyDescent="0.4">
      <c r="B1576" s="20"/>
      <c r="C1576" s="21"/>
      <c r="D1576" s="21"/>
      <c r="E1576" s="21"/>
      <c r="F1576" s="21"/>
      <c r="G1576" s="21"/>
      <c r="L1576" s="35"/>
    </row>
    <row r="1577" spans="2:12" s="4" customFormat="1" outlineLevel="1" x14ac:dyDescent="0.4">
      <c r="B1577" s="20"/>
      <c r="C1577" s="25" t="str">
        <f>IF(E1575="yes", "Fuel demand for outward journey",IF(E1575="No","Fuel demand for full journey (outward and return)",""))</f>
        <v>Fuel demand for full journey (outward and return)</v>
      </c>
      <c r="D1577" s="21"/>
      <c r="E1577" s="21"/>
      <c r="F1577" s="21"/>
      <c r="G1577" s="21"/>
      <c r="H1577" s="21"/>
      <c r="I1577" s="21"/>
      <c r="J1577" s="21"/>
      <c r="K1577" s="21"/>
      <c r="L1577" s="35"/>
    </row>
    <row r="1578" spans="2:12" s="4" customFormat="1" outlineLevel="1" x14ac:dyDescent="0.4">
      <c r="B1578" s="20"/>
      <c r="C1578" s="164" t="s">
        <v>151</v>
      </c>
      <c r="D1578" s="164" t="s">
        <v>140</v>
      </c>
      <c r="E1578" s="21"/>
      <c r="F1578" s="21"/>
      <c r="G1578" s="21"/>
      <c r="H1578" s="21"/>
      <c r="I1578" s="21"/>
      <c r="J1578" s="21"/>
      <c r="K1578" s="21"/>
      <c r="L1578" s="35"/>
    </row>
    <row r="1579" spans="2:12" s="4" customFormat="1" outlineLevel="1" x14ac:dyDescent="0.4">
      <c r="B1579" s="20"/>
      <c r="C1579" s="138"/>
      <c r="D1579" s="135"/>
      <c r="E1579" s="21"/>
      <c r="F1579" s="21"/>
      <c r="G1579" s="21"/>
      <c r="H1579" s="21"/>
      <c r="I1579" s="21"/>
      <c r="J1579" s="21"/>
      <c r="K1579" s="21"/>
      <c r="L1579" s="35"/>
    </row>
    <row r="1580" spans="2:12" s="4" customFormat="1" outlineLevel="1" x14ac:dyDescent="0.4">
      <c r="B1580" s="20"/>
      <c r="C1580" s="21"/>
      <c r="D1580" s="21"/>
      <c r="E1580" s="21"/>
      <c r="F1580" s="21"/>
      <c r="G1580" s="21"/>
      <c r="H1580" s="21"/>
      <c r="I1580" s="21"/>
      <c r="J1580" s="21"/>
      <c r="K1580" s="21"/>
      <c r="L1580" s="35"/>
    </row>
    <row r="1581" spans="2:12" s="4" customFormat="1" outlineLevel="1" x14ac:dyDescent="0.4">
      <c r="B1581" s="20"/>
      <c r="C1581" s="25" t="s">
        <v>180</v>
      </c>
      <c r="D1581" s="21"/>
      <c r="E1581" s="21"/>
      <c r="F1581" s="21"/>
      <c r="G1581" s="21"/>
      <c r="H1581" s="21"/>
      <c r="I1581" s="21"/>
      <c r="J1581" s="21"/>
      <c r="K1581" s="21"/>
      <c r="L1581" s="35"/>
    </row>
    <row r="1582" spans="2:12" s="4" customFormat="1" outlineLevel="1" x14ac:dyDescent="0.4">
      <c r="B1582" s="20"/>
      <c r="C1582" s="164" t="s">
        <v>151</v>
      </c>
      <c r="D1582" s="164" t="s">
        <v>140</v>
      </c>
      <c r="E1582" s="21"/>
      <c r="F1582" s="21"/>
      <c r="G1582" s="21"/>
      <c r="H1582" s="21"/>
      <c r="I1582" s="21"/>
      <c r="J1582" s="21"/>
      <c r="K1582" s="21"/>
      <c r="L1582" s="35"/>
    </row>
    <row r="1583" spans="2:12" s="4" customFormat="1" outlineLevel="1" x14ac:dyDescent="0.4">
      <c r="B1583" s="20"/>
      <c r="C1583" s="138"/>
      <c r="D1583" s="135"/>
      <c r="E1583" s="21"/>
      <c r="F1583" s="21"/>
      <c r="G1583" s="21"/>
      <c r="H1583" s="21"/>
      <c r="I1583" s="21"/>
      <c r="J1583" s="21"/>
      <c r="K1583" s="21"/>
      <c r="L1583" s="35"/>
    </row>
    <row r="1584" spans="2:12" s="4" customFormat="1" ht="12.75" customHeight="1" outlineLevel="1" x14ac:dyDescent="0.4">
      <c r="B1584" s="28"/>
      <c r="C1584" s="29"/>
      <c r="D1584" s="29"/>
      <c r="E1584" s="29"/>
      <c r="F1584" s="29"/>
      <c r="G1584" s="29"/>
      <c r="H1584" s="29"/>
      <c r="I1584" s="29"/>
      <c r="J1584" s="29"/>
      <c r="K1584" s="29"/>
      <c r="L1584" s="60"/>
    </row>
    <row r="1585" spans="2:5" s="4" customFormat="1" ht="3" customHeight="1" x14ac:dyDescent="0.4"/>
    <row r="1586" spans="2:5" s="4" customFormat="1" ht="8.4" hidden="1" customHeight="1" x14ac:dyDescent="0.4"/>
    <row r="1587" spans="2:5" s="1" customFormat="1" ht="11.1" hidden="1" customHeight="1" x14ac:dyDescent="0.35">
      <c r="B1587" s="2"/>
      <c r="C1587" s="3"/>
      <c r="E1587" s="2"/>
    </row>
    <row r="1588" spans="2:5" s="4" customFormat="1" ht="15.9" hidden="1" customHeight="1" x14ac:dyDescent="0.4"/>
    <row r="1589" spans="2:5" s="4" customFormat="1" ht="15.9" hidden="1" customHeight="1" x14ac:dyDescent="0.4"/>
    <row r="1590" spans="2:5" s="4" customFormat="1" ht="15.9" hidden="1" customHeight="1" x14ac:dyDescent="0.4"/>
    <row r="1591" spans="2:5" s="4" customFormat="1" hidden="1" x14ac:dyDescent="0.4"/>
    <row r="1592" spans="2:5" s="4" customFormat="1" ht="15.9" hidden="1" customHeight="1" x14ac:dyDescent="0.4"/>
    <row r="1593" spans="2:5" s="4" customFormat="1" ht="15.9" hidden="1" customHeight="1" x14ac:dyDescent="0.4"/>
    <row r="1594" spans="2:5" s="4" customFormat="1" hidden="1" x14ac:dyDescent="0.4"/>
    <row r="1595" spans="2:5" s="1" customFormat="1" ht="11.1" hidden="1" customHeight="1" x14ac:dyDescent="0.35">
      <c r="B1595" s="2"/>
      <c r="C1595" s="3"/>
      <c r="E1595" s="2"/>
    </row>
    <row r="1596" spans="2:5" s="4" customFormat="1" ht="15.9" hidden="1" customHeight="1" x14ac:dyDescent="0.4"/>
    <row r="1597" spans="2:5" s="4" customFormat="1" ht="15.9" hidden="1" customHeight="1" x14ac:dyDescent="0.4"/>
    <row r="1598" spans="2:5" s="4" customFormat="1" ht="15.9" hidden="1" customHeight="1" x14ac:dyDescent="0.4"/>
    <row r="1599" spans="2:5" s="4" customFormat="1" hidden="1" x14ac:dyDescent="0.4"/>
    <row r="1600" spans="2:5" s="4" customFormat="1" hidden="1" x14ac:dyDescent="0.4"/>
    <row r="1601" spans="2:12" s="4" customFormat="1" hidden="1" x14ac:dyDescent="0.4"/>
    <row r="1602" spans="2:12" s="4" customFormat="1" hidden="1" x14ac:dyDescent="0.4"/>
    <row r="1603" spans="2:12" s="4" customFormat="1" hidden="1" x14ac:dyDescent="0.4"/>
    <row r="1604" spans="2:12" s="4" customFormat="1" hidden="1" x14ac:dyDescent="0.4"/>
    <row r="1605" spans="2:12" s="4" customFormat="1" hidden="1" x14ac:dyDescent="0.4"/>
    <row r="1606" spans="2:12" s="4" customFormat="1" hidden="1" x14ac:dyDescent="0.4"/>
    <row r="1607" spans="2:12" s="4" customFormat="1" x14ac:dyDescent="0.4"/>
    <row r="1608" spans="2:12" s="4" customFormat="1" ht="19.2" x14ac:dyDescent="0.45">
      <c r="B1608" s="754" t="str">
        <f>"Transport to Plant"&amp;" - "&amp;Feedstocks!C49</f>
        <v xml:space="preserve">Transport to Plant - </v>
      </c>
      <c r="C1608" s="755"/>
      <c r="D1608" s="755"/>
      <c r="E1608" s="755"/>
      <c r="F1608" s="755"/>
      <c r="G1608" s="755"/>
      <c r="H1608" s="755"/>
      <c r="I1608" s="755"/>
      <c r="J1608" s="755"/>
      <c r="K1608" s="755"/>
      <c r="L1608" s="756"/>
    </row>
    <row r="1609" spans="2:12" s="4" customFormat="1" outlineLevel="1" x14ac:dyDescent="0.4">
      <c r="B1609" s="17"/>
      <c r="C1609" s="18"/>
      <c r="D1609" s="19"/>
      <c r="E1609" s="19"/>
      <c r="F1609" s="19"/>
      <c r="G1609" s="19"/>
      <c r="H1609" s="19"/>
      <c r="I1609" s="19"/>
      <c r="J1609" s="19"/>
      <c r="K1609" s="19"/>
      <c r="L1609" s="50"/>
    </row>
    <row r="1610" spans="2:12" s="4" customFormat="1" outlineLevel="1" x14ac:dyDescent="0.4">
      <c r="B1610" s="20"/>
      <c r="C1610" s="174" t="s">
        <v>87</v>
      </c>
      <c r="D1610" s="778" t="str">
        <f>IF(Feedstocks!$C$49&gt;0,Feedstocks!$C$49,"")</f>
        <v/>
      </c>
      <c r="E1610" s="778"/>
      <c r="F1610" s="778"/>
      <c r="G1610" s="1"/>
      <c r="H1610" s="303" t="s">
        <v>122</v>
      </c>
      <c r="I1610" s="47"/>
      <c r="J1610" s="47"/>
      <c r="K1610" s="61"/>
      <c r="L1610" s="35"/>
    </row>
    <row r="1611" spans="2:12" s="4" customFormat="1" outlineLevel="1" x14ac:dyDescent="0.4">
      <c r="B1611" s="20"/>
      <c r="C1611" s="1"/>
      <c r="D1611" s="1"/>
      <c r="E1611" s="1"/>
      <c r="F1611" s="1"/>
      <c r="G1611" s="76"/>
      <c r="H1611" s="43"/>
      <c r="I1611" s="36"/>
      <c r="J1611" s="164" t="s">
        <v>124</v>
      </c>
      <c r="K1611" s="44"/>
      <c r="L1611" s="35"/>
    </row>
    <row r="1612" spans="2:12" s="12" customFormat="1" ht="15" outlineLevel="1" x14ac:dyDescent="0.35">
      <c r="B1612" s="20"/>
      <c r="C1612" s="1"/>
      <c r="D1612" s="1"/>
      <c r="E1612" s="1"/>
      <c r="F1612" s="1"/>
      <c r="G1612" s="1"/>
      <c r="H1612" s="43"/>
      <c r="I1612" s="164" t="s">
        <v>125</v>
      </c>
      <c r="J1612" s="52" t="str">
        <f>IFERROR((J1615/(('Digestion &amp; outputs'!$G$50/1000)))*'Digestion &amp; outputs'!$K$23,"")</f>
        <v/>
      </c>
      <c r="K1612" s="44"/>
      <c r="L1612" s="54"/>
    </row>
    <row r="1613" spans="2:12" s="4" customFormat="1" outlineLevel="1" x14ac:dyDescent="0.4">
      <c r="B1613" s="20"/>
      <c r="C1613" s="164" t="s">
        <v>163</v>
      </c>
      <c r="D1613" s="134" t="s">
        <v>164</v>
      </c>
      <c r="E1613" s="1"/>
      <c r="F1613" s="1"/>
      <c r="G1613" s="1"/>
      <c r="H1613" s="41"/>
      <c r="I1613" s="34"/>
      <c r="J1613" s="34"/>
      <c r="K1613" s="37"/>
      <c r="L1613" s="35"/>
    </row>
    <row r="1614" spans="2:12" s="4" customFormat="1" outlineLevel="1" x14ac:dyDescent="0.4">
      <c r="B1614" s="20"/>
      <c r="C1614" s="164" t="s">
        <v>165</v>
      </c>
      <c r="D1614" s="143"/>
      <c r="E1614" s="1"/>
      <c r="F1614" s="1"/>
      <c r="G1614" s="1"/>
      <c r="H1614" s="41"/>
      <c r="I1614" s="36"/>
      <c r="J1614" s="164" t="s">
        <v>141</v>
      </c>
      <c r="K1614" s="37"/>
      <c r="L1614" s="35"/>
    </row>
    <row r="1615" spans="2:12" s="4" customFormat="1" outlineLevel="1" x14ac:dyDescent="0.4">
      <c r="B1615" s="20"/>
      <c r="C1615" s="164" t="s">
        <v>160</v>
      </c>
      <c r="D1615" s="134" t="s">
        <v>166</v>
      </c>
      <c r="E1615" s="1"/>
      <c r="F1615" s="1"/>
      <c r="G1615" s="1"/>
      <c r="H1615" s="42"/>
      <c r="I1615" s="164" t="s">
        <v>167</v>
      </c>
      <c r="J1615" s="52">
        <f>IFERROR(J1620,"Insert data")</f>
        <v>0</v>
      </c>
      <c r="K1615" s="62"/>
      <c r="L1615" s="35"/>
    </row>
    <row r="1616" spans="2:12" s="4" customFormat="1" outlineLevel="1" x14ac:dyDescent="0.4">
      <c r="B1616" s="20"/>
      <c r="C1616" s="21"/>
      <c r="D1616" s="21"/>
      <c r="E1616" s="21"/>
      <c r="F1616" s="21"/>
      <c r="G1616" s="21"/>
      <c r="H1616" s="46"/>
      <c r="I1616" s="58"/>
      <c r="J1616" s="58"/>
      <c r="K1616" s="59"/>
      <c r="L1616" s="35"/>
    </row>
    <row r="1617" spans="2:12" s="4" customFormat="1" outlineLevel="1" x14ac:dyDescent="0.4">
      <c r="B1617" s="20"/>
      <c r="C1617" s="25" t="s">
        <v>168</v>
      </c>
      <c r="D1617" s="21"/>
      <c r="E1617" s="21"/>
      <c r="F1617" s="21"/>
      <c r="G1617" s="21"/>
      <c r="H1617" s="21"/>
      <c r="I1617" s="21"/>
      <c r="J1617" s="21"/>
      <c r="K1617" s="21"/>
      <c r="L1617" s="35"/>
    </row>
    <row r="1618" spans="2:12" s="14" customFormat="1" ht="30.6" outlineLevel="1" x14ac:dyDescent="0.4">
      <c r="B1618" s="23"/>
      <c r="C1618" s="166" t="s">
        <v>131</v>
      </c>
      <c r="D1618" s="166" t="s">
        <v>169</v>
      </c>
      <c r="E1618" s="166" t="s">
        <v>170</v>
      </c>
      <c r="F1618" s="166" t="s">
        <v>171</v>
      </c>
      <c r="G1618" s="24"/>
      <c r="H1618" s="303" t="s">
        <v>136</v>
      </c>
      <c r="I1618" s="47"/>
      <c r="J1618" s="47"/>
      <c r="K1618" s="45"/>
      <c r="L1618" s="63"/>
    </row>
    <row r="1619" spans="2:12" s="4" customFormat="1" outlineLevel="1" x14ac:dyDescent="0.4">
      <c r="B1619" s="20"/>
      <c r="C1619" s="138" t="s">
        <v>96</v>
      </c>
      <c r="D1619" s="93">
        <v>1</v>
      </c>
      <c r="E1619" s="135"/>
      <c r="F1619" s="31">
        <f>IFERROR(IF(OR(C1619="Default",D1613="No transport required"),D1619,IF(ISBLANK(E1619),"Insert data",E1619)),"")</f>
        <v>1</v>
      </c>
      <c r="G1619" s="21"/>
      <c r="H1619" s="41"/>
      <c r="I1619" s="36"/>
      <c r="J1619" s="164" t="s">
        <v>141</v>
      </c>
      <c r="K1619" s="37"/>
      <c r="L1619" s="35"/>
    </row>
    <row r="1620" spans="2:12" s="4" customFormat="1" outlineLevel="1" x14ac:dyDescent="0.4">
      <c r="B1620" s="20"/>
      <c r="C1620" s="21"/>
      <c r="D1620" s="21"/>
      <c r="E1620" s="692" t="str">
        <f>IF(E1619&gt;1, "this should not be greater than 1", "")</f>
        <v/>
      </c>
      <c r="F1620" s="21"/>
      <c r="G1620" s="21"/>
      <c r="H1620" s="42"/>
      <c r="I1620" s="164" t="s">
        <v>172</v>
      </c>
      <c r="J1620" s="52">
        <f>IF(D1613="No transport required",0,IFERROR(E1623*INDEX(Fuel_EFs,MATCH(D1615,Fuels_for_EF,0))*D1614/1000,"Insert data"))</f>
        <v>0</v>
      </c>
      <c r="K1620" s="62"/>
      <c r="L1620" s="35"/>
    </row>
    <row r="1621" spans="2:12" s="4" customFormat="1" outlineLevel="1" x14ac:dyDescent="0.4">
      <c r="B1621" s="20"/>
      <c r="C1621" s="25" t="s">
        <v>173</v>
      </c>
      <c r="D1621" s="21"/>
      <c r="E1621" s="21"/>
      <c r="F1621" s="21"/>
      <c r="G1621" s="21"/>
      <c r="H1621" s="46"/>
      <c r="I1621" s="58"/>
      <c r="J1621" s="58"/>
      <c r="K1621" s="59"/>
      <c r="L1621" s="35"/>
    </row>
    <row r="1622" spans="2:12" s="14" customFormat="1" outlineLevel="1" x14ac:dyDescent="0.4">
      <c r="B1622" s="23"/>
      <c r="C1622" s="176" t="s">
        <v>174</v>
      </c>
      <c r="D1622" s="166" t="s">
        <v>175</v>
      </c>
      <c r="E1622" s="166" t="s">
        <v>176</v>
      </c>
      <c r="F1622" s="24"/>
      <c r="G1622" s="24"/>
      <c r="H1622" s="4"/>
      <c r="I1622" s="4"/>
      <c r="J1622" s="4"/>
      <c r="K1622" s="4"/>
      <c r="L1622" s="63"/>
    </row>
    <row r="1623" spans="2:12" s="4" customFormat="1" outlineLevel="1" x14ac:dyDescent="0.4">
      <c r="B1623" s="20"/>
      <c r="C1623" s="138" t="s">
        <v>96</v>
      </c>
      <c r="D1623" s="93">
        <f>IFERROR(INDEX(Transport_Fuel_Efficiencies,MATCH(D1613,Transport_Modes,0)),"Insert data")</f>
        <v>0</v>
      </c>
      <c r="E1623" s="31">
        <f>IFERROR(IF(C1623="Default",D1623,IF(OR(ISBLANK(E1625),ISBLANK(D1629),ISBLANK(D1633)),"Insert data",(IF(C1629="litres",(D1629*(INDEX(Fuel_Densities,MATCH(D1615,Fuels_for_Densities,0))/1000)*INDEX(Fuel_LHV,MATCH(D1615,Fuels_for_LHV,0)))/(D1633*D1614),(IF(C1629="m3",(D1629*(INDEX(Fuel_Densities,MATCH(D1615,Fuels_for_Densities,0)))*INDEX(Fuel_LHV,MATCH(D1615,Fuels_for_LHV,0)))/(D1633*D1614),IF(C1629="kg",(D1629*INDEX(Fuel_LHV,MATCH(D1615,Fuels_for_LHV,0)))/(D1633*D1614),IF(C1629="tonnes",(D1629*INDEX(Fuel_LHV,MATCH(D1615,Fuels_for_LHV,0))*1000)/(D1633*D1614),IF(C1629="MWh",(D1629*'Reference values'!$D$47)/(D1633*D1614),IF(C1629="kWh",(D1629*'Reference values'!$D$47/1000)/(D1633*D1614),"Insert unit")))))))))),"")</f>
        <v>0</v>
      </c>
      <c r="F1623" s="21"/>
      <c r="G1623" s="21"/>
      <c r="L1623" s="35"/>
    </row>
    <row r="1624" spans="2:12" s="4" customFormat="1" outlineLevel="1" x14ac:dyDescent="0.4">
      <c r="B1624" s="20"/>
      <c r="C1624" s="21"/>
      <c r="D1624" s="21"/>
      <c r="E1624" s="21"/>
      <c r="F1624" s="21"/>
      <c r="G1624" s="21"/>
      <c r="H1624" s="21"/>
      <c r="I1624" s="21"/>
      <c r="J1624" s="21"/>
      <c r="K1624" s="21"/>
      <c r="L1624" s="35"/>
    </row>
    <row r="1625" spans="2:12" s="4" customFormat="1" ht="16.5" customHeight="1" outlineLevel="1" x14ac:dyDescent="0.4">
      <c r="B1625" s="20"/>
      <c r="C1625" s="759" t="s">
        <v>177</v>
      </c>
      <c r="D1625" s="759"/>
      <c r="E1625" s="135" t="s">
        <v>178</v>
      </c>
      <c r="F1625" s="21"/>
      <c r="G1625" s="21"/>
      <c r="L1625" s="35"/>
    </row>
    <row r="1626" spans="2:12" s="4" customFormat="1" ht="12.75" customHeight="1" outlineLevel="1" x14ac:dyDescent="0.4">
      <c r="B1626" s="20"/>
      <c r="C1626" s="21"/>
      <c r="D1626" s="21"/>
      <c r="E1626" s="21"/>
      <c r="F1626" s="21"/>
      <c r="G1626" s="21"/>
      <c r="L1626" s="35"/>
    </row>
    <row r="1627" spans="2:12" s="4" customFormat="1" outlineLevel="1" x14ac:dyDescent="0.4">
      <c r="B1627" s="20"/>
      <c r="C1627" s="25" t="str">
        <f>IF(E1625="yes", "Fuel demand for outward journey",IF(E1625="No","Fuel demand for full journey (outward and return)",""))</f>
        <v>Fuel demand for full journey (outward and return)</v>
      </c>
      <c r="D1627" s="21"/>
      <c r="E1627" s="21"/>
      <c r="F1627" s="21"/>
      <c r="G1627" s="21"/>
      <c r="H1627" s="21"/>
      <c r="I1627" s="21"/>
      <c r="J1627" s="21"/>
      <c r="K1627" s="21"/>
      <c r="L1627" s="35"/>
    </row>
    <row r="1628" spans="2:12" s="4" customFormat="1" outlineLevel="1" x14ac:dyDescent="0.4">
      <c r="B1628" s="20"/>
      <c r="C1628" s="164" t="s">
        <v>151</v>
      </c>
      <c r="D1628" s="164" t="s">
        <v>140</v>
      </c>
      <c r="E1628" s="21"/>
      <c r="F1628" s="21"/>
      <c r="G1628" s="21"/>
      <c r="H1628" s="21"/>
      <c r="I1628" s="21"/>
      <c r="J1628" s="21"/>
      <c r="K1628" s="21"/>
      <c r="L1628" s="35"/>
    </row>
    <row r="1629" spans="2:12" s="4" customFormat="1" outlineLevel="1" x14ac:dyDescent="0.4">
      <c r="B1629" s="20"/>
      <c r="C1629" s="138"/>
      <c r="D1629" s="135"/>
      <c r="E1629" s="21"/>
      <c r="F1629" s="21"/>
      <c r="G1629" s="21"/>
      <c r="H1629" s="21"/>
      <c r="I1629" s="21"/>
      <c r="J1629" s="21"/>
      <c r="K1629" s="21"/>
      <c r="L1629" s="35"/>
    </row>
    <row r="1630" spans="2:12" s="4" customFormat="1" outlineLevel="1" x14ac:dyDescent="0.4">
      <c r="B1630" s="20"/>
      <c r="C1630" s="21"/>
      <c r="D1630" s="21"/>
      <c r="E1630" s="21"/>
      <c r="F1630" s="21"/>
      <c r="G1630" s="21"/>
      <c r="H1630" s="21"/>
      <c r="I1630" s="21"/>
      <c r="J1630" s="21"/>
      <c r="K1630" s="21"/>
      <c r="L1630" s="35"/>
    </row>
    <row r="1631" spans="2:12" s="4" customFormat="1" outlineLevel="1" x14ac:dyDescent="0.4">
      <c r="B1631" s="20"/>
      <c r="C1631" s="25" t="s">
        <v>180</v>
      </c>
      <c r="D1631" s="21"/>
      <c r="E1631" s="21"/>
      <c r="F1631" s="21"/>
      <c r="G1631" s="21"/>
      <c r="H1631" s="21"/>
      <c r="I1631" s="21"/>
      <c r="J1631" s="21"/>
      <c r="K1631" s="21"/>
      <c r="L1631" s="35"/>
    </row>
    <row r="1632" spans="2:12" s="4" customFormat="1" outlineLevel="1" x14ac:dyDescent="0.4">
      <c r="B1632" s="20"/>
      <c r="C1632" s="164" t="s">
        <v>151</v>
      </c>
      <c r="D1632" s="164" t="s">
        <v>140</v>
      </c>
      <c r="E1632" s="21"/>
      <c r="F1632" s="21"/>
      <c r="G1632" s="21"/>
      <c r="H1632" s="21"/>
      <c r="I1632" s="21"/>
      <c r="J1632" s="21"/>
      <c r="K1632" s="21"/>
      <c r="L1632" s="35"/>
    </row>
    <row r="1633" spans="2:12" s="4" customFormat="1" outlineLevel="1" x14ac:dyDescent="0.4">
      <c r="B1633" s="20"/>
      <c r="C1633" s="138"/>
      <c r="D1633" s="135"/>
      <c r="E1633" s="21"/>
      <c r="F1633" s="21"/>
      <c r="G1633" s="21"/>
      <c r="H1633" s="21"/>
      <c r="I1633" s="21"/>
      <c r="J1633" s="21"/>
      <c r="K1633" s="21"/>
      <c r="L1633" s="35"/>
    </row>
    <row r="1634" spans="2:12" s="4" customFormat="1" ht="12.75" customHeight="1" outlineLevel="1" x14ac:dyDescent="0.4">
      <c r="B1634" s="28"/>
      <c r="C1634" s="29"/>
      <c r="D1634" s="29"/>
      <c r="E1634" s="29"/>
      <c r="F1634" s="29"/>
      <c r="G1634" s="29"/>
      <c r="H1634" s="29"/>
      <c r="I1634" s="29"/>
      <c r="J1634" s="29"/>
      <c r="K1634" s="29"/>
      <c r="L1634" s="60"/>
    </row>
    <row r="1635" spans="2:12" s="4" customFormat="1" ht="3" customHeight="1" x14ac:dyDescent="0.4"/>
    <row r="1636" spans="2:12" s="4" customFormat="1" ht="8.4" hidden="1" customHeight="1" x14ac:dyDescent="0.4"/>
    <row r="1637" spans="2:12" s="1" customFormat="1" ht="11.1" hidden="1" customHeight="1" x14ac:dyDescent="0.35">
      <c r="B1637" s="2"/>
      <c r="C1637" s="3"/>
      <c r="E1637" s="2"/>
    </row>
    <row r="1638" spans="2:12" s="4" customFormat="1" ht="15.9" hidden="1" customHeight="1" x14ac:dyDescent="0.4"/>
    <row r="1639" spans="2:12" s="4" customFormat="1" ht="15.9" hidden="1" customHeight="1" x14ac:dyDescent="0.4"/>
    <row r="1640" spans="2:12" s="4" customFormat="1" ht="15.9" hidden="1" customHeight="1" x14ac:dyDescent="0.4"/>
    <row r="1641" spans="2:12" s="4" customFormat="1" hidden="1" x14ac:dyDescent="0.4"/>
    <row r="1642" spans="2:12" s="4" customFormat="1" ht="15.9" hidden="1" customHeight="1" x14ac:dyDescent="0.4"/>
    <row r="1643" spans="2:12" s="4" customFormat="1" ht="15.9" hidden="1" customHeight="1" x14ac:dyDescent="0.4"/>
    <row r="1644" spans="2:12" s="4" customFormat="1" hidden="1" x14ac:dyDescent="0.4"/>
    <row r="1645" spans="2:12" s="1" customFormat="1" ht="11.1" hidden="1" customHeight="1" x14ac:dyDescent="0.35">
      <c r="B1645" s="2"/>
      <c r="C1645" s="3"/>
      <c r="E1645" s="2"/>
    </row>
    <row r="1646" spans="2:12" s="4" customFormat="1" ht="15.9" hidden="1" customHeight="1" x14ac:dyDescent="0.4"/>
    <row r="1647" spans="2:12" s="4" customFormat="1" ht="15.9" hidden="1" customHeight="1" x14ac:dyDescent="0.4"/>
    <row r="1648" spans="2:12" s="4" customFormat="1" ht="15.9" hidden="1" customHeight="1" x14ac:dyDescent="0.4"/>
    <row r="1649" spans="2:12" s="4" customFormat="1" hidden="1" x14ac:dyDescent="0.4"/>
    <row r="1650" spans="2:12" s="4" customFormat="1" hidden="1" x14ac:dyDescent="0.4"/>
    <row r="1651" spans="2:12" s="4" customFormat="1" hidden="1" x14ac:dyDescent="0.4"/>
    <row r="1652" spans="2:12" s="4" customFormat="1" hidden="1" x14ac:dyDescent="0.4"/>
    <row r="1653" spans="2:12" s="4" customFormat="1" hidden="1" x14ac:dyDescent="0.4"/>
    <row r="1654" spans="2:12" s="4" customFormat="1" hidden="1" x14ac:dyDescent="0.4"/>
    <row r="1655" spans="2:12" s="4" customFormat="1" hidden="1" x14ac:dyDescent="0.4"/>
    <row r="1656" spans="2:12" s="4" customFormat="1" hidden="1" x14ac:dyDescent="0.4"/>
    <row r="1657" spans="2:12" s="4" customFormat="1" x14ac:dyDescent="0.4"/>
    <row r="1658" spans="2:12" s="4" customFormat="1" ht="19.2" x14ac:dyDescent="0.45">
      <c r="B1658" s="754" t="str">
        <f>"Transport to Plant"&amp;" - "&amp;Feedstocks!C50</f>
        <v xml:space="preserve">Transport to Plant - </v>
      </c>
      <c r="C1658" s="755"/>
      <c r="D1658" s="755"/>
      <c r="E1658" s="755"/>
      <c r="F1658" s="755"/>
      <c r="G1658" s="755"/>
      <c r="H1658" s="755"/>
      <c r="I1658" s="755"/>
      <c r="J1658" s="755"/>
      <c r="K1658" s="755"/>
      <c r="L1658" s="756"/>
    </row>
    <row r="1659" spans="2:12" s="4" customFormat="1" outlineLevel="1" x14ac:dyDescent="0.4">
      <c r="B1659" s="17"/>
      <c r="C1659" s="18"/>
      <c r="D1659" s="19"/>
      <c r="E1659" s="19"/>
      <c r="F1659" s="19"/>
      <c r="G1659" s="19"/>
      <c r="H1659" s="19"/>
      <c r="I1659" s="19"/>
      <c r="J1659" s="19"/>
      <c r="K1659" s="19"/>
      <c r="L1659" s="50"/>
    </row>
    <row r="1660" spans="2:12" s="4" customFormat="1" outlineLevel="1" x14ac:dyDescent="0.4">
      <c r="B1660" s="20"/>
      <c r="C1660" s="174" t="s">
        <v>87</v>
      </c>
      <c r="D1660" s="778" t="str">
        <f>IF(Feedstocks!$C$50&gt;0,Feedstocks!$C$50,"")</f>
        <v/>
      </c>
      <c r="E1660" s="778"/>
      <c r="F1660" s="778"/>
      <c r="G1660" s="1"/>
      <c r="H1660" s="303" t="s">
        <v>122</v>
      </c>
      <c r="I1660" s="47"/>
      <c r="J1660" s="47"/>
      <c r="K1660" s="61"/>
      <c r="L1660" s="35"/>
    </row>
    <row r="1661" spans="2:12" s="4" customFormat="1" outlineLevel="1" x14ac:dyDescent="0.4">
      <c r="B1661" s="20"/>
      <c r="C1661" s="1"/>
      <c r="D1661" s="1"/>
      <c r="E1661" s="1"/>
      <c r="F1661" s="1"/>
      <c r="G1661" s="76"/>
      <c r="H1661" s="43"/>
      <c r="I1661" s="36"/>
      <c r="J1661" s="164" t="s">
        <v>124</v>
      </c>
      <c r="K1661" s="44"/>
      <c r="L1661" s="35"/>
    </row>
    <row r="1662" spans="2:12" s="12" customFormat="1" ht="15" outlineLevel="1" x14ac:dyDescent="0.35">
      <c r="B1662" s="20"/>
      <c r="C1662" s="1"/>
      <c r="D1662" s="1"/>
      <c r="E1662" s="1"/>
      <c r="F1662" s="1"/>
      <c r="G1662" s="1"/>
      <c r="H1662" s="43"/>
      <c r="I1662" s="164" t="s">
        <v>125</v>
      </c>
      <c r="J1662" s="52" t="str">
        <f>IFERROR((J1665/(('Digestion &amp; outputs'!$G$51/1000)))*'Digestion &amp; outputs'!$K$23,"")</f>
        <v/>
      </c>
      <c r="K1662" s="44"/>
      <c r="L1662" s="54"/>
    </row>
    <row r="1663" spans="2:12" s="4" customFormat="1" outlineLevel="1" x14ac:dyDescent="0.4">
      <c r="B1663" s="20"/>
      <c r="C1663" s="164" t="s">
        <v>163</v>
      </c>
      <c r="D1663" s="134" t="s">
        <v>164</v>
      </c>
      <c r="E1663" s="1"/>
      <c r="F1663" s="1"/>
      <c r="G1663" s="1"/>
      <c r="H1663" s="41"/>
      <c r="I1663" s="34"/>
      <c r="J1663" s="34"/>
      <c r="K1663" s="37"/>
      <c r="L1663" s="35"/>
    </row>
    <row r="1664" spans="2:12" s="4" customFormat="1" outlineLevel="1" x14ac:dyDescent="0.4">
      <c r="B1664" s="20"/>
      <c r="C1664" s="164" t="s">
        <v>165</v>
      </c>
      <c r="D1664" s="143"/>
      <c r="E1664" s="1"/>
      <c r="F1664" s="1"/>
      <c r="G1664" s="1"/>
      <c r="H1664" s="41"/>
      <c r="I1664" s="36"/>
      <c r="J1664" s="164" t="s">
        <v>141</v>
      </c>
      <c r="K1664" s="37"/>
      <c r="L1664" s="35"/>
    </row>
    <row r="1665" spans="2:12" s="4" customFormat="1" outlineLevel="1" x14ac:dyDescent="0.4">
      <c r="B1665" s="20"/>
      <c r="C1665" s="164" t="s">
        <v>160</v>
      </c>
      <c r="D1665" s="134" t="s">
        <v>166</v>
      </c>
      <c r="E1665" s="1"/>
      <c r="F1665" s="1"/>
      <c r="G1665" s="1"/>
      <c r="H1665" s="42"/>
      <c r="I1665" s="164" t="s">
        <v>167</v>
      </c>
      <c r="J1665" s="52">
        <f>IFERROR(J1670,"Insert data")</f>
        <v>0</v>
      </c>
      <c r="K1665" s="62"/>
      <c r="L1665" s="35"/>
    </row>
    <row r="1666" spans="2:12" s="4" customFormat="1" outlineLevel="1" x14ac:dyDescent="0.4">
      <c r="B1666" s="20"/>
      <c r="C1666" s="21"/>
      <c r="D1666" s="21"/>
      <c r="E1666" s="21"/>
      <c r="F1666" s="21"/>
      <c r="G1666" s="21"/>
      <c r="H1666" s="46"/>
      <c r="I1666" s="58"/>
      <c r="J1666" s="58"/>
      <c r="K1666" s="59"/>
      <c r="L1666" s="35"/>
    </row>
    <row r="1667" spans="2:12" s="4" customFormat="1" outlineLevel="1" x14ac:dyDescent="0.4">
      <c r="B1667" s="20"/>
      <c r="C1667" s="25" t="s">
        <v>168</v>
      </c>
      <c r="D1667" s="21"/>
      <c r="E1667" s="21"/>
      <c r="F1667" s="21"/>
      <c r="G1667" s="21"/>
      <c r="H1667" s="21"/>
      <c r="I1667" s="21"/>
      <c r="J1667" s="21"/>
      <c r="K1667" s="21"/>
      <c r="L1667" s="35"/>
    </row>
    <row r="1668" spans="2:12" s="14" customFormat="1" ht="30.6" outlineLevel="1" x14ac:dyDescent="0.4">
      <c r="B1668" s="23"/>
      <c r="C1668" s="166" t="s">
        <v>131</v>
      </c>
      <c r="D1668" s="166" t="s">
        <v>169</v>
      </c>
      <c r="E1668" s="166" t="s">
        <v>170</v>
      </c>
      <c r="F1668" s="166" t="s">
        <v>171</v>
      </c>
      <c r="G1668" s="24"/>
      <c r="H1668" s="303" t="s">
        <v>136</v>
      </c>
      <c r="I1668" s="47"/>
      <c r="J1668" s="47"/>
      <c r="K1668" s="45"/>
      <c r="L1668" s="63"/>
    </row>
    <row r="1669" spans="2:12" s="4" customFormat="1" outlineLevel="1" x14ac:dyDescent="0.4">
      <c r="B1669" s="20"/>
      <c r="C1669" s="138" t="s">
        <v>96</v>
      </c>
      <c r="D1669" s="93">
        <v>1</v>
      </c>
      <c r="E1669" s="135"/>
      <c r="F1669" s="31">
        <f>IFERROR(IF(OR(C1669="Default",D1663="No transport required"),D1669,IF(ISBLANK(E1669),"Insert data",E1669)),"")</f>
        <v>1</v>
      </c>
      <c r="G1669" s="21"/>
      <c r="H1669" s="41"/>
      <c r="I1669" s="36"/>
      <c r="J1669" s="164" t="s">
        <v>141</v>
      </c>
      <c r="K1669" s="37"/>
      <c r="L1669" s="35"/>
    </row>
    <row r="1670" spans="2:12" s="4" customFormat="1" outlineLevel="1" x14ac:dyDescent="0.4">
      <c r="B1670" s="20"/>
      <c r="C1670" s="21"/>
      <c r="D1670" s="21"/>
      <c r="E1670" s="692" t="str">
        <f>IF(E1669&gt;1, "this should not be greater than 1", "")</f>
        <v/>
      </c>
      <c r="F1670" s="21"/>
      <c r="G1670" s="21"/>
      <c r="H1670" s="42"/>
      <c r="I1670" s="164" t="s">
        <v>172</v>
      </c>
      <c r="J1670" s="52">
        <f>IF(D1663="No transport required",0,IFERROR(E1673*INDEX(Fuel_EFs,MATCH(D1665,Fuels_for_EF,0))*D1664/1000,"Insert data"))</f>
        <v>0</v>
      </c>
      <c r="K1670" s="62"/>
      <c r="L1670" s="35"/>
    </row>
    <row r="1671" spans="2:12" s="4" customFormat="1" outlineLevel="1" x14ac:dyDescent="0.4">
      <c r="B1671" s="20"/>
      <c r="C1671" s="25" t="s">
        <v>173</v>
      </c>
      <c r="D1671" s="21"/>
      <c r="E1671" s="21"/>
      <c r="F1671" s="21"/>
      <c r="G1671" s="21"/>
      <c r="H1671" s="46"/>
      <c r="I1671" s="58"/>
      <c r="J1671" s="58"/>
      <c r="K1671" s="59"/>
      <c r="L1671" s="35"/>
    </row>
    <row r="1672" spans="2:12" s="14" customFormat="1" outlineLevel="1" x14ac:dyDescent="0.4">
      <c r="B1672" s="23"/>
      <c r="C1672" s="176" t="s">
        <v>174</v>
      </c>
      <c r="D1672" s="166" t="s">
        <v>175</v>
      </c>
      <c r="E1672" s="166" t="s">
        <v>176</v>
      </c>
      <c r="F1672" s="24"/>
      <c r="G1672" s="24"/>
      <c r="H1672" s="4"/>
      <c r="I1672" s="4"/>
      <c r="J1672" s="4"/>
      <c r="K1672" s="4"/>
      <c r="L1672" s="63"/>
    </row>
    <row r="1673" spans="2:12" s="4" customFormat="1" outlineLevel="1" x14ac:dyDescent="0.4">
      <c r="B1673" s="20"/>
      <c r="C1673" s="138" t="s">
        <v>96</v>
      </c>
      <c r="D1673" s="93">
        <f>IFERROR(INDEX(Transport_Fuel_Efficiencies,MATCH(D1663,Transport_Modes,0)),"Insert data")</f>
        <v>0</v>
      </c>
      <c r="E1673" s="31">
        <f>IFERROR(IF(C1673="Default",D1673,IF(OR(ISBLANK(E1675),ISBLANK(D1679),ISBLANK(D1683)),"Insert data",(IF(C1679="litres",(D1679*(INDEX(Fuel_Densities,MATCH(D1665,Fuels_for_Densities,0))/1000)*INDEX(Fuel_LHV,MATCH(D1665,Fuels_for_LHV,0)))/(D1683*D1664),(IF(C1679="m3",(D1679*(INDEX(Fuel_Densities,MATCH(D1665,Fuels_for_Densities,0)))*INDEX(Fuel_LHV,MATCH(D1665,Fuels_for_LHV,0)))/(D1683*D1664),IF(C1679="kg",(D1679*INDEX(Fuel_LHV,MATCH(D1665,Fuels_for_LHV,0)))/(D1683*D1664),IF(C1679="tonnes",(D1679*INDEX(Fuel_LHV,MATCH(D1665,Fuels_for_LHV,0))*1000)/(D1683*D1664),IF(C1679="MWh",(D1679*'Reference values'!$D$47)/(D1683*D1664),IF(C1679="kWh",(D1679*'Reference values'!$D$47/1000)/(D1683*D1664),"Insert unit")))))))))),"")</f>
        <v>0</v>
      </c>
      <c r="F1673" s="21"/>
      <c r="G1673" s="21"/>
      <c r="L1673" s="35"/>
    </row>
    <row r="1674" spans="2:12" s="4" customFormat="1" outlineLevel="1" x14ac:dyDescent="0.4">
      <c r="B1674" s="20"/>
      <c r="C1674" s="21"/>
      <c r="D1674" s="21"/>
      <c r="E1674" s="21"/>
      <c r="F1674" s="21"/>
      <c r="G1674" s="21"/>
      <c r="H1674" s="21"/>
      <c r="I1674" s="21"/>
      <c r="J1674" s="21"/>
      <c r="K1674" s="21"/>
      <c r="L1674" s="35"/>
    </row>
    <row r="1675" spans="2:12" s="4" customFormat="1" ht="16.5" customHeight="1" outlineLevel="1" x14ac:dyDescent="0.4">
      <c r="B1675" s="20"/>
      <c r="C1675" s="759" t="s">
        <v>177</v>
      </c>
      <c r="D1675" s="759"/>
      <c r="E1675" s="135" t="s">
        <v>178</v>
      </c>
      <c r="F1675" s="21"/>
      <c r="G1675" s="21"/>
      <c r="L1675" s="35"/>
    </row>
    <row r="1676" spans="2:12" s="4" customFormat="1" ht="12.75" customHeight="1" outlineLevel="1" x14ac:dyDescent="0.4">
      <c r="B1676" s="20"/>
      <c r="C1676" s="21"/>
      <c r="D1676" s="21"/>
      <c r="E1676" s="21"/>
      <c r="F1676" s="21"/>
      <c r="G1676" s="21"/>
      <c r="L1676" s="35"/>
    </row>
    <row r="1677" spans="2:12" s="4" customFormat="1" outlineLevel="1" x14ac:dyDescent="0.4">
      <c r="B1677" s="20"/>
      <c r="C1677" s="25" t="str">
        <f>IF(E1675="yes", "Fuel demand for outward journey",IF(E1675="No","Fuel demand for full journey (outward and return)",""))</f>
        <v>Fuel demand for full journey (outward and return)</v>
      </c>
      <c r="D1677" s="21"/>
      <c r="E1677" s="21"/>
      <c r="F1677" s="21"/>
      <c r="G1677" s="21"/>
      <c r="H1677" s="21"/>
      <c r="I1677" s="21"/>
      <c r="J1677" s="21"/>
      <c r="K1677" s="21"/>
      <c r="L1677" s="35"/>
    </row>
    <row r="1678" spans="2:12" s="4" customFormat="1" outlineLevel="1" x14ac:dyDescent="0.4">
      <c r="B1678" s="20"/>
      <c r="C1678" s="164" t="s">
        <v>151</v>
      </c>
      <c r="D1678" s="164" t="s">
        <v>140</v>
      </c>
      <c r="E1678" s="21"/>
      <c r="F1678" s="21"/>
      <c r="G1678" s="21"/>
      <c r="H1678" s="21"/>
      <c r="I1678" s="21"/>
      <c r="J1678" s="21"/>
      <c r="K1678" s="21"/>
      <c r="L1678" s="35"/>
    </row>
    <row r="1679" spans="2:12" s="4" customFormat="1" outlineLevel="1" x14ac:dyDescent="0.4">
      <c r="B1679" s="20"/>
      <c r="C1679" s="138"/>
      <c r="D1679" s="135"/>
      <c r="E1679" s="21"/>
      <c r="F1679" s="21"/>
      <c r="G1679" s="21"/>
      <c r="H1679" s="21"/>
      <c r="I1679" s="21"/>
      <c r="J1679" s="21"/>
      <c r="K1679" s="21"/>
      <c r="L1679" s="35"/>
    </row>
    <row r="1680" spans="2:12" s="4" customFormat="1" outlineLevel="1" x14ac:dyDescent="0.4">
      <c r="B1680" s="20"/>
      <c r="C1680" s="21"/>
      <c r="D1680" s="21"/>
      <c r="E1680" s="21"/>
      <c r="F1680" s="21"/>
      <c r="G1680" s="21"/>
      <c r="H1680" s="21"/>
      <c r="I1680" s="21"/>
      <c r="J1680" s="21"/>
      <c r="K1680" s="21"/>
      <c r="L1680" s="35"/>
    </row>
    <row r="1681" spans="2:12" s="4" customFormat="1" outlineLevel="1" x14ac:dyDescent="0.4">
      <c r="B1681" s="20"/>
      <c r="C1681" s="25" t="s">
        <v>180</v>
      </c>
      <c r="D1681" s="21"/>
      <c r="E1681" s="21"/>
      <c r="F1681" s="21"/>
      <c r="G1681" s="21"/>
      <c r="H1681" s="21"/>
      <c r="I1681" s="21"/>
      <c r="J1681" s="21"/>
      <c r="K1681" s="21"/>
      <c r="L1681" s="35"/>
    </row>
    <row r="1682" spans="2:12" s="4" customFormat="1" outlineLevel="1" x14ac:dyDescent="0.4">
      <c r="B1682" s="20"/>
      <c r="C1682" s="164" t="s">
        <v>151</v>
      </c>
      <c r="D1682" s="164" t="s">
        <v>140</v>
      </c>
      <c r="E1682" s="21"/>
      <c r="F1682" s="21"/>
      <c r="G1682" s="21"/>
      <c r="H1682" s="21"/>
      <c r="I1682" s="21"/>
      <c r="J1682" s="21"/>
      <c r="K1682" s="21"/>
      <c r="L1682" s="35"/>
    </row>
    <row r="1683" spans="2:12" s="4" customFormat="1" outlineLevel="1" x14ac:dyDescent="0.4">
      <c r="B1683" s="20"/>
      <c r="C1683" s="138"/>
      <c r="D1683" s="135"/>
      <c r="E1683" s="21"/>
      <c r="F1683" s="21"/>
      <c r="G1683" s="21"/>
      <c r="H1683" s="21"/>
      <c r="I1683" s="21"/>
      <c r="J1683" s="21"/>
      <c r="K1683" s="21"/>
      <c r="L1683" s="35"/>
    </row>
    <row r="1684" spans="2:12" s="4" customFormat="1" ht="12.75" customHeight="1" outlineLevel="1" x14ac:dyDescent="0.4">
      <c r="B1684" s="28"/>
      <c r="C1684" s="29"/>
      <c r="D1684" s="29"/>
      <c r="E1684" s="29"/>
      <c r="F1684" s="29"/>
      <c r="G1684" s="29"/>
      <c r="H1684" s="29"/>
      <c r="I1684" s="29"/>
      <c r="J1684" s="29"/>
      <c r="K1684" s="29"/>
      <c r="L1684" s="60"/>
    </row>
    <row r="1685" spans="2:12" s="4" customFormat="1" ht="3" customHeight="1" x14ac:dyDescent="0.4"/>
    <row r="1686" spans="2:12" s="4" customFormat="1" ht="8.4" hidden="1" customHeight="1" x14ac:dyDescent="0.4"/>
    <row r="1687" spans="2:12" s="1" customFormat="1" ht="11.1" hidden="1" customHeight="1" x14ac:dyDescent="0.35">
      <c r="B1687" s="2"/>
      <c r="C1687" s="3"/>
      <c r="E1687" s="2"/>
    </row>
    <row r="1688" spans="2:12" s="4" customFormat="1" ht="15.9" hidden="1" customHeight="1" x14ac:dyDescent="0.4"/>
    <row r="1689" spans="2:12" s="4" customFormat="1" ht="15.9" hidden="1" customHeight="1" x14ac:dyDescent="0.4"/>
    <row r="1690" spans="2:12" s="4" customFormat="1" ht="15.9" hidden="1" customHeight="1" x14ac:dyDescent="0.4"/>
    <row r="1691" spans="2:12" s="4" customFormat="1" hidden="1" x14ac:dyDescent="0.4"/>
    <row r="1692" spans="2:12" s="4" customFormat="1" ht="15.9" hidden="1" customHeight="1" x14ac:dyDescent="0.4"/>
    <row r="1693" spans="2:12" s="4" customFormat="1" ht="15.9" hidden="1" customHeight="1" x14ac:dyDescent="0.4"/>
    <row r="1694" spans="2:12" s="4" customFormat="1" hidden="1" x14ac:dyDescent="0.4"/>
    <row r="1695" spans="2:12" s="1" customFormat="1" ht="11.1" hidden="1" customHeight="1" x14ac:dyDescent="0.35">
      <c r="B1695" s="2"/>
      <c r="C1695" s="3"/>
      <c r="E1695" s="2"/>
    </row>
    <row r="1696" spans="2:12" s="4" customFormat="1" ht="15.9" hidden="1" customHeight="1" x14ac:dyDescent="0.4"/>
    <row r="1697" spans="2:12" s="4" customFormat="1" ht="15.9" hidden="1" customHeight="1" x14ac:dyDescent="0.4"/>
    <row r="1698" spans="2:12" s="4" customFormat="1" ht="15.9" hidden="1" customHeight="1" x14ac:dyDescent="0.4"/>
    <row r="1699" spans="2:12" s="4" customFormat="1" hidden="1" x14ac:dyDescent="0.4"/>
    <row r="1700" spans="2:12" s="4" customFormat="1" hidden="1" x14ac:dyDescent="0.4"/>
    <row r="1701" spans="2:12" s="4" customFormat="1" hidden="1" x14ac:dyDescent="0.4"/>
    <row r="1702" spans="2:12" s="4" customFormat="1" hidden="1" x14ac:dyDescent="0.4"/>
    <row r="1703" spans="2:12" s="4" customFormat="1" hidden="1" x14ac:dyDescent="0.4"/>
    <row r="1704" spans="2:12" s="4" customFormat="1" hidden="1" x14ac:dyDescent="0.4"/>
    <row r="1705" spans="2:12" s="4" customFormat="1" hidden="1" x14ac:dyDescent="0.4"/>
    <row r="1706" spans="2:12" s="4" customFormat="1" hidden="1" x14ac:dyDescent="0.4"/>
    <row r="1707" spans="2:12" s="4" customFormat="1" x14ac:dyDescent="0.4"/>
    <row r="1708" spans="2:12" s="4" customFormat="1" ht="19.2" x14ac:dyDescent="0.45">
      <c r="B1708" s="754" t="str">
        <f>"Transport to Plant"&amp;" - "&amp;Feedstocks!C51</f>
        <v xml:space="preserve">Transport to Plant - </v>
      </c>
      <c r="C1708" s="755"/>
      <c r="D1708" s="755"/>
      <c r="E1708" s="755"/>
      <c r="F1708" s="755"/>
      <c r="G1708" s="755"/>
      <c r="H1708" s="755"/>
      <c r="I1708" s="755"/>
      <c r="J1708" s="755"/>
      <c r="K1708" s="755"/>
      <c r="L1708" s="756"/>
    </row>
    <row r="1709" spans="2:12" s="4" customFormat="1" outlineLevel="1" x14ac:dyDescent="0.4">
      <c r="B1709" s="17"/>
      <c r="C1709" s="18"/>
      <c r="D1709" s="19"/>
      <c r="E1709" s="19"/>
      <c r="F1709" s="19"/>
      <c r="G1709" s="19"/>
      <c r="H1709" s="19"/>
      <c r="I1709" s="19"/>
      <c r="J1709" s="19"/>
      <c r="K1709" s="19"/>
      <c r="L1709" s="50"/>
    </row>
    <row r="1710" spans="2:12" s="4" customFormat="1" outlineLevel="1" x14ac:dyDescent="0.4">
      <c r="B1710" s="20"/>
      <c r="C1710" s="174" t="s">
        <v>87</v>
      </c>
      <c r="D1710" s="778" t="str">
        <f>IF(Feedstocks!$C$51&gt;0,Feedstocks!$C$51,"")</f>
        <v/>
      </c>
      <c r="E1710" s="778"/>
      <c r="F1710" s="778"/>
      <c r="G1710" s="1"/>
      <c r="H1710" s="303" t="s">
        <v>122</v>
      </c>
      <c r="I1710" s="47"/>
      <c r="J1710" s="47"/>
      <c r="K1710" s="61"/>
      <c r="L1710" s="35"/>
    </row>
    <row r="1711" spans="2:12" s="4" customFormat="1" outlineLevel="1" x14ac:dyDescent="0.4">
      <c r="B1711" s="20"/>
      <c r="C1711" s="1"/>
      <c r="D1711" s="1"/>
      <c r="E1711" s="1"/>
      <c r="F1711" s="1"/>
      <c r="G1711" s="76"/>
      <c r="H1711" s="43"/>
      <c r="I1711" s="36"/>
      <c r="J1711" s="164" t="s">
        <v>124</v>
      </c>
      <c r="K1711" s="44"/>
      <c r="L1711" s="35"/>
    </row>
    <row r="1712" spans="2:12" s="12" customFormat="1" ht="15" outlineLevel="1" x14ac:dyDescent="0.35">
      <c r="B1712" s="20"/>
      <c r="C1712" s="1"/>
      <c r="D1712" s="1"/>
      <c r="E1712" s="1"/>
      <c r="F1712" s="1"/>
      <c r="G1712" s="1"/>
      <c r="H1712" s="43"/>
      <c r="I1712" s="164" t="s">
        <v>125</v>
      </c>
      <c r="J1712" s="52" t="str">
        <f>IFERROR((J1715/(('Digestion &amp; outputs'!$G$52/1000)))*'Digestion &amp; outputs'!$K$23,"")</f>
        <v/>
      </c>
      <c r="K1712" s="44"/>
      <c r="L1712" s="54"/>
    </row>
    <row r="1713" spans="2:12" s="4" customFormat="1" outlineLevel="1" x14ac:dyDescent="0.4">
      <c r="B1713" s="20"/>
      <c r="C1713" s="164" t="s">
        <v>163</v>
      </c>
      <c r="D1713" s="134" t="s">
        <v>164</v>
      </c>
      <c r="E1713" s="1"/>
      <c r="F1713" s="1"/>
      <c r="G1713" s="1"/>
      <c r="H1713" s="41"/>
      <c r="I1713" s="34"/>
      <c r="J1713" s="34"/>
      <c r="K1713" s="37"/>
      <c r="L1713" s="35"/>
    </row>
    <row r="1714" spans="2:12" s="4" customFormat="1" outlineLevel="1" x14ac:dyDescent="0.4">
      <c r="B1714" s="20"/>
      <c r="C1714" s="164" t="s">
        <v>165</v>
      </c>
      <c r="D1714" s="143"/>
      <c r="E1714" s="1"/>
      <c r="F1714" s="1"/>
      <c r="G1714" s="1"/>
      <c r="H1714" s="41"/>
      <c r="I1714" s="36"/>
      <c r="J1714" s="164" t="s">
        <v>141</v>
      </c>
      <c r="K1714" s="37"/>
      <c r="L1714" s="35"/>
    </row>
    <row r="1715" spans="2:12" s="4" customFormat="1" outlineLevel="1" x14ac:dyDescent="0.4">
      <c r="B1715" s="20"/>
      <c r="C1715" s="164" t="s">
        <v>160</v>
      </c>
      <c r="D1715" s="134" t="s">
        <v>166</v>
      </c>
      <c r="E1715" s="1"/>
      <c r="F1715" s="1"/>
      <c r="G1715" s="1"/>
      <c r="H1715" s="42"/>
      <c r="I1715" s="164" t="s">
        <v>167</v>
      </c>
      <c r="J1715" s="52">
        <f>IFERROR(J1720,"Insert data")</f>
        <v>0</v>
      </c>
      <c r="K1715" s="62"/>
      <c r="L1715" s="35"/>
    </row>
    <row r="1716" spans="2:12" s="4" customFormat="1" outlineLevel="1" x14ac:dyDescent="0.4">
      <c r="B1716" s="20"/>
      <c r="C1716" s="21"/>
      <c r="D1716" s="21"/>
      <c r="E1716" s="21"/>
      <c r="F1716" s="21"/>
      <c r="G1716" s="21"/>
      <c r="H1716" s="46"/>
      <c r="I1716" s="58"/>
      <c r="J1716" s="58"/>
      <c r="K1716" s="59"/>
      <c r="L1716" s="35"/>
    </row>
    <row r="1717" spans="2:12" s="4" customFormat="1" outlineLevel="1" x14ac:dyDescent="0.4">
      <c r="B1717" s="20"/>
      <c r="C1717" s="25" t="s">
        <v>168</v>
      </c>
      <c r="D1717" s="21"/>
      <c r="E1717" s="21"/>
      <c r="F1717" s="21"/>
      <c r="G1717" s="21"/>
      <c r="H1717" s="21"/>
      <c r="I1717" s="21"/>
      <c r="J1717" s="21"/>
      <c r="K1717" s="21"/>
      <c r="L1717" s="35"/>
    </row>
    <row r="1718" spans="2:12" s="14" customFormat="1" ht="30.6" outlineLevel="1" x14ac:dyDescent="0.4">
      <c r="B1718" s="23"/>
      <c r="C1718" s="166" t="s">
        <v>131</v>
      </c>
      <c r="D1718" s="166" t="s">
        <v>169</v>
      </c>
      <c r="E1718" s="166" t="s">
        <v>170</v>
      </c>
      <c r="F1718" s="166" t="s">
        <v>171</v>
      </c>
      <c r="G1718" s="24"/>
      <c r="H1718" s="303" t="s">
        <v>136</v>
      </c>
      <c r="I1718" s="47"/>
      <c r="J1718" s="47"/>
      <c r="K1718" s="45"/>
      <c r="L1718" s="63"/>
    </row>
    <row r="1719" spans="2:12" s="4" customFormat="1" outlineLevel="1" x14ac:dyDescent="0.4">
      <c r="B1719" s="20"/>
      <c r="C1719" s="138" t="s">
        <v>96</v>
      </c>
      <c r="D1719" s="93">
        <v>1</v>
      </c>
      <c r="E1719" s="135"/>
      <c r="F1719" s="31">
        <f>IFERROR(IF(OR(C1719="Default",D1713="No transport required"),D1719,IF(ISBLANK(E1719),"Insert data",E1719)),"")</f>
        <v>1</v>
      </c>
      <c r="G1719" s="21"/>
      <c r="H1719" s="41"/>
      <c r="I1719" s="36"/>
      <c r="J1719" s="164" t="s">
        <v>141</v>
      </c>
      <c r="K1719" s="37"/>
      <c r="L1719" s="35"/>
    </row>
    <row r="1720" spans="2:12" s="4" customFormat="1" outlineLevel="1" x14ac:dyDescent="0.4">
      <c r="B1720" s="20"/>
      <c r="C1720" s="21"/>
      <c r="D1720" s="21"/>
      <c r="E1720" s="692" t="str">
        <f>IF(E1719&gt;1, "this should not be greater than 1", "")</f>
        <v/>
      </c>
      <c r="F1720" s="21"/>
      <c r="G1720" s="21"/>
      <c r="H1720" s="42"/>
      <c r="I1720" s="164" t="s">
        <v>172</v>
      </c>
      <c r="J1720" s="52">
        <f>IF(D1713="No transport required",0,IFERROR(E1723*INDEX(Fuel_EFs,MATCH(D1715,Fuels_for_EF,0))*D1714/1000,"Insert data"))</f>
        <v>0</v>
      </c>
      <c r="K1720" s="62"/>
      <c r="L1720" s="35"/>
    </row>
    <row r="1721" spans="2:12" s="4" customFormat="1" outlineLevel="1" x14ac:dyDescent="0.4">
      <c r="B1721" s="20"/>
      <c r="C1721" s="25" t="s">
        <v>173</v>
      </c>
      <c r="D1721" s="21"/>
      <c r="E1721" s="21"/>
      <c r="F1721" s="21"/>
      <c r="G1721" s="21"/>
      <c r="H1721" s="46"/>
      <c r="I1721" s="58"/>
      <c r="J1721" s="58"/>
      <c r="K1721" s="59"/>
      <c r="L1721" s="35"/>
    </row>
    <row r="1722" spans="2:12" s="14" customFormat="1" outlineLevel="1" x14ac:dyDescent="0.4">
      <c r="B1722" s="23"/>
      <c r="C1722" s="176" t="s">
        <v>174</v>
      </c>
      <c r="D1722" s="166" t="s">
        <v>175</v>
      </c>
      <c r="E1722" s="166" t="s">
        <v>176</v>
      </c>
      <c r="F1722" s="24"/>
      <c r="G1722" s="24"/>
      <c r="H1722" s="4"/>
      <c r="I1722" s="4"/>
      <c r="J1722" s="4"/>
      <c r="K1722" s="4"/>
      <c r="L1722" s="63"/>
    </row>
    <row r="1723" spans="2:12" s="4" customFormat="1" outlineLevel="1" x14ac:dyDescent="0.4">
      <c r="B1723" s="20"/>
      <c r="C1723" s="138" t="s">
        <v>96</v>
      </c>
      <c r="D1723" s="93">
        <f>IFERROR(INDEX(Transport_Fuel_Efficiencies,MATCH(D1713,Transport_Modes,0)),"Insert data")</f>
        <v>0</v>
      </c>
      <c r="E1723" s="31">
        <f>IFERROR(IF(C1723="Default",D1723,IF(OR(ISBLANK(E1725),ISBLANK(D1729),ISBLANK(D1733)),"Insert data",(IF(C1729="litres",(D1729*(INDEX(Fuel_Densities,MATCH(D1715,Fuels_for_Densities,0))/1000)*INDEX(Fuel_LHV,MATCH(D1715,Fuels_for_LHV,0)))/(D1733*D1714),(IF(C1729="m3",(D1729*(INDEX(Fuel_Densities,MATCH(D1715,Fuels_for_Densities,0)))*INDEX(Fuel_LHV,MATCH(D1715,Fuels_for_LHV,0)))/(D1733*D1714),IF(C1729="kg",(D1729*INDEX(Fuel_LHV,MATCH(D1715,Fuels_for_LHV,0)))/(D1733*D1714),IF(C1729="tonnes",(D1729*INDEX(Fuel_LHV,MATCH(D1715,Fuels_for_LHV,0))*1000)/(D1733*D1714),IF(C1729="MWh",(D1729*'Reference values'!$D$47)/(D1733*D1714),IF(C1729="kWh",(D1729*'Reference values'!$D$47/1000)/(D1733*D1714),"Insert unit")))))))))),"")</f>
        <v>0</v>
      </c>
      <c r="F1723" s="21"/>
      <c r="G1723" s="21"/>
      <c r="L1723" s="35"/>
    </row>
    <row r="1724" spans="2:12" s="4" customFormat="1" outlineLevel="1" x14ac:dyDescent="0.4">
      <c r="B1724" s="20"/>
      <c r="C1724" s="21"/>
      <c r="D1724" s="21"/>
      <c r="E1724" s="21"/>
      <c r="F1724" s="21"/>
      <c r="G1724" s="21"/>
      <c r="H1724" s="21"/>
      <c r="I1724" s="21"/>
      <c r="J1724" s="21"/>
      <c r="K1724" s="21"/>
      <c r="L1724" s="35"/>
    </row>
    <row r="1725" spans="2:12" s="4" customFormat="1" ht="16.5" customHeight="1" outlineLevel="1" x14ac:dyDescent="0.4">
      <c r="B1725" s="20"/>
      <c r="C1725" s="759" t="s">
        <v>177</v>
      </c>
      <c r="D1725" s="759"/>
      <c r="E1725" s="135" t="s">
        <v>178</v>
      </c>
      <c r="F1725" s="21"/>
      <c r="G1725" s="21"/>
      <c r="H1725" s="21"/>
      <c r="I1725" s="21"/>
      <c r="J1725" s="21"/>
      <c r="K1725" s="21"/>
      <c r="L1725" s="35"/>
    </row>
    <row r="1726" spans="2:12" s="4" customFormat="1" ht="12.75" customHeight="1" outlineLevel="1" x14ac:dyDescent="0.4">
      <c r="B1726" s="20"/>
      <c r="C1726" s="21"/>
      <c r="D1726" s="21"/>
      <c r="E1726" s="21"/>
      <c r="F1726" s="21"/>
      <c r="G1726" s="21"/>
      <c r="L1726" s="35"/>
    </row>
    <row r="1727" spans="2:12" s="4" customFormat="1" outlineLevel="1" x14ac:dyDescent="0.4">
      <c r="B1727" s="20"/>
      <c r="C1727" s="25" t="str">
        <f>IF(E1725="yes", "Fuel demand for outward journey",IF(E1725="No","Fuel demand for full journey (outward and return)",""))</f>
        <v>Fuel demand for full journey (outward and return)</v>
      </c>
      <c r="D1727" s="21"/>
      <c r="E1727" s="21"/>
      <c r="F1727" s="21"/>
      <c r="G1727" s="21"/>
      <c r="H1727" s="21"/>
      <c r="I1727" s="21"/>
      <c r="J1727" s="21"/>
      <c r="K1727" s="21"/>
      <c r="L1727" s="35"/>
    </row>
    <row r="1728" spans="2:12" s="4" customFormat="1" outlineLevel="1" x14ac:dyDescent="0.4">
      <c r="B1728" s="20"/>
      <c r="C1728" s="164" t="s">
        <v>151</v>
      </c>
      <c r="D1728" s="164" t="s">
        <v>140</v>
      </c>
      <c r="E1728" s="21"/>
      <c r="F1728" s="21"/>
      <c r="G1728" s="21"/>
      <c r="H1728" s="21"/>
      <c r="I1728" s="21"/>
      <c r="J1728" s="21"/>
      <c r="K1728" s="21"/>
      <c r="L1728" s="35"/>
    </row>
    <row r="1729" spans="2:12" s="4" customFormat="1" outlineLevel="1" x14ac:dyDescent="0.4">
      <c r="B1729" s="20"/>
      <c r="C1729" s="138"/>
      <c r="D1729" s="135"/>
      <c r="E1729" s="21"/>
      <c r="F1729" s="21"/>
      <c r="G1729" s="21"/>
      <c r="H1729" s="21"/>
      <c r="I1729" s="21"/>
      <c r="J1729" s="21"/>
      <c r="K1729" s="21"/>
      <c r="L1729" s="35"/>
    </row>
    <row r="1730" spans="2:12" s="4" customFormat="1" outlineLevel="1" x14ac:dyDescent="0.4">
      <c r="B1730" s="20"/>
      <c r="C1730" s="21"/>
      <c r="D1730" s="21"/>
      <c r="E1730" s="21"/>
      <c r="F1730" s="21"/>
      <c r="G1730" s="21"/>
      <c r="H1730" s="21"/>
      <c r="I1730" s="21"/>
      <c r="J1730" s="21"/>
      <c r="K1730" s="21"/>
      <c r="L1730" s="35"/>
    </row>
    <row r="1731" spans="2:12" s="4" customFormat="1" outlineLevel="1" x14ac:dyDescent="0.4">
      <c r="B1731" s="20"/>
      <c r="C1731" s="25" t="s">
        <v>180</v>
      </c>
      <c r="D1731" s="21"/>
      <c r="E1731" s="21"/>
      <c r="F1731" s="21"/>
      <c r="G1731" s="21"/>
      <c r="H1731" s="21"/>
      <c r="I1731" s="21"/>
      <c r="J1731" s="21"/>
      <c r="K1731" s="21"/>
      <c r="L1731" s="35"/>
    </row>
    <row r="1732" spans="2:12" s="4" customFormat="1" outlineLevel="1" x14ac:dyDescent="0.4">
      <c r="B1732" s="20"/>
      <c r="C1732" s="164" t="s">
        <v>151</v>
      </c>
      <c r="D1732" s="164" t="s">
        <v>140</v>
      </c>
      <c r="E1732" s="21"/>
      <c r="F1732" s="21"/>
      <c r="G1732" s="21"/>
      <c r="H1732" s="21"/>
      <c r="I1732" s="21"/>
      <c r="J1732" s="21"/>
      <c r="K1732" s="21"/>
      <c r="L1732" s="35"/>
    </row>
    <row r="1733" spans="2:12" s="4" customFormat="1" outlineLevel="1" x14ac:dyDescent="0.4">
      <c r="B1733" s="20"/>
      <c r="C1733" s="138"/>
      <c r="D1733" s="135"/>
      <c r="E1733" s="21"/>
      <c r="F1733" s="21"/>
      <c r="G1733" s="21"/>
      <c r="H1733" s="21"/>
      <c r="I1733" s="21"/>
      <c r="J1733" s="21"/>
      <c r="K1733" s="21"/>
      <c r="L1733" s="35"/>
    </row>
    <row r="1734" spans="2:12" s="4" customFormat="1" ht="12.75" customHeight="1" outlineLevel="1" x14ac:dyDescent="0.4">
      <c r="B1734" s="28"/>
      <c r="C1734" s="29"/>
      <c r="D1734" s="29"/>
      <c r="E1734" s="29"/>
      <c r="F1734" s="29"/>
      <c r="G1734" s="29"/>
      <c r="H1734" s="29"/>
      <c r="I1734" s="29"/>
      <c r="J1734" s="29"/>
      <c r="K1734" s="29"/>
      <c r="L1734" s="60"/>
    </row>
    <row r="1735" spans="2:12" s="4" customFormat="1" ht="3" customHeight="1" x14ac:dyDescent="0.4"/>
    <row r="1736" spans="2:12" s="4" customFormat="1" ht="8.4" hidden="1" customHeight="1" x14ac:dyDescent="0.4"/>
    <row r="1737" spans="2:12" s="1" customFormat="1" ht="11.1" hidden="1" customHeight="1" x14ac:dyDescent="0.35">
      <c r="B1737" s="2"/>
      <c r="C1737" s="3"/>
      <c r="E1737" s="2"/>
    </row>
    <row r="1738" spans="2:12" s="4" customFormat="1" ht="15.9" hidden="1" customHeight="1" x14ac:dyDescent="0.4"/>
    <row r="1739" spans="2:12" s="4" customFormat="1" ht="15.9" hidden="1" customHeight="1" x14ac:dyDescent="0.4"/>
    <row r="1740" spans="2:12" s="4" customFormat="1" ht="15.9" hidden="1" customHeight="1" x14ac:dyDescent="0.4"/>
    <row r="1741" spans="2:12" s="4" customFormat="1" hidden="1" x14ac:dyDescent="0.4"/>
    <row r="1742" spans="2:12" s="4" customFormat="1" ht="15.9" hidden="1" customHeight="1" x14ac:dyDescent="0.4"/>
    <row r="1743" spans="2:12" s="4" customFormat="1" ht="15.9" hidden="1" customHeight="1" x14ac:dyDescent="0.4"/>
    <row r="1744" spans="2:12" s="4" customFormat="1" hidden="1" x14ac:dyDescent="0.4"/>
    <row r="1745" spans="2:12" s="1" customFormat="1" ht="11.1" hidden="1" customHeight="1" x14ac:dyDescent="0.35">
      <c r="B1745" s="2"/>
      <c r="C1745" s="3"/>
      <c r="E1745" s="2"/>
    </row>
    <row r="1746" spans="2:12" s="4" customFormat="1" ht="15.9" hidden="1" customHeight="1" x14ac:dyDescent="0.4"/>
    <row r="1747" spans="2:12" s="4" customFormat="1" ht="15.9" hidden="1" customHeight="1" x14ac:dyDescent="0.4"/>
    <row r="1748" spans="2:12" s="4" customFormat="1" ht="15.9" hidden="1" customHeight="1" x14ac:dyDescent="0.4"/>
    <row r="1749" spans="2:12" s="4" customFormat="1" hidden="1" x14ac:dyDescent="0.4"/>
    <row r="1750" spans="2:12" s="4" customFormat="1" hidden="1" x14ac:dyDescent="0.4"/>
    <row r="1751" spans="2:12" s="4" customFormat="1" hidden="1" x14ac:dyDescent="0.4"/>
    <row r="1752" spans="2:12" s="4" customFormat="1" hidden="1" x14ac:dyDescent="0.4"/>
    <row r="1753" spans="2:12" s="4" customFormat="1" hidden="1" x14ac:dyDescent="0.4"/>
    <row r="1754" spans="2:12" s="4" customFormat="1" hidden="1" x14ac:dyDescent="0.4"/>
    <row r="1755" spans="2:12" s="4" customFormat="1" hidden="1" x14ac:dyDescent="0.4"/>
    <row r="1756" spans="2:12" s="4" customFormat="1" hidden="1" x14ac:dyDescent="0.4"/>
    <row r="1757" spans="2:12" s="4" customFormat="1" x14ac:dyDescent="0.4"/>
    <row r="1758" spans="2:12" s="4" customFormat="1" ht="19.2" x14ac:dyDescent="0.45">
      <c r="B1758" s="754" t="str">
        <f>"Transport to Plant"&amp;" - "&amp;Feedstocks!C52</f>
        <v xml:space="preserve">Transport to Plant - </v>
      </c>
      <c r="C1758" s="755"/>
      <c r="D1758" s="755"/>
      <c r="E1758" s="755"/>
      <c r="F1758" s="755"/>
      <c r="G1758" s="755"/>
      <c r="H1758" s="755"/>
      <c r="I1758" s="755"/>
      <c r="J1758" s="755"/>
      <c r="K1758" s="755"/>
      <c r="L1758" s="756"/>
    </row>
    <row r="1759" spans="2:12" s="4" customFormat="1" outlineLevel="1" x14ac:dyDescent="0.4">
      <c r="B1759" s="17"/>
      <c r="C1759" s="18"/>
      <c r="D1759" s="19"/>
      <c r="E1759" s="19"/>
      <c r="F1759" s="19"/>
      <c r="G1759" s="19"/>
      <c r="H1759" s="19"/>
      <c r="I1759" s="19"/>
      <c r="J1759" s="19"/>
      <c r="K1759" s="19"/>
      <c r="L1759" s="50"/>
    </row>
    <row r="1760" spans="2:12" s="4" customFormat="1" outlineLevel="1" x14ac:dyDescent="0.4">
      <c r="B1760" s="20"/>
      <c r="C1760" s="174" t="s">
        <v>87</v>
      </c>
      <c r="D1760" s="778" t="str">
        <f>IF(Feedstocks!$C$52&gt;0,Feedstocks!$C$52,"")</f>
        <v/>
      </c>
      <c r="E1760" s="778"/>
      <c r="F1760" s="778"/>
      <c r="G1760" s="1"/>
      <c r="H1760" s="303" t="s">
        <v>122</v>
      </c>
      <c r="I1760" s="47"/>
      <c r="J1760" s="47"/>
      <c r="K1760" s="61"/>
      <c r="L1760" s="35"/>
    </row>
    <row r="1761" spans="2:12" s="4" customFormat="1" outlineLevel="1" x14ac:dyDescent="0.4">
      <c r="B1761" s="20"/>
      <c r="C1761" s="1"/>
      <c r="D1761" s="1"/>
      <c r="E1761" s="1"/>
      <c r="F1761" s="1"/>
      <c r="G1761" s="76"/>
      <c r="H1761" s="43"/>
      <c r="I1761" s="36"/>
      <c r="J1761" s="164" t="s">
        <v>124</v>
      </c>
      <c r="K1761" s="44"/>
      <c r="L1761" s="35"/>
    </row>
    <row r="1762" spans="2:12" s="12" customFormat="1" ht="15" outlineLevel="1" x14ac:dyDescent="0.35">
      <c r="B1762" s="20"/>
      <c r="C1762" s="1"/>
      <c r="D1762" s="1"/>
      <c r="E1762" s="1"/>
      <c r="F1762" s="1"/>
      <c r="G1762" s="1"/>
      <c r="H1762" s="43"/>
      <c r="I1762" s="164" t="s">
        <v>125</v>
      </c>
      <c r="J1762" s="52" t="str">
        <f>IFERROR((J1765/(('Digestion &amp; outputs'!$G$53/1000)))*'Digestion &amp; outputs'!$K$23,"")</f>
        <v/>
      </c>
      <c r="K1762" s="44"/>
      <c r="L1762" s="54"/>
    </row>
    <row r="1763" spans="2:12" s="4" customFormat="1" outlineLevel="1" x14ac:dyDescent="0.4">
      <c r="B1763" s="20"/>
      <c r="C1763" s="164" t="s">
        <v>163</v>
      </c>
      <c r="D1763" s="134" t="s">
        <v>164</v>
      </c>
      <c r="E1763" s="1"/>
      <c r="F1763" s="1"/>
      <c r="G1763" s="1"/>
      <c r="H1763" s="41"/>
      <c r="I1763" s="34"/>
      <c r="J1763" s="34"/>
      <c r="K1763" s="37"/>
      <c r="L1763" s="35"/>
    </row>
    <row r="1764" spans="2:12" s="4" customFormat="1" outlineLevel="1" x14ac:dyDescent="0.4">
      <c r="B1764" s="20"/>
      <c r="C1764" s="164" t="s">
        <v>165</v>
      </c>
      <c r="D1764" s="143"/>
      <c r="E1764" s="1"/>
      <c r="F1764" s="1"/>
      <c r="G1764" s="1"/>
      <c r="H1764" s="41"/>
      <c r="I1764" s="36"/>
      <c r="J1764" s="164" t="s">
        <v>141</v>
      </c>
      <c r="K1764" s="37"/>
      <c r="L1764" s="35"/>
    </row>
    <row r="1765" spans="2:12" s="4" customFormat="1" outlineLevel="1" x14ac:dyDescent="0.4">
      <c r="B1765" s="20"/>
      <c r="C1765" s="164" t="s">
        <v>160</v>
      </c>
      <c r="D1765" s="134" t="s">
        <v>166</v>
      </c>
      <c r="E1765" s="1"/>
      <c r="F1765" s="1"/>
      <c r="G1765" s="1"/>
      <c r="H1765" s="42"/>
      <c r="I1765" s="164" t="s">
        <v>167</v>
      </c>
      <c r="J1765" s="52">
        <f>IFERROR(J1770,"Insert data")</f>
        <v>0</v>
      </c>
      <c r="K1765" s="62"/>
      <c r="L1765" s="35"/>
    </row>
    <row r="1766" spans="2:12" s="4" customFormat="1" outlineLevel="1" x14ac:dyDescent="0.4">
      <c r="B1766" s="20"/>
      <c r="C1766" s="21"/>
      <c r="D1766" s="21"/>
      <c r="E1766" s="21"/>
      <c r="F1766" s="21"/>
      <c r="G1766" s="21"/>
      <c r="H1766" s="46"/>
      <c r="I1766" s="58"/>
      <c r="J1766" s="58"/>
      <c r="K1766" s="59"/>
      <c r="L1766" s="35"/>
    </row>
    <row r="1767" spans="2:12" s="4" customFormat="1" outlineLevel="1" x14ac:dyDescent="0.4">
      <c r="B1767" s="20"/>
      <c r="C1767" s="25" t="s">
        <v>168</v>
      </c>
      <c r="D1767" s="21"/>
      <c r="E1767" s="21"/>
      <c r="F1767" s="21"/>
      <c r="G1767" s="21"/>
      <c r="H1767" s="21"/>
      <c r="I1767" s="21"/>
      <c r="J1767" s="21"/>
      <c r="K1767" s="21"/>
      <c r="L1767" s="35"/>
    </row>
    <row r="1768" spans="2:12" s="14" customFormat="1" ht="30.6" outlineLevel="1" x14ac:dyDescent="0.4">
      <c r="B1768" s="23"/>
      <c r="C1768" s="166" t="s">
        <v>131</v>
      </c>
      <c r="D1768" s="166" t="s">
        <v>169</v>
      </c>
      <c r="E1768" s="166" t="s">
        <v>170</v>
      </c>
      <c r="F1768" s="166" t="s">
        <v>171</v>
      </c>
      <c r="G1768" s="24"/>
      <c r="H1768" s="303" t="s">
        <v>136</v>
      </c>
      <c r="I1768" s="47"/>
      <c r="J1768" s="47"/>
      <c r="K1768" s="45"/>
      <c r="L1768" s="63"/>
    </row>
    <row r="1769" spans="2:12" s="4" customFormat="1" outlineLevel="1" x14ac:dyDescent="0.4">
      <c r="B1769" s="20"/>
      <c r="C1769" s="138" t="s">
        <v>96</v>
      </c>
      <c r="D1769" s="93">
        <v>1</v>
      </c>
      <c r="E1769" s="135"/>
      <c r="F1769" s="31">
        <f>IFERROR(IF(OR(C1769="Default",D1763="No transport required"),D1769,IF(ISBLANK(E1769),"Insert data",E1769)),"")</f>
        <v>1</v>
      </c>
      <c r="G1769" s="21"/>
      <c r="H1769" s="41"/>
      <c r="I1769" s="36"/>
      <c r="J1769" s="164" t="s">
        <v>141</v>
      </c>
      <c r="K1769" s="37"/>
      <c r="L1769" s="35"/>
    </row>
    <row r="1770" spans="2:12" s="4" customFormat="1" outlineLevel="1" x14ac:dyDescent="0.4">
      <c r="B1770" s="20"/>
      <c r="C1770" s="21"/>
      <c r="D1770" s="21"/>
      <c r="E1770" s="692" t="str">
        <f>IF(E1769&gt;1, "this should not be greater than 1", "")</f>
        <v/>
      </c>
      <c r="F1770" s="21"/>
      <c r="G1770" s="21"/>
      <c r="H1770" s="42"/>
      <c r="I1770" s="164" t="s">
        <v>172</v>
      </c>
      <c r="J1770" s="52">
        <f>IF(D1763="No transport required",0,IFERROR(E1773*INDEX(Fuel_EFs,MATCH(D1765,Fuels_for_EF,0))*D1764/1000,"Insert data"))</f>
        <v>0</v>
      </c>
      <c r="K1770" s="62"/>
      <c r="L1770" s="35"/>
    </row>
    <row r="1771" spans="2:12" s="4" customFormat="1" outlineLevel="1" x14ac:dyDescent="0.4">
      <c r="B1771" s="20"/>
      <c r="C1771" s="25" t="s">
        <v>173</v>
      </c>
      <c r="D1771" s="21"/>
      <c r="E1771" s="21"/>
      <c r="F1771" s="21"/>
      <c r="G1771" s="21"/>
      <c r="H1771" s="46"/>
      <c r="I1771" s="58"/>
      <c r="J1771" s="58"/>
      <c r="K1771" s="59"/>
      <c r="L1771" s="35"/>
    </row>
    <row r="1772" spans="2:12" s="14" customFormat="1" outlineLevel="1" x14ac:dyDescent="0.4">
      <c r="B1772" s="23"/>
      <c r="C1772" s="176" t="s">
        <v>174</v>
      </c>
      <c r="D1772" s="166" t="s">
        <v>175</v>
      </c>
      <c r="E1772" s="166" t="s">
        <v>176</v>
      </c>
      <c r="F1772" s="24"/>
      <c r="G1772" s="24"/>
      <c r="H1772" s="4"/>
      <c r="I1772" s="4"/>
      <c r="J1772" s="4"/>
      <c r="K1772" s="4"/>
      <c r="L1772" s="63"/>
    </row>
    <row r="1773" spans="2:12" s="4" customFormat="1" outlineLevel="1" x14ac:dyDescent="0.4">
      <c r="B1773" s="20"/>
      <c r="C1773" s="138" t="s">
        <v>96</v>
      </c>
      <c r="D1773" s="93">
        <f>IFERROR(INDEX(Transport_Fuel_Efficiencies,MATCH(D1763,Transport_Modes,0)),"Insert data")</f>
        <v>0</v>
      </c>
      <c r="E1773" s="31">
        <f>IFERROR(IF(C1773="Default",D1773,IF(OR(ISBLANK(E1775),ISBLANK(D1779),ISBLANK(D1783)),"Insert data",(IF(C1779="litres",(D1779*(INDEX(Fuel_Densities,MATCH(D1765,Fuels_for_Densities,0))/1000)*INDEX(Fuel_LHV,MATCH(D1765,Fuels_for_LHV,0)))/(D1783*D1764),(IF(C1779="m3",(D1779*(INDEX(Fuel_Densities,MATCH(D1765,Fuels_for_Densities,0)))*INDEX(Fuel_LHV,MATCH(D1765,Fuels_for_LHV,0)))/(D1783*D1764),IF(C1779="kg",(D1779*INDEX(Fuel_LHV,MATCH(D1765,Fuels_for_LHV,0)))/(D1783*D1764),IF(C1779="tonnes",(D1779*INDEX(Fuel_LHV,MATCH(D1765,Fuels_for_LHV,0))*1000)/(D1783*D1764),IF(C1779="MWh",(D1779*'Reference values'!$D$47)/(D1783*D1764),IF(C1779="kWh",(D1779*'Reference values'!$D$47/1000)/(D1783*D1764),"Insert unit")))))))))),"")</f>
        <v>0</v>
      </c>
      <c r="F1773" s="21"/>
      <c r="G1773" s="21"/>
      <c r="L1773" s="35"/>
    </row>
    <row r="1774" spans="2:12" s="4" customFormat="1" outlineLevel="1" x14ac:dyDescent="0.4">
      <c r="B1774" s="20"/>
      <c r="C1774" s="21"/>
      <c r="D1774" s="21"/>
      <c r="E1774" s="21"/>
      <c r="F1774" s="21"/>
      <c r="G1774" s="21"/>
      <c r="H1774" s="21"/>
      <c r="I1774" s="21"/>
      <c r="J1774" s="21"/>
      <c r="K1774" s="21"/>
      <c r="L1774" s="35"/>
    </row>
    <row r="1775" spans="2:12" s="4" customFormat="1" ht="16.5" customHeight="1" outlineLevel="1" x14ac:dyDescent="0.4">
      <c r="B1775" s="20"/>
      <c r="C1775" s="759" t="s">
        <v>177</v>
      </c>
      <c r="D1775" s="759"/>
      <c r="E1775" s="135" t="s">
        <v>178</v>
      </c>
      <c r="F1775" s="21"/>
      <c r="G1775" s="21"/>
      <c r="L1775" s="35"/>
    </row>
    <row r="1776" spans="2:12" s="4" customFormat="1" ht="12.75" customHeight="1" outlineLevel="1" x14ac:dyDescent="0.4">
      <c r="B1776" s="20"/>
      <c r="C1776" s="21"/>
      <c r="D1776" s="21"/>
      <c r="E1776" s="21"/>
      <c r="F1776" s="21"/>
      <c r="G1776" s="21"/>
      <c r="L1776" s="35"/>
    </row>
    <row r="1777" spans="2:12" s="4" customFormat="1" outlineLevel="1" x14ac:dyDescent="0.4">
      <c r="B1777" s="20"/>
      <c r="C1777" s="25" t="str">
        <f>IF(E1775="yes", "Fuel demand for outward journey",IF(E1775="No","Fuel demand for full journey (outward and return)",""))</f>
        <v>Fuel demand for full journey (outward and return)</v>
      </c>
      <c r="D1777" s="21"/>
      <c r="E1777" s="21"/>
      <c r="F1777" s="21"/>
      <c r="G1777" s="21"/>
      <c r="H1777" s="21"/>
      <c r="I1777" s="21"/>
      <c r="J1777" s="21"/>
      <c r="K1777" s="21"/>
      <c r="L1777" s="35"/>
    </row>
    <row r="1778" spans="2:12" s="4" customFormat="1" outlineLevel="1" x14ac:dyDescent="0.4">
      <c r="B1778" s="20"/>
      <c r="C1778" s="164" t="s">
        <v>151</v>
      </c>
      <c r="D1778" s="164" t="s">
        <v>140</v>
      </c>
      <c r="E1778" s="21"/>
      <c r="F1778" s="21"/>
      <c r="G1778" s="21"/>
      <c r="H1778" s="21"/>
      <c r="I1778" s="21"/>
      <c r="J1778" s="21"/>
      <c r="K1778" s="21"/>
      <c r="L1778" s="35"/>
    </row>
    <row r="1779" spans="2:12" s="4" customFormat="1" outlineLevel="1" x14ac:dyDescent="0.4">
      <c r="B1779" s="20"/>
      <c r="C1779" s="138"/>
      <c r="D1779" s="135"/>
      <c r="E1779" s="21"/>
      <c r="F1779" s="21"/>
      <c r="G1779" s="21"/>
      <c r="H1779" s="21"/>
      <c r="I1779" s="21"/>
      <c r="J1779" s="21"/>
      <c r="K1779" s="21"/>
      <c r="L1779" s="35"/>
    </row>
    <row r="1780" spans="2:12" s="4" customFormat="1" outlineLevel="1" x14ac:dyDescent="0.4">
      <c r="B1780" s="20"/>
      <c r="C1780" s="21"/>
      <c r="D1780" s="21"/>
      <c r="E1780" s="21"/>
      <c r="F1780" s="21"/>
      <c r="G1780" s="21"/>
      <c r="H1780" s="21"/>
      <c r="I1780" s="21"/>
      <c r="J1780" s="21"/>
      <c r="K1780" s="21"/>
      <c r="L1780" s="35"/>
    </row>
    <row r="1781" spans="2:12" s="4" customFormat="1" outlineLevel="1" x14ac:dyDescent="0.4">
      <c r="B1781" s="20"/>
      <c r="C1781" s="25" t="s">
        <v>180</v>
      </c>
      <c r="D1781" s="21"/>
      <c r="E1781" s="21"/>
      <c r="F1781" s="21"/>
      <c r="G1781" s="21"/>
      <c r="H1781" s="21"/>
      <c r="I1781" s="21"/>
      <c r="J1781" s="21"/>
      <c r="K1781" s="21"/>
      <c r="L1781" s="35"/>
    </row>
    <row r="1782" spans="2:12" s="4" customFormat="1" outlineLevel="1" x14ac:dyDescent="0.4">
      <c r="B1782" s="20"/>
      <c r="C1782" s="164" t="s">
        <v>151</v>
      </c>
      <c r="D1782" s="164" t="s">
        <v>140</v>
      </c>
      <c r="E1782" s="21"/>
      <c r="F1782" s="21"/>
      <c r="G1782" s="21"/>
      <c r="H1782" s="21"/>
      <c r="I1782" s="21"/>
      <c r="J1782" s="21"/>
      <c r="K1782" s="21"/>
      <c r="L1782" s="35"/>
    </row>
    <row r="1783" spans="2:12" s="4" customFormat="1" outlineLevel="1" x14ac:dyDescent="0.4">
      <c r="B1783" s="20"/>
      <c r="C1783" s="138"/>
      <c r="D1783" s="135"/>
      <c r="E1783" s="21"/>
      <c r="F1783" s="21"/>
      <c r="G1783" s="21"/>
      <c r="H1783" s="21"/>
      <c r="I1783" s="21"/>
      <c r="J1783" s="21"/>
      <c r="K1783" s="21"/>
      <c r="L1783" s="35"/>
    </row>
    <row r="1784" spans="2:12" s="4" customFormat="1" ht="12.75" customHeight="1" outlineLevel="1" x14ac:dyDescent="0.4">
      <c r="B1784" s="28"/>
      <c r="C1784" s="29"/>
      <c r="D1784" s="29"/>
      <c r="E1784" s="29"/>
      <c r="F1784" s="29"/>
      <c r="G1784" s="29"/>
      <c r="H1784" s="29"/>
      <c r="I1784" s="29"/>
      <c r="J1784" s="29"/>
      <c r="K1784" s="29"/>
      <c r="L1784" s="60"/>
    </row>
    <row r="1785" spans="2:12" s="4" customFormat="1" ht="3" customHeight="1" x14ac:dyDescent="0.4"/>
    <row r="1786" spans="2:12" s="4" customFormat="1" ht="8.4" hidden="1" customHeight="1" x14ac:dyDescent="0.4"/>
    <row r="1787" spans="2:12" s="1" customFormat="1" ht="11.1" hidden="1" customHeight="1" x14ac:dyDescent="0.35">
      <c r="B1787" s="2"/>
      <c r="C1787" s="3"/>
      <c r="E1787" s="2"/>
    </row>
    <row r="1788" spans="2:12" s="4" customFormat="1" ht="15.9" hidden="1" customHeight="1" x14ac:dyDescent="0.4"/>
    <row r="1789" spans="2:12" s="4" customFormat="1" ht="15.9" hidden="1" customHeight="1" x14ac:dyDescent="0.4"/>
    <row r="1790" spans="2:12" s="4" customFormat="1" ht="15.9" hidden="1" customHeight="1" x14ac:dyDescent="0.4"/>
    <row r="1791" spans="2:12" s="4" customFormat="1" hidden="1" x14ac:dyDescent="0.4"/>
    <row r="1792" spans="2:12" s="4" customFormat="1" ht="15.9" hidden="1" customHeight="1" x14ac:dyDescent="0.4"/>
    <row r="1793" spans="2:12" s="4" customFormat="1" ht="15.9" hidden="1" customHeight="1" x14ac:dyDescent="0.4"/>
    <row r="1794" spans="2:12" s="4" customFormat="1" hidden="1" x14ac:dyDescent="0.4"/>
    <row r="1795" spans="2:12" s="1" customFormat="1" ht="11.1" hidden="1" customHeight="1" x14ac:dyDescent="0.35">
      <c r="B1795" s="2"/>
      <c r="C1795" s="3"/>
      <c r="E1795" s="2"/>
    </row>
    <row r="1796" spans="2:12" s="4" customFormat="1" ht="15.9" hidden="1" customHeight="1" x14ac:dyDescent="0.4"/>
    <row r="1797" spans="2:12" s="4" customFormat="1" ht="15.9" hidden="1" customHeight="1" x14ac:dyDescent="0.4"/>
    <row r="1798" spans="2:12" s="4" customFormat="1" ht="15.9" hidden="1" customHeight="1" x14ac:dyDescent="0.4"/>
    <row r="1799" spans="2:12" s="4" customFormat="1" hidden="1" x14ac:dyDescent="0.4"/>
    <row r="1800" spans="2:12" s="4" customFormat="1" hidden="1" x14ac:dyDescent="0.4"/>
    <row r="1801" spans="2:12" s="4" customFormat="1" hidden="1" x14ac:dyDescent="0.4"/>
    <row r="1802" spans="2:12" s="4" customFormat="1" hidden="1" x14ac:dyDescent="0.4"/>
    <row r="1803" spans="2:12" s="4" customFormat="1" hidden="1" x14ac:dyDescent="0.4"/>
    <row r="1804" spans="2:12" s="4" customFormat="1" hidden="1" x14ac:dyDescent="0.4"/>
    <row r="1805" spans="2:12" s="4" customFormat="1" hidden="1" x14ac:dyDescent="0.4"/>
    <row r="1806" spans="2:12" s="4" customFormat="1" hidden="1" x14ac:dyDescent="0.4"/>
    <row r="1807" spans="2:12" s="4" customFormat="1" x14ac:dyDescent="0.4"/>
    <row r="1808" spans="2:12" s="4" customFormat="1" ht="19.2" x14ac:dyDescent="0.45">
      <c r="B1808" s="754" t="str">
        <f>"Transport to Plant"&amp;" - "&amp;Feedstocks!C53</f>
        <v xml:space="preserve">Transport to Plant - </v>
      </c>
      <c r="C1808" s="755"/>
      <c r="D1808" s="755"/>
      <c r="E1808" s="755"/>
      <c r="F1808" s="755"/>
      <c r="G1808" s="755"/>
      <c r="H1808" s="755"/>
      <c r="I1808" s="755"/>
      <c r="J1808" s="755"/>
      <c r="K1808" s="755"/>
      <c r="L1808" s="756"/>
    </row>
    <row r="1809" spans="2:12" s="4" customFormat="1" outlineLevel="1" x14ac:dyDescent="0.4">
      <c r="B1809" s="17"/>
      <c r="C1809" s="18"/>
      <c r="D1809" s="19"/>
      <c r="E1809" s="19"/>
      <c r="F1809" s="19"/>
      <c r="G1809" s="19"/>
      <c r="H1809" s="19"/>
      <c r="I1809" s="19"/>
      <c r="J1809" s="19"/>
      <c r="K1809" s="19"/>
      <c r="L1809" s="50"/>
    </row>
    <row r="1810" spans="2:12" s="4" customFormat="1" outlineLevel="1" x14ac:dyDescent="0.4">
      <c r="B1810" s="20"/>
      <c r="C1810" s="174" t="s">
        <v>87</v>
      </c>
      <c r="D1810" s="778" t="str">
        <f>IF(Feedstocks!$C$53&gt;0,Feedstocks!$C$53,"")</f>
        <v/>
      </c>
      <c r="E1810" s="778"/>
      <c r="F1810" s="778"/>
      <c r="G1810" s="1"/>
      <c r="H1810" s="303" t="s">
        <v>122</v>
      </c>
      <c r="I1810" s="47"/>
      <c r="J1810" s="47"/>
      <c r="K1810" s="61"/>
      <c r="L1810" s="35"/>
    </row>
    <row r="1811" spans="2:12" s="4" customFormat="1" outlineLevel="1" x14ac:dyDescent="0.4">
      <c r="B1811" s="20"/>
      <c r="C1811" s="1"/>
      <c r="D1811" s="1"/>
      <c r="E1811" s="1"/>
      <c r="F1811" s="1"/>
      <c r="G1811" s="76"/>
      <c r="H1811" s="43"/>
      <c r="I1811" s="36"/>
      <c r="J1811" s="164" t="s">
        <v>124</v>
      </c>
      <c r="K1811" s="44"/>
      <c r="L1811" s="35"/>
    </row>
    <row r="1812" spans="2:12" s="12" customFormat="1" ht="15" outlineLevel="1" x14ac:dyDescent="0.35">
      <c r="B1812" s="20"/>
      <c r="C1812" s="1"/>
      <c r="D1812" s="1"/>
      <c r="E1812" s="1"/>
      <c r="F1812" s="1"/>
      <c r="G1812" s="1"/>
      <c r="H1812" s="43"/>
      <c r="I1812" s="164" t="s">
        <v>125</v>
      </c>
      <c r="J1812" s="52" t="str">
        <f>IFERROR((J1815/(('Digestion &amp; outputs'!$G$54/1000)))*'Digestion &amp; outputs'!$K$23,"")</f>
        <v/>
      </c>
      <c r="K1812" s="44"/>
      <c r="L1812" s="54"/>
    </row>
    <row r="1813" spans="2:12" s="4" customFormat="1" outlineLevel="1" x14ac:dyDescent="0.4">
      <c r="B1813" s="20"/>
      <c r="C1813" s="164" t="s">
        <v>163</v>
      </c>
      <c r="D1813" s="134" t="s">
        <v>164</v>
      </c>
      <c r="E1813" s="1"/>
      <c r="F1813" s="1"/>
      <c r="G1813" s="1"/>
      <c r="H1813" s="41"/>
      <c r="I1813" s="34"/>
      <c r="J1813" s="34"/>
      <c r="K1813" s="37"/>
      <c r="L1813" s="35"/>
    </row>
    <row r="1814" spans="2:12" s="4" customFormat="1" outlineLevel="1" x14ac:dyDescent="0.4">
      <c r="B1814" s="20"/>
      <c r="C1814" s="164" t="s">
        <v>165</v>
      </c>
      <c r="D1814" s="143"/>
      <c r="E1814" s="1"/>
      <c r="F1814" s="1"/>
      <c r="G1814" s="1"/>
      <c r="H1814" s="41"/>
      <c r="I1814" s="36"/>
      <c r="J1814" s="164" t="s">
        <v>141</v>
      </c>
      <c r="K1814" s="37"/>
      <c r="L1814" s="35"/>
    </row>
    <row r="1815" spans="2:12" s="4" customFormat="1" outlineLevel="1" x14ac:dyDescent="0.4">
      <c r="B1815" s="20"/>
      <c r="C1815" s="164" t="s">
        <v>160</v>
      </c>
      <c r="D1815" s="134" t="s">
        <v>166</v>
      </c>
      <c r="E1815" s="1"/>
      <c r="F1815" s="1"/>
      <c r="G1815" s="1"/>
      <c r="H1815" s="42"/>
      <c r="I1815" s="164" t="s">
        <v>167</v>
      </c>
      <c r="J1815" s="52">
        <f>IFERROR(J1820,"Insert data")</f>
        <v>0</v>
      </c>
      <c r="K1815" s="62"/>
      <c r="L1815" s="35"/>
    </row>
    <row r="1816" spans="2:12" s="4" customFormat="1" outlineLevel="1" x14ac:dyDescent="0.4">
      <c r="B1816" s="20"/>
      <c r="C1816" s="21"/>
      <c r="D1816" s="21"/>
      <c r="E1816" s="21"/>
      <c r="F1816" s="21"/>
      <c r="G1816" s="21"/>
      <c r="H1816" s="46"/>
      <c r="I1816" s="58"/>
      <c r="J1816" s="58"/>
      <c r="K1816" s="59"/>
      <c r="L1816" s="35"/>
    </row>
    <row r="1817" spans="2:12" s="4" customFormat="1" outlineLevel="1" x14ac:dyDescent="0.4">
      <c r="B1817" s="20"/>
      <c r="C1817" s="25" t="s">
        <v>168</v>
      </c>
      <c r="D1817" s="21"/>
      <c r="E1817" s="21"/>
      <c r="F1817" s="21"/>
      <c r="G1817" s="21"/>
      <c r="H1817" s="21"/>
      <c r="I1817" s="21"/>
      <c r="J1817" s="21"/>
      <c r="K1817" s="21"/>
      <c r="L1817" s="35"/>
    </row>
    <row r="1818" spans="2:12" s="14" customFormat="1" ht="30.6" outlineLevel="1" x14ac:dyDescent="0.4">
      <c r="B1818" s="23"/>
      <c r="C1818" s="166" t="s">
        <v>131</v>
      </c>
      <c r="D1818" s="166" t="s">
        <v>169</v>
      </c>
      <c r="E1818" s="166" t="s">
        <v>170</v>
      </c>
      <c r="F1818" s="166" t="s">
        <v>171</v>
      </c>
      <c r="G1818" s="24"/>
      <c r="H1818" s="303" t="s">
        <v>136</v>
      </c>
      <c r="I1818" s="47"/>
      <c r="J1818" s="47"/>
      <c r="K1818" s="45"/>
      <c r="L1818" s="63"/>
    </row>
    <row r="1819" spans="2:12" s="4" customFormat="1" outlineLevel="1" x14ac:dyDescent="0.4">
      <c r="B1819" s="20"/>
      <c r="C1819" s="138" t="s">
        <v>96</v>
      </c>
      <c r="D1819" s="93">
        <v>1</v>
      </c>
      <c r="E1819" s="135"/>
      <c r="F1819" s="31">
        <f>IFERROR(IF(OR(C1819="Default",D1813="No transport required"),D1819,IF(ISBLANK(E1819),"Insert data",E1819)),"")</f>
        <v>1</v>
      </c>
      <c r="G1819" s="21"/>
      <c r="H1819" s="41"/>
      <c r="I1819" s="36"/>
      <c r="J1819" s="164" t="s">
        <v>141</v>
      </c>
      <c r="K1819" s="37"/>
      <c r="L1819" s="35"/>
    </row>
    <row r="1820" spans="2:12" s="4" customFormat="1" outlineLevel="1" x14ac:dyDescent="0.4">
      <c r="B1820" s="20"/>
      <c r="C1820" s="21"/>
      <c r="D1820" s="21"/>
      <c r="E1820" s="692" t="str">
        <f>IF(E1819&gt;1, "this should not be greater than 1", "")</f>
        <v/>
      </c>
      <c r="F1820" s="21"/>
      <c r="G1820" s="21"/>
      <c r="H1820" s="42"/>
      <c r="I1820" s="164" t="s">
        <v>172</v>
      </c>
      <c r="J1820" s="52">
        <f>IF(D1813="No transport required",0,IFERROR(E1823*INDEX(Fuel_EFs,MATCH(D1815,Fuels_for_EF,0))*D1814/1000,"Insert data"))</f>
        <v>0</v>
      </c>
      <c r="K1820" s="62"/>
      <c r="L1820" s="35"/>
    </row>
    <row r="1821" spans="2:12" s="4" customFormat="1" outlineLevel="1" x14ac:dyDescent="0.4">
      <c r="B1821" s="20"/>
      <c r="C1821" s="25" t="s">
        <v>173</v>
      </c>
      <c r="D1821" s="21"/>
      <c r="E1821" s="21"/>
      <c r="F1821" s="21"/>
      <c r="G1821" s="21"/>
      <c r="H1821" s="46"/>
      <c r="I1821" s="58"/>
      <c r="J1821" s="58"/>
      <c r="K1821" s="59"/>
      <c r="L1821" s="35"/>
    </row>
    <row r="1822" spans="2:12" s="14" customFormat="1" outlineLevel="1" x14ac:dyDescent="0.4">
      <c r="B1822" s="23"/>
      <c r="C1822" s="176" t="s">
        <v>174</v>
      </c>
      <c r="D1822" s="166" t="s">
        <v>175</v>
      </c>
      <c r="E1822" s="166" t="s">
        <v>176</v>
      </c>
      <c r="F1822" s="24"/>
      <c r="G1822" s="24"/>
      <c r="H1822" s="4"/>
      <c r="I1822" s="4"/>
      <c r="J1822" s="4"/>
      <c r="K1822" s="4"/>
      <c r="L1822" s="63"/>
    </row>
    <row r="1823" spans="2:12" s="4" customFormat="1" outlineLevel="1" x14ac:dyDescent="0.4">
      <c r="B1823" s="20"/>
      <c r="C1823" s="138" t="s">
        <v>96</v>
      </c>
      <c r="D1823" s="93">
        <f>IFERROR(INDEX(Transport_Fuel_Efficiencies,MATCH(D1813,Transport_Modes,0)),"Insert data")</f>
        <v>0</v>
      </c>
      <c r="E1823" s="31">
        <f>IFERROR(IF(C1823="Default",D1823,IF(OR(ISBLANK(E1825),ISBLANK(D1829),ISBLANK(D1833)),"Insert data",(IF(C1829="litres",(D1829*(INDEX(Fuel_Densities,MATCH(D1815,Fuels_for_Densities,0))/1000)*INDEX(Fuel_LHV,MATCH(D1815,Fuels_for_LHV,0)))/(D1833*D1814),(IF(C1829="m3",(D1829*(INDEX(Fuel_Densities,MATCH(D1815,Fuels_for_Densities,0)))*INDEX(Fuel_LHV,MATCH(D1815,Fuels_for_LHV,0)))/(D1833*D1814),IF(C1829="kg",(D1829*INDEX(Fuel_LHV,MATCH(D1815,Fuels_for_LHV,0)))/(D1833*D1814),IF(C1829="tonnes",(D1829*INDEX(Fuel_LHV,MATCH(D1815,Fuels_for_LHV,0))*1000)/(D1833*D1814),IF(C1829="MWh",(D1829*'Reference values'!$D$47)/(D1833*D1814),IF(C1829="kWh",(D1829*'Reference values'!$D$47/1000)/(D1833*D1814),"Insert unit")))))))))),"")</f>
        <v>0</v>
      </c>
      <c r="F1823" s="21"/>
      <c r="G1823" s="21"/>
      <c r="L1823" s="35"/>
    </row>
    <row r="1824" spans="2:12" s="4" customFormat="1" outlineLevel="1" x14ac:dyDescent="0.4">
      <c r="B1824" s="20"/>
      <c r="C1824" s="21"/>
      <c r="D1824" s="21"/>
      <c r="E1824" s="21"/>
      <c r="F1824" s="21"/>
      <c r="G1824" s="21"/>
      <c r="H1824" s="21"/>
      <c r="I1824" s="21"/>
      <c r="J1824" s="21"/>
      <c r="K1824" s="21"/>
      <c r="L1824" s="35"/>
    </row>
    <row r="1825" spans="2:12" s="4" customFormat="1" ht="16.5" customHeight="1" outlineLevel="1" x14ac:dyDescent="0.4">
      <c r="B1825" s="20"/>
      <c r="C1825" s="759" t="s">
        <v>177</v>
      </c>
      <c r="D1825" s="759"/>
      <c r="E1825" s="135" t="s">
        <v>178</v>
      </c>
      <c r="F1825" s="21"/>
      <c r="G1825" s="21"/>
      <c r="L1825" s="35"/>
    </row>
    <row r="1826" spans="2:12" s="4" customFormat="1" ht="12.75" customHeight="1" outlineLevel="1" x14ac:dyDescent="0.4">
      <c r="B1826" s="20"/>
      <c r="C1826" s="21"/>
      <c r="D1826" s="21"/>
      <c r="E1826" s="21"/>
      <c r="F1826" s="21"/>
      <c r="G1826" s="21"/>
      <c r="L1826" s="35"/>
    </row>
    <row r="1827" spans="2:12" s="4" customFormat="1" outlineLevel="1" x14ac:dyDescent="0.4">
      <c r="B1827" s="20"/>
      <c r="C1827" s="25" t="str">
        <f>IF(E1825="yes", "Fuel demand for outward journey",IF(E1825="No","Fuel demand for full journey (outward and return)",""))</f>
        <v>Fuel demand for full journey (outward and return)</v>
      </c>
      <c r="D1827" s="21"/>
      <c r="E1827" s="21"/>
      <c r="F1827" s="21"/>
      <c r="G1827" s="21"/>
      <c r="H1827" s="21"/>
      <c r="I1827" s="21"/>
      <c r="J1827" s="21"/>
      <c r="K1827" s="21"/>
      <c r="L1827" s="35"/>
    </row>
    <row r="1828" spans="2:12" s="4" customFormat="1" outlineLevel="1" x14ac:dyDescent="0.4">
      <c r="B1828" s="20"/>
      <c r="C1828" s="164" t="s">
        <v>151</v>
      </c>
      <c r="D1828" s="164" t="s">
        <v>140</v>
      </c>
      <c r="E1828" s="21"/>
      <c r="F1828" s="21"/>
      <c r="G1828" s="21"/>
      <c r="H1828" s="21"/>
      <c r="I1828" s="21"/>
      <c r="J1828" s="21"/>
      <c r="K1828" s="21"/>
      <c r="L1828" s="35"/>
    </row>
    <row r="1829" spans="2:12" s="4" customFormat="1" outlineLevel="1" x14ac:dyDescent="0.4">
      <c r="B1829" s="20"/>
      <c r="C1829" s="138"/>
      <c r="D1829" s="135"/>
      <c r="E1829" s="21"/>
      <c r="F1829" s="21"/>
      <c r="G1829" s="21"/>
      <c r="H1829" s="21"/>
      <c r="I1829" s="21"/>
      <c r="J1829" s="21"/>
      <c r="K1829" s="21"/>
      <c r="L1829" s="35"/>
    </row>
    <row r="1830" spans="2:12" s="4" customFormat="1" outlineLevel="1" x14ac:dyDescent="0.4">
      <c r="B1830" s="20"/>
      <c r="C1830" s="21"/>
      <c r="D1830" s="21"/>
      <c r="E1830" s="21"/>
      <c r="F1830" s="21"/>
      <c r="G1830" s="21"/>
      <c r="H1830" s="21"/>
      <c r="I1830" s="21"/>
      <c r="J1830" s="21"/>
      <c r="K1830" s="21"/>
      <c r="L1830" s="35"/>
    </row>
    <row r="1831" spans="2:12" s="4" customFormat="1" outlineLevel="1" x14ac:dyDescent="0.4">
      <c r="B1831" s="20"/>
      <c r="C1831" s="25" t="s">
        <v>180</v>
      </c>
      <c r="D1831" s="21"/>
      <c r="E1831" s="21"/>
      <c r="F1831" s="21"/>
      <c r="G1831" s="21"/>
      <c r="H1831" s="21"/>
      <c r="I1831" s="21"/>
      <c r="J1831" s="21"/>
      <c r="K1831" s="21"/>
      <c r="L1831" s="35"/>
    </row>
    <row r="1832" spans="2:12" s="4" customFormat="1" outlineLevel="1" x14ac:dyDescent="0.4">
      <c r="B1832" s="20"/>
      <c r="C1832" s="164" t="s">
        <v>151</v>
      </c>
      <c r="D1832" s="164" t="s">
        <v>140</v>
      </c>
      <c r="E1832" s="21"/>
      <c r="F1832" s="21"/>
      <c r="G1832" s="21"/>
      <c r="H1832" s="21"/>
      <c r="I1832" s="21"/>
      <c r="J1832" s="21"/>
      <c r="K1832" s="21"/>
      <c r="L1832" s="35"/>
    </row>
    <row r="1833" spans="2:12" s="4" customFormat="1" outlineLevel="1" x14ac:dyDescent="0.4">
      <c r="B1833" s="20"/>
      <c r="C1833" s="138"/>
      <c r="D1833" s="135"/>
      <c r="E1833" s="21"/>
      <c r="F1833" s="21"/>
      <c r="G1833" s="21"/>
      <c r="H1833" s="21"/>
      <c r="I1833" s="21"/>
      <c r="J1833" s="21"/>
      <c r="K1833" s="21"/>
      <c r="L1833" s="35"/>
    </row>
    <row r="1834" spans="2:12" s="4" customFormat="1" ht="12.75" customHeight="1" outlineLevel="1" x14ac:dyDescent="0.4">
      <c r="B1834" s="28"/>
      <c r="C1834" s="29"/>
      <c r="D1834" s="29"/>
      <c r="E1834" s="29"/>
      <c r="F1834" s="29"/>
      <c r="G1834" s="29"/>
      <c r="H1834" s="29"/>
      <c r="I1834" s="29"/>
      <c r="J1834" s="29"/>
      <c r="K1834" s="29"/>
      <c r="L1834" s="60"/>
    </row>
    <row r="1835" spans="2:12" s="4" customFormat="1" ht="3" customHeight="1" x14ac:dyDescent="0.4"/>
    <row r="1836" spans="2:12" s="4" customFormat="1" ht="8.4" hidden="1" customHeight="1" x14ac:dyDescent="0.4"/>
    <row r="1837" spans="2:12" s="1" customFormat="1" ht="11.1" hidden="1" customHeight="1" x14ac:dyDescent="0.35">
      <c r="B1837" s="2"/>
      <c r="C1837" s="3"/>
      <c r="E1837" s="2"/>
    </row>
    <row r="1838" spans="2:12" s="4" customFormat="1" ht="15.9" hidden="1" customHeight="1" x14ac:dyDescent="0.4"/>
    <row r="1839" spans="2:12" s="4" customFormat="1" ht="15.9" hidden="1" customHeight="1" x14ac:dyDescent="0.4"/>
    <row r="1840" spans="2:12" s="4" customFormat="1" ht="15.9" hidden="1" customHeight="1" x14ac:dyDescent="0.4"/>
    <row r="1841" spans="2:5" s="4" customFormat="1" hidden="1" x14ac:dyDescent="0.4"/>
    <row r="1842" spans="2:5" s="4" customFormat="1" ht="15.9" hidden="1" customHeight="1" x14ac:dyDescent="0.4"/>
    <row r="1843" spans="2:5" s="4" customFormat="1" ht="15.9" hidden="1" customHeight="1" x14ac:dyDescent="0.4"/>
    <row r="1844" spans="2:5" s="4" customFormat="1" hidden="1" x14ac:dyDescent="0.4"/>
    <row r="1845" spans="2:5" s="1" customFormat="1" ht="11.1" hidden="1" customHeight="1" x14ac:dyDescent="0.35">
      <c r="B1845" s="2"/>
      <c r="C1845" s="3"/>
      <c r="E1845" s="2"/>
    </row>
    <row r="1846" spans="2:5" s="4" customFormat="1" ht="15.9" hidden="1" customHeight="1" x14ac:dyDescent="0.4"/>
    <row r="1847" spans="2:5" s="4" customFormat="1" ht="15.9" hidden="1" customHeight="1" x14ac:dyDescent="0.4"/>
    <row r="1848" spans="2:5" s="4" customFormat="1" ht="15.9" hidden="1" customHeight="1" x14ac:dyDescent="0.4"/>
    <row r="1849" spans="2:5" s="4" customFormat="1" hidden="1" x14ac:dyDescent="0.4"/>
    <row r="1850" spans="2:5" s="4" customFormat="1" hidden="1" x14ac:dyDescent="0.4"/>
    <row r="1851" spans="2:5" s="4" customFormat="1" hidden="1" x14ac:dyDescent="0.4"/>
    <row r="1852" spans="2:5" s="4" customFormat="1" hidden="1" x14ac:dyDescent="0.4"/>
    <row r="1853" spans="2:5" s="4" customFormat="1" hidden="1" x14ac:dyDescent="0.4"/>
    <row r="1854" spans="2:5" s="4" customFormat="1" hidden="1" x14ac:dyDescent="0.4"/>
    <row r="1855" spans="2:5" s="4" customFormat="1" hidden="1" x14ac:dyDescent="0.4"/>
    <row r="1856" spans="2:5" s="4" customFormat="1" hidden="1" x14ac:dyDescent="0.4"/>
    <row r="1857" spans="2:12" s="4" customFormat="1" x14ac:dyDescent="0.4"/>
    <row r="1858" spans="2:12" s="4" customFormat="1" ht="19.2" x14ac:dyDescent="0.45">
      <c r="B1858" s="754" t="str">
        <f>"Transport to Plant"&amp;" - "&amp;Feedstocks!C54</f>
        <v xml:space="preserve">Transport to Plant - </v>
      </c>
      <c r="C1858" s="755"/>
      <c r="D1858" s="755"/>
      <c r="E1858" s="755"/>
      <c r="F1858" s="755"/>
      <c r="G1858" s="755"/>
      <c r="H1858" s="755"/>
      <c r="I1858" s="755"/>
      <c r="J1858" s="755"/>
      <c r="K1858" s="755"/>
      <c r="L1858" s="756"/>
    </row>
    <row r="1859" spans="2:12" s="4" customFormat="1" outlineLevel="1" x14ac:dyDescent="0.4">
      <c r="B1859" s="17"/>
      <c r="C1859" s="18"/>
      <c r="D1859" s="19"/>
      <c r="E1859" s="19"/>
      <c r="F1859" s="19"/>
      <c r="G1859" s="19"/>
      <c r="H1859" s="19"/>
      <c r="I1859" s="19"/>
      <c r="J1859" s="19"/>
      <c r="K1859" s="19"/>
      <c r="L1859" s="50"/>
    </row>
    <row r="1860" spans="2:12" s="4" customFormat="1" outlineLevel="1" x14ac:dyDescent="0.4">
      <c r="B1860" s="20"/>
      <c r="C1860" s="174" t="s">
        <v>87</v>
      </c>
      <c r="D1860" s="778" t="str">
        <f>IF(Feedstocks!$C$54&gt;0,Feedstocks!$C$54,"")</f>
        <v/>
      </c>
      <c r="E1860" s="778"/>
      <c r="F1860" s="778"/>
      <c r="G1860" s="1"/>
      <c r="H1860" s="303" t="s">
        <v>122</v>
      </c>
      <c r="I1860" s="47"/>
      <c r="J1860" s="47"/>
      <c r="K1860" s="61"/>
      <c r="L1860" s="35"/>
    </row>
    <row r="1861" spans="2:12" s="4" customFormat="1" outlineLevel="1" x14ac:dyDescent="0.4">
      <c r="B1861" s="20"/>
      <c r="C1861" s="1"/>
      <c r="D1861" s="1"/>
      <c r="E1861" s="1"/>
      <c r="F1861" s="1"/>
      <c r="G1861" s="76"/>
      <c r="H1861" s="43"/>
      <c r="I1861" s="36"/>
      <c r="J1861" s="164" t="s">
        <v>124</v>
      </c>
      <c r="K1861" s="44"/>
      <c r="L1861" s="35"/>
    </row>
    <row r="1862" spans="2:12" s="12" customFormat="1" ht="15" outlineLevel="1" x14ac:dyDescent="0.35">
      <c r="B1862" s="20"/>
      <c r="C1862" s="1"/>
      <c r="D1862" s="1"/>
      <c r="E1862" s="1"/>
      <c r="F1862" s="1"/>
      <c r="G1862" s="1"/>
      <c r="H1862" s="43"/>
      <c r="I1862" s="164" t="s">
        <v>125</v>
      </c>
      <c r="J1862" s="52" t="str">
        <f>IFERROR((J1865/(('Digestion &amp; outputs'!$G$55/1000)))*'Digestion &amp; outputs'!$K$23,"")</f>
        <v/>
      </c>
      <c r="K1862" s="44"/>
      <c r="L1862" s="54"/>
    </row>
    <row r="1863" spans="2:12" s="4" customFormat="1" outlineLevel="1" x14ac:dyDescent="0.4">
      <c r="B1863" s="20"/>
      <c r="C1863" s="164" t="s">
        <v>163</v>
      </c>
      <c r="D1863" s="134" t="s">
        <v>164</v>
      </c>
      <c r="E1863" s="1"/>
      <c r="F1863" s="1"/>
      <c r="G1863" s="1"/>
      <c r="H1863" s="41"/>
      <c r="I1863" s="34"/>
      <c r="J1863" s="34"/>
      <c r="K1863" s="37"/>
      <c r="L1863" s="35"/>
    </row>
    <row r="1864" spans="2:12" s="4" customFormat="1" outlineLevel="1" x14ac:dyDescent="0.4">
      <c r="B1864" s="20"/>
      <c r="C1864" s="164" t="s">
        <v>165</v>
      </c>
      <c r="D1864" s="143"/>
      <c r="E1864" s="1"/>
      <c r="F1864" s="1"/>
      <c r="G1864" s="1"/>
      <c r="H1864" s="41"/>
      <c r="I1864" s="36"/>
      <c r="J1864" s="164" t="s">
        <v>141</v>
      </c>
      <c r="K1864" s="37"/>
      <c r="L1864" s="35"/>
    </row>
    <row r="1865" spans="2:12" s="4" customFormat="1" outlineLevel="1" x14ac:dyDescent="0.4">
      <c r="B1865" s="20"/>
      <c r="C1865" s="164" t="s">
        <v>160</v>
      </c>
      <c r="D1865" s="134" t="s">
        <v>166</v>
      </c>
      <c r="E1865" s="1"/>
      <c r="F1865" s="1"/>
      <c r="G1865" s="1"/>
      <c r="H1865" s="42"/>
      <c r="I1865" s="164" t="s">
        <v>167</v>
      </c>
      <c r="J1865" s="52">
        <f>IFERROR(J1870,"Insert data")</f>
        <v>0</v>
      </c>
      <c r="K1865" s="62"/>
      <c r="L1865" s="35"/>
    </row>
    <row r="1866" spans="2:12" s="4" customFormat="1" outlineLevel="1" x14ac:dyDescent="0.4">
      <c r="B1866" s="20"/>
      <c r="C1866" s="21"/>
      <c r="D1866" s="21"/>
      <c r="E1866" s="21"/>
      <c r="F1866" s="21"/>
      <c r="G1866" s="21"/>
      <c r="H1866" s="46"/>
      <c r="I1866" s="58"/>
      <c r="J1866" s="58"/>
      <c r="K1866" s="59"/>
      <c r="L1866" s="35"/>
    </row>
    <row r="1867" spans="2:12" s="4" customFormat="1" outlineLevel="1" x14ac:dyDescent="0.4">
      <c r="B1867" s="20"/>
      <c r="C1867" s="25" t="s">
        <v>168</v>
      </c>
      <c r="D1867" s="21"/>
      <c r="E1867" s="21"/>
      <c r="F1867" s="21"/>
      <c r="G1867" s="21"/>
      <c r="H1867" s="21"/>
      <c r="I1867" s="21"/>
      <c r="J1867" s="21"/>
      <c r="K1867" s="21"/>
      <c r="L1867" s="35"/>
    </row>
    <row r="1868" spans="2:12" s="14" customFormat="1" ht="30.6" outlineLevel="1" x14ac:dyDescent="0.4">
      <c r="B1868" s="23"/>
      <c r="C1868" s="166" t="s">
        <v>131</v>
      </c>
      <c r="D1868" s="166" t="s">
        <v>169</v>
      </c>
      <c r="E1868" s="166" t="s">
        <v>170</v>
      </c>
      <c r="F1868" s="166" t="s">
        <v>171</v>
      </c>
      <c r="G1868" s="24"/>
      <c r="H1868" s="303" t="s">
        <v>136</v>
      </c>
      <c r="I1868" s="47"/>
      <c r="J1868" s="47"/>
      <c r="K1868" s="45"/>
      <c r="L1868" s="63"/>
    </row>
    <row r="1869" spans="2:12" s="4" customFormat="1" outlineLevel="1" x14ac:dyDescent="0.4">
      <c r="B1869" s="20"/>
      <c r="C1869" s="138" t="s">
        <v>96</v>
      </c>
      <c r="D1869" s="93">
        <v>1</v>
      </c>
      <c r="E1869" s="135"/>
      <c r="F1869" s="31">
        <f>IFERROR(IF(OR(C1869="Default",D1863="No transport required"),D1869,IF(ISBLANK(E1869),"Insert data",E1869)),"")</f>
        <v>1</v>
      </c>
      <c r="G1869" s="21"/>
      <c r="H1869" s="41"/>
      <c r="I1869" s="36"/>
      <c r="J1869" s="164" t="s">
        <v>141</v>
      </c>
      <c r="K1869" s="37"/>
      <c r="L1869" s="35"/>
    </row>
    <row r="1870" spans="2:12" s="4" customFormat="1" outlineLevel="1" x14ac:dyDescent="0.4">
      <c r="B1870" s="20"/>
      <c r="C1870" s="21"/>
      <c r="D1870" s="21"/>
      <c r="E1870" s="692" t="str">
        <f>IF(E1869&gt;1, "this should not be greater than 1", "")</f>
        <v/>
      </c>
      <c r="F1870" s="21"/>
      <c r="G1870" s="21"/>
      <c r="H1870" s="42"/>
      <c r="I1870" s="164" t="s">
        <v>172</v>
      </c>
      <c r="J1870" s="52">
        <f>IF(D1863="No transport required",0,IFERROR(E1873*INDEX(Fuel_EFs,MATCH(D1865,Fuels_for_EF,0))*D1864/1000,"Insert data"))</f>
        <v>0</v>
      </c>
      <c r="K1870" s="62"/>
      <c r="L1870" s="35"/>
    </row>
    <row r="1871" spans="2:12" s="4" customFormat="1" outlineLevel="1" x14ac:dyDescent="0.4">
      <c r="B1871" s="20"/>
      <c r="C1871" s="25" t="s">
        <v>173</v>
      </c>
      <c r="D1871" s="21"/>
      <c r="E1871" s="21"/>
      <c r="F1871" s="21"/>
      <c r="G1871" s="21"/>
      <c r="H1871" s="46"/>
      <c r="I1871" s="58"/>
      <c r="J1871" s="58"/>
      <c r="K1871" s="59"/>
      <c r="L1871" s="35"/>
    </row>
    <row r="1872" spans="2:12" s="14" customFormat="1" outlineLevel="1" x14ac:dyDescent="0.4">
      <c r="B1872" s="23"/>
      <c r="C1872" s="176" t="s">
        <v>174</v>
      </c>
      <c r="D1872" s="166" t="s">
        <v>175</v>
      </c>
      <c r="E1872" s="166" t="s">
        <v>176</v>
      </c>
      <c r="F1872" s="24"/>
      <c r="G1872" s="24"/>
      <c r="H1872" s="4"/>
      <c r="I1872" s="4"/>
      <c r="J1872" s="4"/>
      <c r="K1872" s="4"/>
      <c r="L1872" s="63"/>
    </row>
    <row r="1873" spans="2:12" s="4" customFormat="1" outlineLevel="1" x14ac:dyDescent="0.4">
      <c r="B1873" s="20"/>
      <c r="C1873" s="138" t="s">
        <v>96</v>
      </c>
      <c r="D1873" s="93">
        <f>IFERROR(INDEX(Transport_Fuel_Efficiencies,MATCH(D1863,Transport_Modes,0)),"Insert data")</f>
        <v>0</v>
      </c>
      <c r="E1873" s="31">
        <f>IFERROR(IF(C1873="Default",D1873,IF(OR(ISBLANK(E1875),ISBLANK(D1879),ISBLANK(D1883)),"Insert data",(IF(C1879="litres",(D1879*(INDEX(Fuel_Densities,MATCH(D1865,Fuels_for_Densities,0))/1000)*INDEX(Fuel_LHV,MATCH(D1865,Fuels_for_LHV,0)))/(D1883*D1864),(IF(C1879="m3",(D1879*(INDEX(Fuel_Densities,MATCH(D1865,Fuels_for_Densities,0)))*INDEX(Fuel_LHV,MATCH(D1865,Fuels_for_LHV,0)))/(D1883*D1864),IF(C1879="kg",(D1879*INDEX(Fuel_LHV,MATCH(D1865,Fuels_for_LHV,0)))/(D1883*D1864),IF(C1879="tonnes",(D1879*INDEX(Fuel_LHV,MATCH(D1865,Fuels_for_LHV,0))*1000)/(D1883*D1864),IF(C1879="MWh",(D1879*'Reference values'!$D$47)/(D1883*D1864),IF(C1879="kWh",(D1879*'Reference values'!$D$47/1000)/(D1883*D1864),"Insert unit")))))))))),"")</f>
        <v>0</v>
      </c>
      <c r="F1873" s="21"/>
      <c r="G1873" s="21"/>
      <c r="L1873" s="35"/>
    </row>
    <row r="1874" spans="2:12" s="4" customFormat="1" outlineLevel="1" x14ac:dyDescent="0.4">
      <c r="B1874" s="20"/>
      <c r="C1874" s="21"/>
      <c r="D1874" s="21"/>
      <c r="E1874" s="21"/>
      <c r="F1874" s="21"/>
      <c r="G1874" s="21"/>
      <c r="H1874" s="21"/>
      <c r="I1874" s="21"/>
      <c r="J1874" s="21"/>
      <c r="K1874" s="21"/>
      <c r="L1874" s="35"/>
    </row>
    <row r="1875" spans="2:12" s="4" customFormat="1" ht="16.5" customHeight="1" outlineLevel="1" x14ac:dyDescent="0.4">
      <c r="B1875" s="20"/>
      <c r="C1875" s="759" t="s">
        <v>177</v>
      </c>
      <c r="D1875" s="759"/>
      <c r="E1875" s="135" t="s">
        <v>178</v>
      </c>
      <c r="F1875" s="21"/>
      <c r="G1875" s="21"/>
      <c r="L1875" s="35"/>
    </row>
    <row r="1876" spans="2:12" s="4" customFormat="1" ht="12.75" customHeight="1" outlineLevel="1" x14ac:dyDescent="0.4">
      <c r="B1876" s="20"/>
      <c r="C1876" s="21"/>
      <c r="D1876" s="21"/>
      <c r="E1876" s="21"/>
      <c r="F1876" s="21"/>
      <c r="G1876" s="21"/>
      <c r="L1876" s="35"/>
    </row>
    <row r="1877" spans="2:12" s="4" customFormat="1" outlineLevel="1" x14ac:dyDescent="0.4">
      <c r="B1877" s="20"/>
      <c r="C1877" s="25" t="str">
        <f>IF(E1875="yes", "Fuel demand for outward journey",IF(E1875="No","Fuel demand for full journey (outward and return)",""))</f>
        <v>Fuel demand for full journey (outward and return)</v>
      </c>
      <c r="D1877" s="21"/>
      <c r="E1877" s="21"/>
      <c r="F1877" s="21"/>
      <c r="G1877" s="21"/>
      <c r="H1877" s="21"/>
      <c r="I1877" s="21"/>
      <c r="J1877" s="21"/>
      <c r="K1877" s="21"/>
      <c r="L1877" s="35"/>
    </row>
    <row r="1878" spans="2:12" s="4" customFormat="1" outlineLevel="1" x14ac:dyDescent="0.4">
      <c r="B1878" s="20"/>
      <c r="C1878" s="164" t="s">
        <v>151</v>
      </c>
      <c r="D1878" s="164" t="s">
        <v>140</v>
      </c>
      <c r="E1878" s="21"/>
      <c r="F1878" s="21"/>
      <c r="G1878" s="21"/>
      <c r="H1878" s="21"/>
      <c r="I1878" s="21"/>
      <c r="J1878" s="21"/>
      <c r="K1878" s="21"/>
      <c r="L1878" s="35"/>
    </row>
    <row r="1879" spans="2:12" s="4" customFormat="1" outlineLevel="1" x14ac:dyDescent="0.4">
      <c r="B1879" s="20"/>
      <c r="C1879" s="138"/>
      <c r="D1879" s="135"/>
      <c r="E1879" s="21"/>
      <c r="F1879" s="21"/>
      <c r="G1879" s="21"/>
      <c r="H1879" s="21"/>
      <c r="I1879" s="21"/>
      <c r="J1879" s="21"/>
      <c r="K1879" s="21"/>
      <c r="L1879" s="35"/>
    </row>
    <row r="1880" spans="2:12" s="4" customFormat="1" outlineLevel="1" x14ac:dyDescent="0.4">
      <c r="B1880" s="20"/>
      <c r="C1880" s="21"/>
      <c r="D1880" s="21"/>
      <c r="E1880" s="21"/>
      <c r="F1880" s="21"/>
      <c r="G1880" s="21"/>
      <c r="H1880" s="21"/>
      <c r="I1880" s="21"/>
      <c r="J1880" s="21"/>
      <c r="K1880" s="21"/>
      <c r="L1880" s="35"/>
    </row>
    <row r="1881" spans="2:12" s="4" customFormat="1" outlineLevel="1" x14ac:dyDescent="0.4">
      <c r="B1881" s="20"/>
      <c r="C1881" s="25" t="s">
        <v>180</v>
      </c>
      <c r="D1881" s="21"/>
      <c r="E1881" s="21"/>
      <c r="F1881" s="21"/>
      <c r="G1881" s="21"/>
      <c r="H1881" s="21"/>
      <c r="I1881" s="21"/>
      <c r="J1881" s="21"/>
      <c r="K1881" s="21"/>
      <c r="L1881" s="35"/>
    </row>
    <row r="1882" spans="2:12" s="4" customFormat="1" outlineLevel="1" x14ac:dyDescent="0.4">
      <c r="B1882" s="20"/>
      <c r="C1882" s="164" t="s">
        <v>151</v>
      </c>
      <c r="D1882" s="164" t="s">
        <v>140</v>
      </c>
      <c r="E1882" s="21"/>
      <c r="F1882" s="21"/>
      <c r="G1882" s="21"/>
      <c r="H1882" s="21"/>
      <c r="I1882" s="21"/>
      <c r="J1882" s="21"/>
      <c r="K1882" s="21"/>
      <c r="L1882" s="35"/>
    </row>
    <row r="1883" spans="2:12" s="4" customFormat="1" outlineLevel="1" x14ac:dyDescent="0.4">
      <c r="B1883" s="20"/>
      <c r="C1883" s="138"/>
      <c r="D1883" s="135"/>
      <c r="E1883" s="21"/>
      <c r="F1883" s="21"/>
      <c r="G1883" s="21"/>
      <c r="H1883" s="21"/>
      <c r="I1883" s="21"/>
      <c r="J1883" s="21"/>
      <c r="K1883" s="21"/>
      <c r="L1883" s="35"/>
    </row>
    <row r="1884" spans="2:12" s="4" customFormat="1" ht="12.75" customHeight="1" outlineLevel="1" x14ac:dyDescent="0.4">
      <c r="B1884" s="28"/>
      <c r="C1884" s="29"/>
      <c r="D1884" s="29"/>
      <c r="E1884" s="29"/>
      <c r="F1884" s="29"/>
      <c r="G1884" s="29"/>
      <c r="H1884" s="29"/>
      <c r="I1884" s="29"/>
      <c r="J1884" s="29"/>
      <c r="K1884" s="29"/>
      <c r="L1884" s="60"/>
    </row>
    <row r="1885" spans="2:12" s="4" customFormat="1" ht="3" customHeight="1" x14ac:dyDescent="0.4"/>
    <row r="1886" spans="2:12" s="4" customFormat="1" ht="8.4" hidden="1" customHeight="1" x14ac:dyDescent="0.4"/>
    <row r="1887" spans="2:12" s="1" customFormat="1" ht="11.1" hidden="1" customHeight="1" x14ac:dyDescent="0.35">
      <c r="B1887" s="2"/>
      <c r="C1887" s="3"/>
      <c r="E1887" s="2"/>
    </row>
    <row r="1888" spans="2:12" s="4" customFormat="1" ht="15.9" hidden="1" customHeight="1" x14ac:dyDescent="0.4"/>
    <row r="1889" spans="2:5" s="4" customFormat="1" ht="15.9" hidden="1" customHeight="1" x14ac:dyDescent="0.4"/>
    <row r="1890" spans="2:5" s="4" customFormat="1" ht="15.9" hidden="1" customHeight="1" x14ac:dyDescent="0.4"/>
    <row r="1891" spans="2:5" s="4" customFormat="1" hidden="1" x14ac:dyDescent="0.4"/>
    <row r="1892" spans="2:5" s="4" customFormat="1" ht="15.9" hidden="1" customHeight="1" x14ac:dyDescent="0.4"/>
    <row r="1893" spans="2:5" s="4" customFormat="1" ht="15.9" hidden="1" customHeight="1" x14ac:dyDescent="0.4"/>
    <row r="1894" spans="2:5" s="4" customFormat="1" hidden="1" x14ac:dyDescent="0.4"/>
    <row r="1895" spans="2:5" s="1" customFormat="1" ht="11.1" hidden="1" customHeight="1" x14ac:dyDescent="0.35">
      <c r="B1895" s="2"/>
      <c r="C1895" s="3"/>
      <c r="E1895" s="2"/>
    </row>
    <row r="1896" spans="2:5" s="4" customFormat="1" ht="15.9" hidden="1" customHeight="1" x14ac:dyDescent="0.4"/>
    <row r="1897" spans="2:5" s="4" customFormat="1" ht="15.9" hidden="1" customHeight="1" x14ac:dyDescent="0.4"/>
    <row r="1898" spans="2:5" s="4" customFormat="1" ht="15.9" hidden="1" customHeight="1" x14ac:dyDescent="0.4"/>
    <row r="1899" spans="2:5" s="4" customFormat="1" hidden="1" x14ac:dyDescent="0.4"/>
    <row r="1900" spans="2:5" s="4" customFormat="1" hidden="1" x14ac:dyDescent="0.4"/>
    <row r="1901" spans="2:5" s="4" customFormat="1" hidden="1" x14ac:dyDescent="0.4"/>
    <row r="1902" spans="2:5" s="4" customFormat="1" hidden="1" x14ac:dyDescent="0.4"/>
    <row r="1903" spans="2:5" s="4" customFormat="1" hidden="1" x14ac:dyDescent="0.4"/>
    <row r="1904" spans="2:5" s="4" customFormat="1" hidden="1" x14ac:dyDescent="0.4"/>
    <row r="1905" spans="2:12" s="4" customFormat="1" hidden="1" x14ac:dyDescent="0.4"/>
    <row r="1906" spans="2:12" s="4" customFormat="1" hidden="1" x14ac:dyDescent="0.4"/>
    <row r="1907" spans="2:12" s="4" customFormat="1" x14ac:dyDescent="0.4"/>
    <row r="1908" spans="2:12" s="4" customFormat="1" ht="19.2" x14ac:dyDescent="0.45">
      <c r="B1908" s="754" t="str">
        <f>"Transport to Plant"&amp;" - "&amp;Feedstocks!C55</f>
        <v xml:space="preserve">Transport to Plant - </v>
      </c>
      <c r="C1908" s="755"/>
      <c r="D1908" s="755"/>
      <c r="E1908" s="755"/>
      <c r="F1908" s="755"/>
      <c r="G1908" s="755"/>
      <c r="H1908" s="755"/>
      <c r="I1908" s="755"/>
      <c r="J1908" s="755"/>
      <c r="K1908" s="755"/>
      <c r="L1908" s="756"/>
    </row>
    <row r="1909" spans="2:12" s="4" customFormat="1" outlineLevel="1" x14ac:dyDescent="0.4">
      <c r="B1909" s="17"/>
      <c r="C1909" s="18"/>
      <c r="D1909" s="19"/>
      <c r="E1909" s="19"/>
      <c r="F1909" s="19"/>
      <c r="G1909" s="19"/>
      <c r="H1909" s="19"/>
      <c r="I1909" s="19"/>
      <c r="J1909" s="19"/>
      <c r="K1909" s="19"/>
      <c r="L1909" s="50"/>
    </row>
    <row r="1910" spans="2:12" s="4" customFormat="1" outlineLevel="1" x14ac:dyDescent="0.4">
      <c r="B1910" s="20"/>
      <c r="C1910" s="174" t="s">
        <v>87</v>
      </c>
      <c r="D1910" s="778" t="str">
        <f>IF(Feedstocks!$C$55&gt;0,Feedstocks!$C$65,"")</f>
        <v/>
      </c>
      <c r="E1910" s="778"/>
      <c r="F1910" s="778"/>
      <c r="G1910" s="1"/>
      <c r="H1910" s="303" t="s">
        <v>122</v>
      </c>
      <c r="I1910" s="47"/>
      <c r="J1910" s="47"/>
      <c r="K1910" s="61"/>
      <c r="L1910" s="35"/>
    </row>
    <row r="1911" spans="2:12" s="4" customFormat="1" outlineLevel="1" x14ac:dyDescent="0.4">
      <c r="B1911" s="20"/>
      <c r="C1911" s="1"/>
      <c r="D1911" s="1"/>
      <c r="E1911" s="1"/>
      <c r="F1911" s="1"/>
      <c r="G1911" s="76"/>
      <c r="H1911" s="43"/>
      <c r="I1911" s="36"/>
      <c r="J1911" s="164" t="s">
        <v>124</v>
      </c>
      <c r="K1911" s="44"/>
      <c r="L1911" s="35"/>
    </row>
    <row r="1912" spans="2:12" s="12" customFormat="1" ht="15" outlineLevel="1" x14ac:dyDescent="0.35">
      <c r="B1912" s="20"/>
      <c r="C1912" s="1"/>
      <c r="D1912" s="1"/>
      <c r="E1912" s="1"/>
      <c r="F1912" s="1"/>
      <c r="G1912" s="1"/>
      <c r="H1912" s="43"/>
      <c r="I1912" s="164" t="s">
        <v>125</v>
      </c>
      <c r="J1912" s="52" t="str">
        <f>IFERROR((J1915/(('Digestion &amp; outputs'!$G$56/1000)))*'Digestion &amp; outputs'!$K$23,"")</f>
        <v/>
      </c>
      <c r="K1912" s="44"/>
      <c r="L1912" s="54"/>
    </row>
    <row r="1913" spans="2:12" s="4" customFormat="1" outlineLevel="1" x14ac:dyDescent="0.4">
      <c r="B1913" s="20"/>
      <c r="C1913" s="164" t="s">
        <v>163</v>
      </c>
      <c r="D1913" s="134" t="s">
        <v>164</v>
      </c>
      <c r="E1913" s="1"/>
      <c r="F1913" s="1"/>
      <c r="G1913" s="1"/>
      <c r="H1913" s="41"/>
      <c r="I1913" s="34"/>
      <c r="J1913" s="34"/>
      <c r="K1913" s="37"/>
      <c r="L1913" s="35"/>
    </row>
    <row r="1914" spans="2:12" s="4" customFormat="1" outlineLevel="1" x14ac:dyDescent="0.4">
      <c r="B1914" s="20"/>
      <c r="C1914" s="164" t="s">
        <v>165</v>
      </c>
      <c r="D1914" s="143"/>
      <c r="E1914" s="1"/>
      <c r="F1914" s="1"/>
      <c r="G1914" s="1"/>
      <c r="H1914" s="41"/>
      <c r="I1914" s="36"/>
      <c r="J1914" s="164" t="s">
        <v>141</v>
      </c>
      <c r="K1914" s="37"/>
      <c r="L1914" s="35"/>
    </row>
    <row r="1915" spans="2:12" s="4" customFormat="1" outlineLevel="1" x14ac:dyDescent="0.4">
      <c r="B1915" s="20"/>
      <c r="C1915" s="164" t="s">
        <v>160</v>
      </c>
      <c r="D1915" s="134" t="s">
        <v>166</v>
      </c>
      <c r="E1915" s="1"/>
      <c r="F1915" s="1"/>
      <c r="G1915" s="1"/>
      <c r="H1915" s="42"/>
      <c r="I1915" s="164" t="s">
        <v>167</v>
      </c>
      <c r="J1915" s="52">
        <f>IFERROR(J1920,"Insert data")</f>
        <v>0</v>
      </c>
      <c r="K1915" s="62"/>
      <c r="L1915" s="35"/>
    </row>
    <row r="1916" spans="2:12" s="4" customFormat="1" outlineLevel="1" x14ac:dyDescent="0.4">
      <c r="B1916" s="20"/>
      <c r="C1916" s="21"/>
      <c r="D1916" s="21"/>
      <c r="E1916" s="21"/>
      <c r="F1916" s="21"/>
      <c r="G1916" s="21"/>
      <c r="H1916" s="46"/>
      <c r="I1916" s="58"/>
      <c r="J1916" s="58"/>
      <c r="K1916" s="59"/>
      <c r="L1916" s="35"/>
    </row>
    <row r="1917" spans="2:12" s="4" customFormat="1" outlineLevel="1" x14ac:dyDescent="0.4">
      <c r="B1917" s="20"/>
      <c r="C1917" s="25" t="s">
        <v>168</v>
      </c>
      <c r="D1917" s="21"/>
      <c r="E1917" s="21"/>
      <c r="F1917" s="21"/>
      <c r="G1917" s="21"/>
      <c r="H1917" s="21"/>
      <c r="I1917" s="21"/>
      <c r="J1917" s="21"/>
      <c r="K1917" s="21"/>
      <c r="L1917" s="35"/>
    </row>
    <row r="1918" spans="2:12" s="14" customFormat="1" ht="30.6" outlineLevel="1" x14ac:dyDescent="0.4">
      <c r="B1918" s="23"/>
      <c r="C1918" s="166" t="s">
        <v>131</v>
      </c>
      <c r="D1918" s="166" t="s">
        <v>169</v>
      </c>
      <c r="E1918" s="166" t="s">
        <v>170</v>
      </c>
      <c r="F1918" s="166" t="s">
        <v>171</v>
      </c>
      <c r="G1918" s="24"/>
      <c r="H1918" s="303" t="s">
        <v>136</v>
      </c>
      <c r="I1918" s="47"/>
      <c r="J1918" s="47"/>
      <c r="K1918" s="45"/>
      <c r="L1918" s="63"/>
    </row>
    <row r="1919" spans="2:12" s="4" customFormat="1" outlineLevel="1" x14ac:dyDescent="0.4">
      <c r="B1919" s="20"/>
      <c r="C1919" s="138" t="s">
        <v>96</v>
      </c>
      <c r="D1919" s="93">
        <v>1</v>
      </c>
      <c r="E1919" s="135"/>
      <c r="F1919" s="31">
        <f>IFERROR(IF(OR(C1919="Default",D1913="No transport required"),D1919,IF(ISBLANK(E1919),"Insert data",E1919)),"")</f>
        <v>1</v>
      </c>
      <c r="G1919" s="21"/>
      <c r="H1919" s="41"/>
      <c r="I1919" s="36"/>
      <c r="J1919" s="164" t="s">
        <v>141</v>
      </c>
      <c r="K1919" s="37"/>
      <c r="L1919" s="35"/>
    </row>
    <row r="1920" spans="2:12" s="4" customFormat="1" outlineLevel="1" x14ac:dyDescent="0.4">
      <c r="B1920" s="20"/>
      <c r="C1920" s="21"/>
      <c r="D1920" s="21"/>
      <c r="E1920" s="692" t="str">
        <f>IF(E1919&gt;1, "this should not be greater than 1", "")</f>
        <v/>
      </c>
      <c r="F1920" s="21"/>
      <c r="G1920" s="21"/>
      <c r="H1920" s="42"/>
      <c r="I1920" s="164" t="s">
        <v>172</v>
      </c>
      <c r="J1920" s="52">
        <f>IF(D1913="No transport required",0,IFERROR(E1923*INDEX(Fuel_EFs,MATCH(D1915,Fuels_for_EF,0))*D1914/1000,"Insert data"))</f>
        <v>0</v>
      </c>
      <c r="K1920" s="62"/>
      <c r="L1920" s="35"/>
    </row>
    <row r="1921" spans="2:12" s="4" customFormat="1" outlineLevel="1" x14ac:dyDescent="0.4">
      <c r="B1921" s="20"/>
      <c r="C1921" s="25" t="s">
        <v>173</v>
      </c>
      <c r="D1921" s="21"/>
      <c r="E1921" s="21"/>
      <c r="F1921" s="21"/>
      <c r="G1921" s="21"/>
      <c r="H1921" s="46"/>
      <c r="I1921" s="58"/>
      <c r="J1921" s="58"/>
      <c r="K1921" s="59"/>
      <c r="L1921" s="35"/>
    </row>
    <row r="1922" spans="2:12" s="14" customFormat="1" outlineLevel="1" x14ac:dyDescent="0.4">
      <c r="B1922" s="23"/>
      <c r="C1922" s="176" t="s">
        <v>174</v>
      </c>
      <c r="D1922" s="166" t="s">
        <v>175</v>
      </c>
      <c r="E1922" s="166" t="s">
        <v>176</v>
      </c>
      <c r="F1922" s="24"/>
      <c r="G1922" s="24"/>
      <c r="H1922" s="4"/>
      <c r="I1922" s="4"/>
      <c r="J1922" s="4"/>
      <c r="K1922" s="4"/>
      <c r="L1922" s="63"/>
    </row>
    <row r="1923" spans="2:12" s="4" customFormat="1" outlineLevel="1" x14ac:dyDescent="0.4">
      <c r="B1923" s="20"/>
      <c r="C1923" s="138" t="s">
        <v>96</v>
      </c>
      <c r="D1923" s="93">
        <f>IFERROR(INDEX(Transport_Fuel_Efficiencies,MATCH(D1913,Transport_Modes,0)),"Insert data")</f>
        <v>0</v>
      </c>
      <c r="E1923" s="31">
        <f>IFERROR(IF(C1923="Default",D1923,IF(OR(ISBLANK(E1925),ISBLANK(D1929),ISBLANK(D1933)),"Insert data",(IF(C1929="litres",(D1929*(INDEX(Fuel_Densities,MATCH(D1915,Fuels_for_Densities,0))/1000)*INDEX(Fuel_LHV,MATCH(D1915,Fuels_for_LHV,0)))/(D1933*D1914),(IF(C1929="m3",(D1929*(INDEX(Fuel_Densities,MATCH(D1915,Fuels_for_Densities,0)))*INDEX(Fuel_LHV,MATCH(D1915,Fuels_for_LHV,0)))/(D1933*D1914),IF(C1929="kg",(D1929*INDEX(Fuel_LHV,MATCH(D1915,Fuels_for_LHV,0)))/(D1933*D1914),IF(C1929="tonnes",(D1929*INDEX(Fuel_LHV,MATCH(D1915,Fuels_for_LHV,0))*1000)/(D1933*D1914),IF(C1929="MWh",(D1929*'Reference values'!$D$47)/(D1933*D1914),IF(C1929="kWh",(D1929*'Reference values'!$D$47/1000)/(D1933*D1914),"Insert unit")))))))))),"")</f>
        <v>0</v>
      </c>
      <c r="F1923" s="21"/>
      <c r="G1923" s="21"/>
      <c r="L1923" s="35"/>
    </row>
    <row r="1924" spans="2:12" s="4" customFormat="1" outlineLevel="1" x14ac:dyDescent="0.4">
      <c r="B1924" s="20"/>
      <c r="C1924" s="21"/>
      <c r="D1924" s="21"/>
      <c r="E1924" s="21"/>
      <c r="F1924" s="21"/>
      <c r="G1924" s="21"/>
      <c r="H1924" s="21"/>
      <c r="I1924" s="21"/>
      <c r="J1924" s="21"/>
      <c r="K1924" s="21"/>
      <c r="L1924" s="35"/>
    </row>
    <row r="1925" spans="2:12" s="4" customFormat="1" ht="16.5" customHeight="1" outlineLevel="1" x14ac:dyDescent="0.4">
      <c r="B1925" s="20"/>
      <c r="C1925" s="759" t="s">
        <v>177</v>
      </c>
      <c r="D1925" s="759"/>
      <c r="E1925" s="135" t="s">
        <v>178</v>
      </c>
      <c r="F1925" s="21"/>
      <c r="G1925" s="21"/>
      <c r="L1925" s="35"/>
    </row>
    <row r="1926" spans="2:12" s="4" customFormat="1" ht="12.75" customHeight="1" outlineLevel="1" x14ac:dyDescent="0.4">
      <c r="B1926" s="20"/>
      <c r="C1926" s="21"/>
      <c r="D1926" s="21"/>
      <c r="E1926" s="21"/>
      <c r="F1926" s="21"/>
      <c r="G1926" s="21"/>
      <c r="L1926" s="35"/>
    </row>
    <row r="1927" spans="2:12" s="4" customFormat="1" outlineLevel="1" x14ac:dyDescent="0.4">
      <c r="B1927" s="20"/>
      <c r="C1927" s="25" t="str">
        <f>IF(E1925="yes", "Fuel demand for outward journey",IF(E1925="No","Fuel demand for full journey (outward and return)",""))</f>
        <v>Fuel demand for full journey (outward and return)</v>
      </c>
      <c r="D1927" s="21"/>
      <c r="E1927" s="21"/>
      <c r="F1927" s="21"/>
      <c r="G1927" s="21"/>
      <c r="H1927" s="21"/>
      <c r="I1927" s="21"/>
      <c r="J1927" s="21"/>
      <c r="K1927" s="21"/>
      <c r="L1927" s="35"/>
    </row>
    <row r="1928" spans="2:12" s="4" customFormat="1" outlineLevel="1" x14ac:dyDescent="0.4">
      <c r="B1928" s="20"/>
      <c r="C1928" s="164" t="s">
        <v>151</v>
      </c>
      <c r="D1928" s="164" t="s">
        <v>140</v>
      </c>
      <c r="E1928" s="21"/>
      <c r="F1928" s="21"/>
      <c r="G1928" s="21"/>
      <c r="H1928" s="21"/>
      <c r="I1928" s="21"/>
      <c r="J1928" s="21"/>
      <c r="K1928" s="21"/>
      <c r="L1928" s="35"/>
    </row>
    <row r="1929" spans="2:12" s="4" customFormat="1" outlineLevel="1" x14ac:dyDescent="0.4">
      <c r="B1929" s="20"/>
      <c r="C1929" s="138"/>
      <c r="D1929" s="135"/>
      <c r="E1929" s="21"/>
      <c r="F1929" s="21"/>
      <c r="G1929" s="21"/>
      <c r="H1929" s="21"/>
      <c r="I1929" s="21"/>
      <c r="J1929" s="21"/>
      <c r="K1929" s="21"/>
      <c r="L1929" s="35"/>
    </row>
    <row r="1930" spans="2:12" s="4" customFormat="1" outlineLevel="1" x14ac:dyDescent="0.4">
      <c r="B1930" s="20"/>
      <c r="C1930" s="21"/>
      <c r="D1930" s="21"/>
      <c r="E1930" s="21"/>
      <c r="F1930" s="21"/>
      <c r="G1930" s="21"/>
      <c r="H1930" s="21"/>
      <c r="I1930" s="21"/>
      <c r="J1930" s="21"/>
      <c r="K1930" s="21"/>
      <c r="L1930" s="35"/>
    </row>
    <row r="1931" spans="2:12" s="4" customFormat="1" outlineLevel="1" x14ac:dyDescent="0.4">
      <c r="B1931" s="20"/>
      <c r="C1931" s="25" t="s">
        <v>180</v>
      </c>
      <c r="D1931" s="21"/>
      <c r="E1931" s="21"/>
      <c r="F1931" s="21"/>
      <c r="G1931" s="21"/>
      <c r="H1931" s="21"/>
      <c r="I1931" s="21"/>
      <c r="J1931" s="21"/>
      <c r="K1931" s="21"/>
      <c r="L1931" s="35"/>
    </row>
    <row r="1932" spans="2:12" s="4" customFormat="1" outlineLevel="1" x14ac:dyDescent="0.4">
      <c r="B1932" s="20"/>
      <c r="C1932" s="164" t="s">
        <v>151</v>
      </c>
      <c r="D1932" s="164" t="s">
        <v>140</v>
      </c>
      <c r="E1932" s="21"/>
      <c r="F1932" s="21"/>
      <c r="G1932" s="21"/>
      <c r="H1932" s="21"/>
      <c r="I1932" s="21"/>
      <c r="J1932" s="21"/>
      <c r="K1932" s="21"/>
      <c r="L1932" s="35"/>
    </row>
    <row r="1933" spans="2:12" s="4" customFormat="1" outlineLevel="1" x14ac:dyDescent="0.4">
      <c r="B1933" s="20"/>
      <c r="C1933" s="138"/>
      <c r="D1933" s="135"/>
      <c r="E1933" s="21"/>
      <c r="F1933" s="21"/>
      <c r="G1933" s="21"/>
      <c r="H1933" s="21"/>
      <c r="I1933" s="21"/>
      <c r="J1933" s="21"/>
      <c r="K1933" s="21"/>
      <c r="L1933" s="35"/>
    </row>
    <row r="1934" spans="2:12" s="4" customFormat="1" ht="12.75" customHeight="1" outlineLevel="1" x14ac:dyDescent="0.4">
      <c r="B1934" s="28"/>
      <c r="C1934" s="29"/>
      <c r="D1934" s="29"/>
      <c r="E1934" s="29"/>
      <c r="F1934" s="29"/>
      <c r="G1934" s="29"/>
      <c r="H1934" s="29"/>
      <c r="I1934" s="29"/>
      <c r="J1934" s="29"/>
      <c r="K1934" s="29"/>
      <c r="L1934" s="60"/>
    </row>
    <row r="1935" spans="2:12" s="4" customFormat="1" ht="3" customHeight="1" x14ac:dyDescent="0.4"/>
    <row r="1936" spans="2:12" s="4" customFormat="1" ht="8.4" hidden="1" customHeight="1" x14ac:dyDescent="0.4"/>
    <row r="1937" spans="2:5" s="1" customFormat="1" ht="11.1" hidden="1" customHeight="1" x14ac:dyDescent="0.35">
      <c r="B1937" s="2"/>
      <c r="C1937" s="3"/>
      <c r="E1937" s="2"/>
    </row>
    <row r="1938" spans="2:5" s="4" customFormat="1" ht="15.9" hidden="1" customHeight="1" x14ac:dyDescent="0.4"/>
    <row r="1939" spans="2:5" s="4" customFormat="1" ht="15.9" hidden="1" customHeight="1" x14ac:dyDescent="0.4"/>
    <row r="1940" spans="2:5" s="4" customFormat="1" ht="15.9" hidden="1" customHeight="1" x14ac:dyDescent="0.4"/>
    <row r="1941" spans="2:5" s="4" customFormat="1" hidden="1" x14ac:dyDescent="0.4"/>
    <row r="1942" spans="2:5" s="4" customFormat="1" ht="15.9" hidden="1" customHeight="1" x14ac:dyDescent="0.4"/>
    <row r="1943" spans="2:5" s="4" customFormat="1" ht="15.9" hidden="1" customHeight="1" x14ac:dyDescent="0.4"/>
    <row r="1944" spans="2:5" s="4" customFormat="1" hidden="1" x14ac:dyDescent="0.4"/>
    <row r="1945" spans="2:5" s="1" customFormat="1" ht="11.1" hidden="1" customHeight="1" x14ac:dyDescent="0.35">
      <c r="B1945" s="2"/>
      <c r="C1945" s="3"/>
      <c r="E1945" s="2"/>
    </row>
    <row r="1946" spans="2:5" s="4" customFormat="1" ht="15.9" hidden="1" customHeight="1" x14ac:dyDescent="0.4"/>
    <row r="1947" spans="2:5" s="4" customFormat="1" ht="15.9" hidden="1" customHeight="1" x14ac:dyDescent="0.4"/>
    <row r="1948" spans="2:5" s="4" customFormat="1" ht="15.9" hidden="1" customHeight="1" x14ac:dyDescent="0.4"/>
    <row r="1949" spans="2:5" s="4" customFormat="1" hidden="1" x14ac:dyDescent="0.4"/>
    <row r="1950" spans="2:5" s="4" customFormat="1" hidden="1" x14ac:dyDescent="0.4"/>
    <row r="1951" spans="2:5" s="4" customFormat="1" hidden="1" x14ac:dyDescent="0.4"/>
    <row r="1952" spans="2:5" s="4" customFormat="1" hidden="1" x14ac:dyDescent="0.4"/>
    <row r="1953" spans="2:12" s="4" customFormat="1" hidden="1" x14ac:dyDescent="0.4"/>
    <row r="1954" spans="2:12" s="4" customFormat="1" hidden="1" x14ac:dyDescent="0.4"/>
    <row r="1955" spans="2:12" s="4" customFormat="1" hidden="1" x14ac:dyDescent="0.4"/>
    <row r="1956" spans="2:12" s="4" customFormat="1" hidden="1" x14ac:dyDescent="0.4"/>
    <row r="1957" spans="2:12" s="4" customFormat="1" x14ac:dyDescent="0.4"/>
    <row r="1958" spans="2:12" s="4" customFormat="1" ht="19.2" x14ac:dyDescent="0.45">
      <c r="B1958" s="754" t="str">
        <f>"Transport to Plant"&amp;" - "&amp;Feedstocks!C56</f>
        <v xml:space="preserve">Transport to Plant - </v>
      </c>
      <c r="C1958" s="755"/>
      <c r="D1958" s="755"/>
      <c r="E1958" s="755"/>
      <c r="F1958" s="755"/>
      <c r="G1958" s="755"/>
      <c r="H1958" s="755"/>
      <c r="I1958" s="755"/>
      <c r="J1958" s="755"/>
      <c r="K1958" s="755"/>
      <c r="L1958" s="756"/>
    </row>
    <row r="1959" spans="2:12" s="4" customFormat="1" outlineLevel="1" x14ac:dyDescent="0.4">
      <c r="B1959" s="17"/>
      <c r="C1959" s="18"/>
      <c r="D1959" s="19"/>
      <c r="E1959" s="19"/>
      <c r="F1959" s="19"/>
      <c r="G1959" s="19"/>
      <c r="H1959" s="19"/>
      <c r="I1959" s="19"/>
      <c r="J1959" s="19"/>
      <c r="K1959" s="19"/>
      <c r="L1959" s="50"/>
    </row>
    <row r="1960" spans="2:12" s="4" customFormat="1" outlineLevel="1" x14ac:dyDescent="0.4">
      <c r="B1960" s="20"/>
      <c r="C1960" s="174" t="s">
        <v>87</v>
      </c>
      <c r="D1960" s="778" t="str">
        <f>IF(Feedstocks!$C$56&gt;0,Feedstocks!$C$56,"")</f>
        <v/>
      </c>
      <c r="E1960" s="778"/>
      <c r="F1960" s="778"/>
      <c r="G1960" s="1"/>
      <c r="H1960" s="303" t="s">
        <v>122</v>
      </c>
      <c r="I1960" s="47"/>
      <c r="J1960" s="47"/>
      <c r="K1960" s="61"/>
      <c r="L1960" s="35"/>
    </row>
    <row r="1961" spans="2:12" s="4" customFormat="1" outlineLevel="1" x14ac:dyDescent="0.4">
      <c r="B1961" s="20"/>
      <c r="C1961" s="1"/>
      <c r="D1961" s="1"/>
      <c r="E1961" s="1"/>
      <c r="F1961" s="1"/>
      <c r="G1961" s="76"/>
      <c r="H1961" s="43"/>
      <c r="I1961" s="36"/>
      <c r="J1961" s="164" t="s">
        <v>124</v>
      </c>
      <c r="K1961" s="44"/>
      <c r="L1961" s="35"/>
    </row>
    <row r="1962" spans="2:12" s="12" customFormat="1" ht="15" outlineLevel="1" x14ac:dyDescent="0.35">
      <c r="B1962" s="20"/>
      <c r="C1962" s="1"/>
      <c r="D1962" s="1"/>
      <c r="E1962" s="1"/>
      <c r="F1962" s="1"/>
      <c r="G1962" s="1"/>
      <c r="H1962" s="43"/>
      <c r="I1962" s="164" t="s">
        <v>125</v>
      </c>
      <c r="J1962" s="52" t="str">
        <f>IFERROR((J1965/(('Digestion &amp; outputs'!$G$57/1000)))*'Digestion &amp; outputs'!$K$23,"")</f>
        <v/>
      </c>
      <c r="K1962" s="44"/>
      <c r="L1962" s="54"/>
    </row>
    <row r="1963" spans="2:12" s="4" customFormat="1" outlineLevel="1" x14ac:dyDescent="0.4">
      <c r="B1963" s="20"/>
      <c r="C1963" s="164" t="s">
        <v>163</v>
      </c>
      <c r="D1963" s="134" t="s">
        <v>164</v>
      </c>
      <c r="E1963" s="1"/>
      <c r="F1963" s="1"/>
      <c r="G1963" s="1"/>
      <c r="H1963" s="41"/>
      <c r="I1963" s="34"/>
      <c r="J1963" s="34"/>
      <c r="K1963" s="37"/>
      <c r="L1963" s="35"/>
    </row>
    <row r="1964" spans="2:12" s="4" customFormat="1" outlineLevel="1" x14ac:dyDescent="0.4">
      <c r="B1964" s="20"/>
      <c r="C1964" s="164" t="s">
        <v>165</v>
      </c>
      <c r="D1964" s="143"/>
      <c r="E1964" s="1"/>
      <c r="F1964" s="1"/>
      <c r="G1964" s="1"/>
      <c r="H1964" s="41"/>
      <c r="I1964" s="36"/>
      <c r="J1964" s="164" t="s">
        <v>141</v>
      </c>
      <c r="K1964" s="37"/>
      <c r="L1964" s="35"/>
    </row>
    <row r="1965" spans="2:12" s="4" customFormat="1" outlineLevel="1" x14ac:dyDescent="0.4">
      <c r="B1965" s="20"/>
      <c r="C1965" s="164" t="s">
        <v>160</v>
      </c>
      <c r="D1965" s="134" t="s">
        <v>166</v>
      </c>
      <c r="E1965" s="1"/>
      <c r="F1965" s="1"/>
      <c r="G1965" s="1"/>
      <c r="H1965" s="42"/>
      <c r="I1965" s="164" t="s">
        <v>167</v>
      </c>
      <c r="J1965" s="52">
        <f>IFERROR(J1970,"Insert data")</f>
        <v>0</v>
      </c>
      <c r="K1965" s="62"/>
      <c r="L1965" s="35"/>
    </row>
    <row r="1966" spans="2:12" s="4" customFormat="1" outlineLevel="1" x14ac:dyDescent="0.4">
      <c r="B1966" s="20"/>
      <c r="C1966" s="21"/>
      <c r="D1966" s="21"/>
      <c r="E1966" s="21"/>
      <c r="F1966" s="21"/>
      <c r="G1966" s="21"/>
      <c r="H1966" s="46"/>
      <c r="I1966" s="58"/>
      <c r="J1966" s="58"/>
      <c r="K1966" s="59"/>
      <c r="L1966" s="35"/>
    </row>
    <row r="1967" spans="2:12" s="4" customFormat="1" outlineLevel="1" x14ac:dyDescent="0.4">
      <c r="B1967" s="20"/>
      <c r="C1967" s="25" t="s">
        <v>168</v>
      </c>
      <c r="D1967" s="21"/>
      <c r="E1967" s="21"/>
      <c r="F1967" s="21"/>
      <c r="G1967" s="21"/>
      <c r="H1967" s="21"/>
      <c r="I1967" s="21"/>
      <c r="J1967" s="21"/>
      <c r="K1967" s="21"/>
      <c r="L1967" s="35"/>
    </row>
    <row r="1968" spans="2:12" s="14" customFormat="1" ht="30.6" outlineLevel="1" x14ac:dyDescent="0.4">
      <c r="B1968" s="23"/>
      <c r="C1968" s="166" t="s">
        <v>131</v>
      </c>
      <c r="D1968" s="166" t="s">
        <v>169</v>
      </c>
      <c r="E1968" s="166" t="s">
        <v>170</v>
      </c>
      <c r="F1968" s="166" t="s">
        <v>171</v>
      </c>
      <c r="G1968" s="24"/>
      <c r="H1968" s="303" t="s">
        <v>136</v>
      </c>
      <c r="I1968" s="47"/>
      <c r="J1968" s="47"/>
      <c r="K1968" s="45"/>
      <c r="L1968" s="63"/>
    </row>
    <row r="1969" spans="2:12" s="4" customFormat="1" outlineLevel="1" x14ac:dyDescent="0.4">
      <c r="B1969" s="20"/>
      <c r="C1969" s="138" t="s">
        <v>96</v>
      </c>
      <c r="D1969" s="93">
        <v>1</v>
      </c>
      <c r="E1969" s="135"/>
      <c r="F1969" s="31">
        <f>IFERROR(IF(OR(C1969="Default",D1963="No transport required"),D1969,IF(ISBLANK(E1969),"Insert data",E1969)),"")</f>
        <v>1</v>
      </c>
      <c r="G1969" s="21"/>
      <c r="H1969" s="41"/>
      <c r="I1969" s="36"/>
      <c r="J1969" s="164" t="s">
        <v>141</v>
      </c>
      <c r="K1969" s="37"/>
      <c r="L1969" s="35"/>
    </row>
    <row r="1970" spans="2:12" s="4" customFormat="1" outlineLevel="1" x14ac:dyDescent="0.4">
      <c r="B1970" s="20"/>
      <c r="C1970" s="21"/>
      <c r="D1970" s="21"/>
      <c r="E1970" s="692" t="str">
        <f>IF(E1969&gt;1, "this should not be greater than 1", "")</f>
        <v/>
      </c>
      <c r="F1970" s="21"/>
      <c r="G1970" s="21"/>
      <c r="H1970" s="42"/>
      <c r="I1970" s="164" t="s">
        <v>172</v>
      </c>
      <c r="J1970" s="52">
        <f>IF(D1963="No transport required",0,IFERROR(E1973*INDEX(Fuel_EFs,MATCH(D1965,Fuels_for_EF,0))*D1964/1000,"Insert data"))</f>
        <v>0</v>
      </c>
      <c r="K1970" s="62"/>
      <c r="L1970" s="35"/>
    </row>
    <row r="1971" spans="2:12" s="4" customFormat="1" outlineLevel="1" x14ac:dyDescent="0.4">
      <c r="B1971" s="20"/>
      <c r="C1971" s="25" t="s">
        <v>173</v>
      </c>
      <c r="D1971" s="21"/>
      <c r="E1971" s="21"/>
      <c r="F1971" s="21"/>
      <c r="G1971" s="21"/>
      <c r="H1971" s="46"/>
      <c r="I1971" s="58"/>
      <c r="J1971" s="58"/>
      <c r="K1971" s="59"/>
      <c r="L1971" s="35"/>
    </row>
    <row r="1972" spans="2:12" s="14" customFormat="1" outlineLevel="1" x14ac:dyDescent="0.4">
      <c r="B1972" s="23"/>
      <c r="C1972" s="176" t="s">
        <v>174</v>
      </c>
      <c r="D1972" s="166" t="s">
        <v>175</v>
      </c>
      <c r="E1972" s="166" t="s">
        <v>176</v>
      </c>
      <c r="F1972" s="24"/>
      <c r="G1972" s="24"/>
      <c r="H1972" s="4"/>
      <c r="I1972" s="4"/>
      <c r="J1972" s="4"/>
      <c r="K1972" s="4"/>
      <c r="L1972" s="63"/>
    </row>
    <row r="1973" spans="2:12" s="4" customFormat="1" outlineLevel="1" x14ac:dyDescent="0.4">
      <c r="B1973" s="20"/>
      <c r="C1973" s="138" t="s">
        <v>96</v>
      </c>
      <c r="D1973" s="93">
        <f>IFERROR(INDEX(Transport_Fuel_Efficiencies,MATCH(D1963,Transport_Modes,0)),"Insert data")</f>
        <v>0</v>
      </c>
      <c r="E1973" s="31">
        <f>IFERROR(IF(C1973="Default",D1973,IF(OR(ISBLANK(E1975),ISBLANK(D1979),ISBLANK(D1983)),"Insert data",(IF(C1979="litres",(D1979*(INDEX(Fuel_Densities,MATCH(D1965,Fuels_for_Densities,0))/1000)*INDEX(Fuel_LHV,MATCH(D1965,Fuels_for_LHV,0)))/(D1983*D1964),(IF(C1979="m3",(D1979*(INDEX(Fuel_Densities,MATCH(D1965,Fuels_for_Densities,0)))*INDEX(Fuel_LHV,MATCH(D1965,Fuels_for_LHV,0)))/(D1983*D1964),IF(C1979="kg",(D1979*INDEX(Fuel_LHV,MATCH(D1965,Fuels_for_LHV,0)))/(D1983*D1964),IF(C1979="tonnes",(D1979*INDEX(Fuel_LHV,MATCH(D1965,Fuels_for_LHV,0))*1000)/(D1983*D1964),IF(C1979="MWh",(D1979*'Reference values'!$D$47)/(D1983*D1964),IF(C1979="kWh",(D1979*'Reference values'!$D$47/1000)/(D1983*D1964),"Insert unit")))))))))),"")</f>
        <v>0</v>
      </c>
      <c r="F1973" s="21"/>
      <c r="G1973" s="21"/>
      <c r="L1973" s="35"/>
    </row>
    <row r="1974" spans="2:12" s="4" customFormat="1" outlineLevel="1" x14ac:dyDescent="0.4">
      <c r="B1974" s="20"/>
      <c r="C1974" s="21"/>
      <c r="D1974" s="21"/>
      <c r="E1974" s="21"/>
      <c r="F1974" s="21"/>
      <c r="G1974" s="21"/>
      <c r="H1974" s="21"/>
      <c r="I1974" s="21"/>
      <c r="J1974" s="21"/>
      <c r="K1974" s="21"/>
      <c r="L1974" s="35"/>
    </row>
    <row r="1975" spans="2:12" s="4" customFormat="1" ht="16.5" customHeight="1" outlineLevel="1" x14ac:dyDescent="0.4">
      <c r="B1975" s="20"/>
      <c r="C1975" s="759" t="s">
        <v>177</v>
      </c>
      <c r="D1975" s="759"/>
      <c r="E1975" s="135" t="s">
        <v>178</v>
      </c>
      <c r="F1975" s="21"/>
      <c r="G1975" s="21"/>
      <c r="L1975" s="35"/>
    </row>
    <row r="1976" spans="2:12" s="4" customFormat="1" ht="12.75" customHeight="1" outlineLevel="1" x14ac:dyDescent="0.4">
      <c r="B1976" s="20"/>
      <c r="C1976" s="21"/>
      <c r="D1976" s="21"/>
      <c r="E1976" s="21"/>
      <c r="F1976" s="21"/>
      <c r="G1976" s="21"/>
      <c r="L1976" s="35"/>
    </row>
    <row r="1977" spans="2:12" s="4" customFormat="1" outlineLevel="1" x14ac:dyDescent="0.4">
      <c r="B1977" s="20"/>
      <c r="C1977" s="25" t="str">
        <f>IF(E1975="yes", "Fuel demand for outward journey",IF(E1975="No","Fuel demand for full journey (outward and return)",""))</f>
        <v>Fuel demand for full journey (outward and return)</v>
      </c>
      <c r="D1977" s="21"/>
      <c r="E1977" s="21"/>
      <c r="F1977" s="21"/>
      <c r="G1977" s="21"/>
      <c r="H1977" s="21"/>
      <c r="I1977" s="21"/>
      <c r="J1977" s="21"/>
      <c r="K1977" s="21"/>
      <c r="L1977" s="35"/>
    </row>
    <row r="1978" spans="2:12" s="4" customFormat="1" outlineLevel="1" x14ac:dyDescent="0.4">
      <c r="B1978" s="20"/>
      <c r="C1978" s="164" t="s">
        <v>151</v>
      </c>
      <c r="D1978" s="164" t="s">
        <v>140</v>
      </c>
      <c r="E1978" s="21"/>
      <c r="F1978" s="21"/>
      <c r="G1978" s="21"/>
      <c r="H1978" s="21"/>
      <c r="I1978" s="21"/>
      <c r="J1978" s="21"/>
      <c r="K1978" s="21"/>
      <c r="L1978" s="35"/>
    </row>
    <row r="1979" spans="2:12" s="4" customFormat="1" outlineLevel="1" x14ac:dyDescent="0.4">
      <c r="B1979" s="20"/>
      <c r="C1979" s="138"/>
      <c r="D1979" s="135"/>
      <c r="E1979" s="21"/>
      <c r="F1979" s="21"/>
      <c r="G1979" s="21"/>
      <c r="H1979" s="21"/>
      <c r="I1979" s="21"/>
      <c r="J1979" s="21"/>
      <c r="K1979" s="21"/>
      <c r="L1979" s="35"/>
    </row>
    <row r="1980" spans="2:12" s="4" customFormat="1" outlineLevel="1" x14ac:dyDescent="0.4">
      <c r="B1980" s="20"/>
      <c r="C1980" s="21"/>
      <c r="D1980" s="21"/>
      <c r="E1980" s="21"/>
      <c r="F1980" s="21"/>
      <c r="G1980" s="21"/>
      <c r="H1980" s="21"/>
      <c r="I1980" s="21"/>
      <c r="J1980" s="21"/>
      <c r="K1980" s="21"/>
      <c r="L1980" s="35"/>
    </row>
    <row r="1981" spans="2:12" s="4" customFormat="1" outlineLevel="1" x14ac:dyDescent="0.4">
      <c r="B1981" s="20"/>
      <c r="C1981" s="25" t="s">
        <v>180</v>
      </c>
      <c r="D1981" s="21"/>
      <c r="E1981" s="21"/>
      <c r="F1981" s="21"/>
      <c r="G1981" s="21"/>
      <c r="H1981" s="21"/>
      <c r="I1981" s="21"/>
      <c r="J1981" s="21"/>
      <c r="K1981" s="21"/>
      <c r="L1981" s="35"/>
    </row>
    <row r="1982" spans="2:12" s="4" customFormat="1" outlineLevel="1" x14ac:dyDescent="0.4">
      <c r="B1982" s="20"/>
      <c r="C1982" s="164" t="s">
        <v>151</v>
      </c>
      <c r="D1982" s="164" t="s">
        <v>140</v>
      </c>
      <c r="E1982" s="21"/>
      <c r="F1982" s="21"/>
      <c r="G1982" s="21"/>
      <c r="H1982" s="21"/>
      <c r="I1982" s="21"/>
      <c r="J1982" s="21"/>
      <c r="K1982" s="21"/>
      <c r="L1982" s="35"/>
    </row>
    <row r="1983" spans="2:12" s="4" customFormat="1" outlineLevel="1" x14ac:dyDescent="0.4">
      <c r="B1983" s="20"/>
      <c r="C1983" s="138"/>
      <c r="D1983" s="135"/>
      <c r="E1983" s="21"/>
      <c r="F1983" s="21"/>
      <c r="G1983" s="21"/>
      <c r="H1983" s="21"/>
      <c r="I1983" s="21"/>
      <c r="J1983" s="21"/>
      <c r="K1983" s="21"/>
      <c r="L1983" s="35"/>
    </row>
    <row r="1984" spans="2:12" s="4" customFormat="1" ht="12.75" customHeight="1" outlineLevel="1" x14ac:dyDescent="0.4">
      <c r="B1984" s="28"/>
      <c r="C1984" s="29"/>
      <c r="D1984" s="29"/>
      <c r="E1984" s="29"/>
      <c r="F1984" s="29"/>
      <c r="G1984" s="29"/>
      <c r="H1984" s="29"/>
      <c r="I1984" s="29"/>
      <c r="J1984" s="29"/>
      <c r="K1984" s="29"/>
      <c r="L1984" s="60"/>
    </row>
    <row r="1985" spans="2:5" s="4" customFormat="1" ht="3" customHeight="1" x14ac:dyDescent="0.4"/>
    <row r="1986" spans="2:5" s="4" customFormat="1" ht="8.4" hidden="1" customHeight="1" x14ac:dyDescent="0.4"/>
    <row r="1987" spans="2:5" s="1" customFormat="1" ht="11.1" hidden="1" customHeight="1" x14ac:dyDescent="0.35">
      <c r="B1987" s="2"/>
      <c r="C1987" s="3"/>
      <c r="E1987" s="2"/>
    </row>
    <row r="1988" spans="2:5" s="4" customFormat="1" ht="15.9" hidden="1" customHeight="1" x14ac:dyDescent="0.4"/>
    <row r="1989" spans="2:5" s="4" customFormat="1" ht="15.9" hidden="1" customHeight="1" x14ac:dyDescent="0.4"/>
    <row r="1990" spans="2:5" s="4" customFormat="1" ht="15.9" hidden="1" customHeight="1" x14ac:dyDescent="0.4"/>
    <row r="1991" spans="2:5" s="4" customFormat="1" hidden="1" x14ac:dyDescent="0.4"/>
    <row r="1992" spans="2:5" s="4" customFormat="1" ht="15.9" hidden="1" customHeight="1" x14ac:dyDescent="0.4"/>
    <row r="1993" spans="2:5" s="4" customFormat="1" ht="15.9" hidden="1" customHeight="1" x14ac:dyDescent="0.4"/>
    <row r="1994" spans="2:5" s="4" customFormat="1" hidden="1" x14ac:dyDescent="0.4"/>
    <row r="1995" spans="2:5" s="1" customFormat="1" ht="11.1" hidden="1" customHeight="1" x14ac:dyDescent="0.35">
      <c r="B1995" s="2"/>
      <c r="C1995" s="3"/>
      <c r="E1995" s="2"/>
    </row>
    <row r="1996" spans="2:5" s="4" customFormat="1" ht="15.9" hidden="1" customHeight="1" x14ac:dyDescent="0.4"/>
    <row r="1997" spans="2:5" s="4" customFormat="1" ht="15.9" hidden="1" customHeight="1" x14ac:dyDescent="0.4"/>
    <row r="1998" spans="2:5" s="4" customFormat="1" ht="15.9" hidden="1" customHeight="1" x14ac:dyDescent="0.4"/>
    <row r="1999" spans="2:5" s="4" customFormat="1" hidden="1" x14ac:dyDescent="0.4"/>
    <row r="2000" spans="2:5" s="4" customFormat="1" hidden="1" x14ac:dyDescent="0.4"/>
    <row r="2001" spans="2:12" s="4" customFormat="1" hidden="1" x14ac:dyDescent="0.4"/>
    <row r="2002" spans="2:12" s="4" customFormat="1" hidden="1" x14ac:dyDescent="0.4"/>
    <row r="2003" spans="2:12" s="4" customFormat="1" hidden="1" x14ac:dyDescent="0.4"/>
    <row r="2004" spans="2:12" s="4" customFormat="1" hidden="1" x14ac:dyDescent="0.4"/>
    <row r="2005" spans="2:12" s="4" customFormat="1" hidden="1" x14ac:dyDescent="0.4"/>
    <row r="2006" spans="2:12" s="4" customFormat="1" hidden="1" x14ac:dyDescent="0.4"/>
    <row r="2007" spans="2:12" s="4" customFormat="1" x14ac:dyDescent="0.4"/>
    <row r="2008" spans="2:12" s="4" customFormat="1" ht="19.2" x14ac:dyDescent="0.45">
      <c r="B2008" s="754" t="str">
        <f>"Transport to Plant"&amp;" - "&amp;Feedstocks!C57</f>
        <v xml:space="preserve">Transport to Plant - </v>
      </c>
      <c r="C2008" s="755"/>
      <c r="D2008" s="755"/>
      <c r="E2008" s="755"/>
      <c r="F2008" s="755"/>
      <c r="G2008" s="755"/>
      <c r="H2008" s="755"/>
      <c r="I2008" s="755"/>
      <c r="J2008" s="755"/>
      <c r="K2008" s="755"/>
      <c r="L2008" s="756"/>
    </row>
    <row r="2009" spans="2:12" s="4" customFormat="1" outlineLevel="1" x14ac:dyDescent="0.4">
      <c r="B2009" s="17"/>
      <c r="C2009" s="18"/>
      <c r="D2009" s="19"/>
      <c r="E2009" s="19"/>
      <c r="F2009" s="19"/>
      <c r="G2009" s="19"/>
      <c r="H2009" s="19"/>
      <c r="I2009" s="19"/>
      <c r="J2009" s="19"/>
      <c r="K2009" s="19"/>
      <c r="L2009" s="50"/>
    </row>
    <row r="2010" spans="2:12" s="4" customFormat="1" outlineLevel="1" x14ac:dyDescent="0.4">
      <c r="B2010" s="20"/>
      <c r="C2010" s="174" t="s">
        <v>87</v>
      </c>
      <c r="D2010" s="778" t="str">
        <f>IF(Feedstocks!$C$57&gt;0,Feedstocks!$C$57,"")</f>
        <v/>
      </c>
      <c r="E2010" s="778"/>
      <c r="F2010" s="778"/>
      <c r="G2010" s="1"/>
      <c r="H2010" s="303" t="s">
        <v>122</v>
      </c>
      <c r="I2010" s="47"/>
      <c r="J2010" s="47"/>
      <c r="K2010" s="61"/>
      <c r="L2010" s="35"/>
    </row>
    <row r="2011" spans="2:12" s="4" customFormat="1" outlineLevel="1" x14ac:dyDescent="0.4">
      <c r="B2011" s="20"/>
      <c r="C2011" s="1"/>
      <c r="D2011" s="1"/>
      <c r="E2011" s="1"/>
      <c r="F2011" s="1"/>
      <c r="G2011" s="76"/>
      <c r="H2011" s="43"/>
      <c r="I2011" s="36"/>
      <c r="J2011" s="164" t="s">
        <v>124</v>
      </c>
      <c r="K2011" s="44"/>
      <c r="L2011" s="35"/>
    </row>
    <row r="2012" spans="2:12" s="12" customFormat="1" ht="15" outlineLevel="1" x14ac:dyDescent="0.35">
      <c r="B2012" s="20"/>
      <c r="C2012" s="1"/>
      <c r="D2012" s="1"/>
      <c r="E2012" s="1"/>
      <c r="F2012" s="1"/>
      <c r="G2012" s="1"/>
      <c r="H2012" s="43"/>
      <c r="I2012" s="164" t="s">
        <v>125</v>
      </c>
      <c r="J2012" s="52" t="str">
        <f>IFERROR((J2015/(('Digestion &amp; outputs'!$G$58/1000)))*'Digestion &amp; outputs'!$K$23,"")</f>
        <v/>
      </c>
      <c r="K2012" s="44"/>
      <c r="L2012" s="54"/>
    </row>
    <row r="2013" spans="2:12" s="4" customFormat="1" outlineLevel="1" x14ac:dyDescent="0.4">
      <c r="B2013" s="20"/>
      <c r="C2013" s="164" t="s">
        <v>163</v>
      </c>
      <c r="D2013" s="134" t="s">
        <v>164</v>
      </c>
      <c r="E2013" s="1"/>
      <c r="F2013" s="1"/>
      <c r="G2013" s="1"/>
      <c r="H2013" s="41"/>
      <c r="I2013" s="34"/>
      <c r="J2013" s="34"/>
      <c r="K2013" s="37"/>
      <c r="L2013" s="35"/>
    </row>
    <row r="2014" spans="2:12" s="4" customFormat="1" outlineLevel="1" x14ac:dyDescent="0.4">
      <c r="B2014" s="20"/>
      <c r="C2014" s="164" t="s">
        <v>165</v>
      </c>
      <c r="D2014" s="143"/>
      <c r="E2014" s="1"/>
      <c r="F2014" s="1"/>
      <c r="G2014" s="1"/>
      <c r="H2014" s="41"/>
      <c r="I2014" s="36"/>
      <c r="J2014" s="164" t="s">
        <v>141</v>
      </c>
      <c r="K2014" s="37"/>
      <c r="L2014" s="35"/>
    </row>
    <row r="2015" spans="2:12" s="4" customFormat="1" outlineLevel="1" x14ac:dyDescent="0.4">
      <c r="B2015" s="20"/>
      <c r="C2015" s="164" t="s">
        <v>160</v>
      </c>
      <c r="D2015" s="134" t="s">
        <v>166</v>
      </c>
      <c r="E2015" s="1"/>
      <c r="F2015" s="1"/>
      <c r="G2015" s="1"/>
      <c r="H2015" s="42"/>
      <c r="I2015" s="164" t="s">
        <v>167</v>
      </c>
      <c r="J2015" s="52">
        <f>IFERROR(J2020,"Insert data")</f>
        <v>0</v>
      </c>
      <c r="K2015" s="62"/>
      <c r="L2015" s="35"/>
    </row>
    <row r="2016" spans="2:12" s="4" customFormat="1" outlineLevel="1" x14ac:dyDescent="0.4">
      <c r="B2016" s="20"/>
      <c r="C2016" s="21"/>
      <c r="D2016" s="21"/>
      <c r="E2016" s="21"/>
      <c r="F2016" s="21"/>
      <c r="G2016" s="21"/>
      <c r="H2016" s="46"/>
      <c r="I2016" s="58"/>
      <c r="J2016" s="58"/>
      <c r="K2016" s="59"/>
      <c r="L2016" s="35"/>
    </row>
    <row r="2017" spans="2:12" s="4" customFormat="1" outlineLevel="1" x14ac:dyDescent="0.4">
      <c r="B2017" s="20"/>
      <c r="C2017" s="25" t="s">
        <v>168</v>
      </c>
      <c r="D2017" s="21"/>
      <c r="E2017" s="21"/>
      <c r="F2017" s="21"/>
      <c r="G2017" s="21"/>
      <c r="H2017" s="21"/>
      <c r="I2017" s="21"/>
      <c r="J2017" s="21"/>
      <c r="K2017" s="21"/>
      <c r="L2017" s="35"/>
    </row>
    <row r="2018" spans="2:12" s="14" customFormat="1" ht="30.6" outlineLevel="1" x14ac:dyDescent="0.4">
      <c r="B2018" s="23"/>
      <c r="C2018" s="166" t="s">
        <v>131</v>
      </c>
      <c r="D2018" s="166" t="s">
        <v>169</v>
      </c>
      <c r="E2018" s="166" t="s">
        <v>170</v>
      </c>
      <c r="F2018" s="166" t="s">
        <v>171</v>
      </c>
      <c r="G2018" s="24"/>
      <c r="H2018" s="303" t="s">
        <v>136</v>
      </c>
      <c r="I2018" s="47"/>
      <c r="J2018" s="47"/>
      <c r="K2018" s="45"/>
      <c r="L2018" s="63"/>
    </row>
    <row r="2019" spans="2:12" s="4" customFormat="1" outlineLevel="1" x14ac:dyDescent="0.4">
      <c r="B2019" s="20"/>
      <c r="C2019" s="138" t="s">
        <v>96</v>
      </c>
      <c r="D2019" s="93">
        <v>1</v>
      </c>
      <c r="E2019" s="135"/>
      <c r="F2019" s="31">
        <f>IFERROR(IF(OR(C2019="Default",D2013="No transport required"),D2019,IF(ISBLANK(E2019),"Insert data",E2019)),"")</f>
        <v>1</v>
      </c>
      <c r="G2019" s="21"/>
      <c r="H2019" s="41"/>
      <c r="I2019" s="36"/>
      <c r="J2019" s="164" t="s">
        <v>141</v>
      </c>
      <c r="K2019" s="37"/>
      <c r="L2019" s="35"/>
    </row>
    <row r="2020" spans="2:12" s="4" customFormat="1" outlineLevel="1" x14ac:dyDescent="0.4">
      <c r="B2020" s="20"/>
      <c r="C2020" s="21"/>
      <c r="D2020" s="21"/>
      <c r="E2020" s="692" t="str">
        <f>IF(E2019&gt;1, "this should not be greater than 1", "")</f>
        <v/>
      </c>
      <c r="F2020" s="21"/>
      <c r="G2020" s="21"/>
      <c r="H2020" s="42"/>
      <c r="I2020" s="164" t="s">
        <v>172</v>
      </c>
      <c r="J2020" s="52">
        <f>IF(D2013="No transport required",0,IFERROR(E2023*INDEX(Fuel_EFs,MATCH(D2015,Fuels_for_EF,0))*D2014/1000,"Insert data"))</f>
        <v>0</v>
      </c>
      <c r="K2020" s="62"/>
      <c r="L2020" s="35"/>
    </row>
    <row r="2021" spans="2:12" s="4" customFormat="1" outlineLevel="1" x14ac:dyDescent="0.4">
      <c r="B2021" s="20"/>
      <c r="C2021" s="25" t="s">
        <v>173</v>
      </c>
      <c r="D2021" s="21"/>
      <c r="E2021" s="21"/>
      <c r="F2021" s="21"/>
      <c r="G2021" s="21"/>
      <c r="H2021" s="46"/>
      <c r="I2021" s="58"/>
      <c r="J2021" s="58"/>
      <c r="K2021" s="59"/>
      <c r="L2021" s="35"/>
    </row>
    <row r="2022" spans="2:12" s="14" customFormat="1" outlineLevel="1" x14ac:dyDescent="0.4">
      <c r="B2022" s="23"/>
      <c r="C2022" s="176" t="s">
        <v>174</v>
      </c>
      <c r="D2022" s="166" t="s">
        <v>175</v>
      </c>
      <c r="E2022" s="166" t="s">
        <v>176</v>
      </c>
      <c r="F2022" s="24"/>
      <c r="G2022" s="24"/>
      <c r="H2022" s="4"/>
      <c r="I2022" s="4"/>
      <c r="J2022" s="4"/>
      <c r="K2022" s="4"/>
      <c r="L2022" s="63"/>
    </row>
    <row r="2023" spans="2:12" s="4" customFormat="1" outlineLevel="1" x14ac:dyDescent="0.4">
      <c r="B2023" s="20"/>
      <c r="C2023" s="138" t="s">
        <v>96</v>
      </c>
      <c r="D2023" s="93">
        <f>IFERROR(INDEX(Transport_Fuel_Efficiencies,MATCH(D2013,Transport_Modes,0)),"Insert data")</f>
        <v>0</v>
      </c>
      <c r="E2023" s="31">
        <f>IFERROR(IF(C2023="Default",D2023,IF(OR(ISBLANK(E2025),ISBLANK(D2029),ISBLANK(D2033)),"Insert data",(IF(C2029="litres",(D2029*(INDEX(Fuel_Densities,MATCH(D2015,Fuels_for_Densities,0))/1000)*INDEX(Fuel_LHV,MATCH(D2015,Fuels_for_LHV,0)))/(D2033*D2014),(IF(C2029="m3",(D2029*(INDEX(Fuel_Densities,MATCH(D2015,Fuels_for_Densities,0)))*INDEX(Fuel_LHV,MATCH(D2015,Fuels_for_LHV,0)))/(D2033*D2014),IF(C2029="kg",(D2029*INDEX(Fuel_LHV,MATCH(D2015,Fuels_for_LHV,0)))/(D2033*D2014),IF(C2029="tonnes",(D2029*INDEX(Fuel_LHV,MATCH(D2015,Fuels_for_LHV,0))*1000)/(D2033*D2014),IF(C2029="MWh",(D2029*'Reference values'!$D$47)/(D2033*D2014),IF(C2029="kWh",(D2029*'Reference values'!$D$47/1000)/(D2033*D2014),"Insert unit")))))))))),"")</f>
        <v>0</v>
      </c>
      <c r="F2023" s="21"/>
      <c r="G2023" s="21"/>
      <c r="L2023" s="35"/>
    </row>
    <row r="2024" spans="2:12" s="4" customFormat="1" outlineLevel="1" x14ac:dyDescent="0.4">
      <c r="B2024" s="20"/>
      <c r="C2024" s="21"/>
      <c r="D2024" s="21"/>
      <c r="E2024" s="21"/>
      <c r="F2024" s="21"/>
      <c r="G2024" s="21"/>
      <c r="H2024" s="21"/>
      <c r="I2024" s="21"/>
      <c r="J2024" s="21"/>
      <c r="K2024" s="21"/>
      <c r="L2024" s="35"/>
    </row>
    <row r="2025" spans="2:12" s="4" customFormat="1" ht="16.5" customHeight="1" outlineLevel="1" x14ac:dyDescent="0.4">
      <c r="B2025" s="20"/>
      <c r="C2025" s="759" t="s">
        <v>177</v>
      </c>
      <c r="D2025" s="759"/>
      <c r="E2025" s="135" t="s">
        <v>178</v>
      </c>
      <c r="F2025" s="21"/>
      <c r="G2025" s="21"/>
      <c r="L2025" s="35"/>
    </row>
    <row r="2026" spans="2:12" s="4" customFormat="1" ht="12.75" customHeight="1" outlineLevel="1" x14ac:dyDescent="0.4">
      <c r="B2026" s="20"/>
      <c r="C2026" s="21"/>
      <c r="D2026" s="21"/>
      <c r="E2026" s="21"/>
      <c r="F2026" s="21"/>
      <c r="G2026" s="21"/>
      <c r="L2026" s="35"/>
    </row>
    <row r="2027" spans="2:12" s="4" customFormat="1" outlineLevel="1" x14ac:dyDescent="0.4">
      <c r="B2027" s="20"/>
      <c r="C2027" s="25" t="str">
        <f>IF(E2025="yes", "Fuel demand for outward journey",IF(E2025="No","Fuel demand for full journey (outward and return)",""))</f>
        <v>Fuel demand for full journey (outward and return)</v>
      </c>
      <c r="D2027" s="21"/>
      <c r="E2027" s="21"/>
      <c r="F2027" s="21"/>
      <c r="G2027" s="21"/>
      <c r="H2027" s="21"/>
      <c r="I2027" s="21"/>
      <c r="J2027" s="21"/>
      <c r="K2027" s="21"/>
      <c r="L2027" s="35"/>
    </row>
    <row r="2028" spans="2:12" s="4" customFormat="1" outlineLevel="1" x14ac:dyDescent="0.4">
      <c r="B2028" s="20"/>
      <c r="C2028" s="164" t="s">
        <v>151</v>
      </c>
      <c r="D2028" s="164" t="s">
        <v>140</v>
      </c>
      <c r="E2028" s="21"/>
      <c r="F2028" s="21"/>
      <c r="G2028" s="21"/>
      <c r="H2028" s="21"/>
      <c r="I2028" s="21"/>
      <c r="J2028" s="21"/>
      <c r="K2028" s="21"/>
      <c r="L2028" s="35"/>
    </row>
    <row r="2029" spans="2:12" s="4" customFormat="1" outlineLevel="1" x14ac:dyDescent="0.4">
      <c r="B2029" s="20"/>
      <c r="C2029" s="138"/>
      <c r="D2029" s="135"/>
      <c r="E2029" s="21"/>
      <c r="F2029" s="21"/>
      <c r="G2029" s="21"/>
      <c r="H2029" s="21"/>
      <c r="I2029" s="21"/>
      <c r="J2029" s="21"/>
      <c r="K2029" s="21"/>
      <c r="L2029" s="35"/>
    </row>
    <row r="2030" spans="2:12" s="4" customFormat="1" outlineLevel="1" x14ac:dyDescent="0.4">
      <c r="B2030" s="20"/>
      <c r="C2030" s="21"/>
      <c r="D2030" s="21"/>
      <c r="E2030" s="21"/>
      <c r="F2030" s="21"/>
      <c r="G2030" s="21"/>
      <c r="H2030" s="21"/>
      <c r="I2030" s="21"/>
      <c r="J2030" s="21"/>
      <c r="K2030" s="21"/>
      <c r="L2030" s="35"/>
    </row>
    <row r="2031" spans="2:12" s="4" customFormat="1" outlineLevel="1" x14ac:dyDescent="0.4">
      <c r="B2031" s="20"/>
      <c r="C2031" s="25" t="s">
        <v>180</v>
      </c>
      <c r="D2031" s="21"/>
      <c r="E2031" s="21"/>
      <c r="F2031" s="21"/>
      <c r="G2031" s="21"/>
      <c r="H2031" s="21"/>
      <c r="I2031" s="21"/>
      <c r="J2031" s="21"/>
      <c r="K2031" s="21"/>
      <c r="L2031" s="35"/>
    </row>
    <row r="2032" spans="2:12" s="4" customFormat="1" outlineLevel="1" x14ac:dyDescent="0.4">
      <c r="B2032" s="20"/>
      <c r="C2032" s="164" t="s">
        <v>151</v>
      </c>
      <c r="D2032" s="164" t="s">
        <v>140</v>
      </c>
      <c r="E2032" s="21"/>
      <c r="F2032" s="21"/>
      <c r="G2032" s="21"/>
      <c r="H2032" s="21"/>
      <c r="I2032" s="21"/>
      <c r="J2032" s="21"/>
      <c r="K2032" s="21"/>
      <c r="L2032" s="35"/>
    </row>
    <row r="2033" spans="2:12" s="4" customFormat="1" outlineLevel="1" x14ac:dyDescent="0.4">
      <c r="B2033" s="20"/>
      <c r="C2033" s="138"/>
      <c r="D2033" s="135"/>
      <c r="E2033" s="21"/>
      <c r="F2033" s="21"/>
      <c r="G2033" s="21"/>
      <c r="H2033" s="21"/>
      <c r="I2033" s="21"/>
      <c r="J2033" s="21"/>
      <c r="K2033" s="21"/>
      <c r="L2033" s="35"/>
    </row>
    <row r="2034" spans="2:12" s="4" customFormat="1" ht="12.75" customHeight="1" outlineLevel="1" x14ac:dyDescent="0.4">
      <c r="B2034" s="28"/>
      <c r="C2034" s="29"/>
      <c r="D2034" s="29"/>
      <c r="E2034" s="29"/>
      <c r="F2034" s="29"/>
      <c r="G2034" s="29"/>
      <c r="H2034" s="29"/>
      <c r="I2034" s="29"/>
      <c r="J2034" s="29"/>
      <c r="K2034" s="29"/>
      <c r="L2034" s="60"/>
    </row>
    <row r="2035" spans="2:12" s="4" customFormat="1" ht="3" customHeight="1" x14ac:dyDescent="0.4"/>
    <row r="2036" spans="2:12" s="4" customFormat="1" ht="8.4" hidden="1" customHeight="1" x14ac:dyDescent="0.4"/>
    <row r="2037" spans="2:12" s="1" customFormat="1" ht="11.1" hidden="1" customHeight="1" x14ac:dyDescent="0.35">
      <c r="B2037" s="2"/>
      <c r="C2037" s="3"/>
      <c r="E2037" s="2"/>
    </row>
    <row r="2038" spans="2:12" s="4" customFormat="1" ht="15.9" hidden="1" customHeight="1" x14ac:dyDescent="0.4"/>
    <row r="2039" spans="2:12" s="4" customFormat="1" ht="15.9" hidden="1" customHeight="1" x14ac:dyDescent="0.4"/>
    <row r="2040" spans="2:12" s="4" customFormat="1" ht="15.9" hidden="1" customHeight="1" x14ac:dyDescent="0.4"/>
    <row r="2041" spans="2:12" s="4" customFormat="1" hidden="1" x14ac:dyDescent="0.4"/>
    <row r="2042" spans="2:12" s="4" customFormat="1" ht="15.9" hidden="1" customHeight="1" x14ac:dyDescent="0.4"/>
    <row r="2043" spans="2:12" s="4" customFormat="1" ht="15.9" hidden="1" customHeight="1" x14ac:dyDescent="0.4"/>
    <row r="2044" spans="2:12" s="4" customFormat="1" hidden="1" x14ac:dyDescent="0.4"/>
    <row r="2045" spans="2:12" s="1" customFormat="1" ht="11.1" hidden="1" customHeight="1" x14ac:dyDescent="0.35">
      <c r="B2045" s="2"/>
      <c r="C2045" s="3"/>
      <c r="E2045" s="2"/>
    </row>
    <row r="2046" spans="2:12" s="4" customFormat="1" ht="15.9" hidden="1" customHeight="1" x14ac:dyDescent="0.4"/>
    <row r="2047" spans="2:12" s="4" customFormat="1" ht="15.9" hidden="1" customHeight="1" x14ac:dyDescent="0.4"/>
    <row r="2048" spans="2:12" s="4" customFormat="1" ht="15.9" hidden="1" customHeight="1" x14ac:dyDescent="0.4"/>
    <row r="2049" spans="2:12" s="4" customFormat="1" hidden="1" x14ac:dyDescent="0.4"/>
    <row r="2050" spans="2:12" s="4" customFormat="1" hidden="1" x14ac:dyDescent="0.4"/>
    <row r="2051" spans="2:12" s="4" customFormat="1" hidden="1" x14ac:dyDescent="0.4"/>
    <row r="2052" spans="2:12" s="4" customFormat="1" hidden="1" x14ac:dyDescent="0.4"/>
    <row r="2053" spans="2:12" s="4" customFormat="1" hidden="1" x14ac:dyDescent="0.4"/>
    <row r="2054" spans="2:12" s="4" customFormat="1" hidden="1" x14ac:dyDescent="0.4"/>
    <row r="2055" spans="2:12" s="4" customFormat="1" hidden="1" x14ac:dyDescent="0.4"/>
    <row r="2056" spans="2:12" s="4" customFormat="1" hidden="1" x14ac:dyDescent="0.4"/>
    <row r="2057" spans="2:12" s="4" customFormat="1" x14ac:dyDescent="0.4"/>
    <row r="2058" spans="2:12" s="4" customFormat="1" ht="19.2" x14ac:dyDescent="0.45">
      <c r="B2058" s="754" t="str">
        <f>"Transport to Plant"&amp;" - "&amp;Feedstocks!C58</f>
        <v xml:space="preserve">Transport to Plant - </v>
      </c>
      <c r="C2058" s="755"/>
      <c r="D2058" s="755"/>
      <c r="E2058" s="755"/>
      <c r="F2058" s="755"/>
      <c r="G2058" s="755"/>
      <c r="H2058" s="755"/>
      <c r="I2058" s="755"/>
      <c r="J2058" s="755"/>
      <c r="K2058" s="755"/>
      <c r="L2058" s="756"/>
    </row>
    <row r="2059" spans="2:12" s="4" customFormat="1" outlineLevel="1" x14ac:dyDescent="0.4">
      <c r="B2059" s="17"/>
      <c r="C2059" s="18"/>
      <c r="D2059" s="19"/>
      <c r="E2059" s="19"/>
      <c r="F2059" s="19"/>
      <c r="G2059" s="19"/>
      <c r="H2059" s="19"/>
      <c r="I2059" s="19"/>
      <c r="J2059" s="19"/>
      <c r="K2059" s="19"/>
      <c r="L2059" s="50"/>
    </row>
    <row r="2060" spans="2:12" s="4" customFormat="1" outlineLevel="1" x14ac:dyDescent="0.4">
      <c r="B2060" s="20"/>
      <c r="C2060" s="174" t="s">
        <v>87</v>
      </c>
      <c r="D2060" s="778" t="str">
        <f>IF(Feedstocks!$C$58&gt;0,Feedstocks!$C$58,"")</f>
        <v/>
      </c>
      <c r="E2060" s="778"/>
      <c r="F2060" s="778"/>
      <c r="G2060" s="1"/>
      <c r="H2060" s="303" t="s">
        <v>122</v>
      </c>
      <c r="I2060" s="47"/>
      <c r="J2060" s="47"/>
      <c r="K2060" s="61"/>
      <c r="L2060" s="35"/>
    </row>
    <row r="2061" spans="2:12" s="4" customFormat="1" outlineLevel="1" x14ac:dyDescent="0.4">
      <c r="B2061" s="20"/>
      <c r="C2061" s="1"/>
      <c r="D2061" s="1"/>
      <c r="E2061" s="1"/>
      <c r="F2061" s="1"/>
      <c r="G2061" s="76"/>
      <c r="H2061" s="43"/>
      <c r="I2061" s="36"/>
      <c r="J2061" s="164" t="s">
        <v>124</v>
      </c>
      <c r="K2061" s="44"/>
      <c r="L2061" s="35"/>
    </row>
    <row r="2062" spans="2:12" s="12" customFormat="1" ht="15" outlineLevel="1" x14ac:dyDescent="0.35">
      <c r="B2062" s="20"/>
      <c r="C2062" s="1"/>
      <c r="D2062" s="1"/>
      <c r="E2062" s="1"/>
      <c r="F2062" s="1"/>
      <c r="G2062" s="1"/>
      <c r="H2062" s="43"/>
      <c r="I2062" s="164" t="s">
        <v>125</v>
      </c>
      <c r="J2062" s="52" t="str">
        <f>IFERROR((J2065/(('Digestion &amp; outputs'!$G$59/1000)))*'Digestion &amp; outputs'!$K$23,"")</f>
        <v/>
      </c>
      <c r="K2062" s="44"/>
      <c r="L2062" s="54"/>
    </row>
    <row r="2063" spans="2:12" s="4" customFormat="1" outlineLevel="1" x14ac:dyDescent="0.4">
      <c r="B2063" s="20"/>
      <c r="C2063" s="164" t="s">
        <v>163</v>
      </c>
      <c r="D2063" s="134" t="s">
        <v>164</v>
      </c>
      <c r="E2063" s="1"/>
      <c r="F2063" s="1"/>
      <c r="G2063" s="1"/>
      <c r="H2063" s="41"/>
      <c r="I2063" s="34"/>
      <c r="J2063" s="34"/>
      <c r="K2063" s="37"/>
      <c r="L2063" s="35"/>
    </row>
    <row r="2064" spans="2:12" s="4" customFormat="1" outlineLevel="1" x14ac:dyDescent="0.4">
      <c r="B2064" s="20"/>
      <c r="C2064" s="164" t="s">
        <v>165</v>
      </c>
      <c r="D2064" s="143"/>
      <c r="E2064" s="1"/>
      <c r="F2064" s="1"/>
      <c r="G2064" s="1"/>
      <c r="H2064" s="41"/>
      <c r="I2064" s="36"/>
      <c r="J2064" s="164" t="s">
        <v>141</v>
      </c>
      <c r="K2064" s="37"/>
      <c r="L2064" s="35"/>
    </row>
    <row r="2065" spans="2:12" s="4" customFormat="1" outlineLevel="1" x14ac:dyDescent="0.4">
      <c r="B2065" s="20"/>
      <c r="C2065" s="164" t="s">
        <v>160</v>
      </c>
      <c r="D2065" s="134" t="s">
        <v>166</v>
      </c>
      <c r="E2065" s="1"/>
      <c r="F2065" s="1"/>
      <c r="G2065" s="1"/>
      <c r="H2065" s="42"/>
      <c r="I2065" s="164" t="s">
        <v>167</v>
      </c>
      <c r="J2065" s="52">
        <f>IFERROR(J2070,"Insert data")</f>
        <v>0</v>
      </c>
      <c r="K2065" s="62"/>
      <c r="L2065" s="35"/>
    </row>
    <row r="2066" spans="2:12" s="4" customFormat="1" outlineLevel="1" x14ac:dyDescent="0.4">
      <c r="B2066" s="20"/>
      <c r="C2066" s="21"/>
      <c r="D2066" s="21"/>
      <c r="E2066" s="21"/>
      <c r="F2066" s="21"/>
      <c r="G2066" s="21"/>
      <c r="H2066" s="46"/>
      <c r="I2066" s="58"/>
      <c r="J2066" s="58"/>
      <c r="K2066" s="59"/>
      <c r="L2066" s="35"/>
    </row>
    <row r="2067" spans="2:12" s="4" customFormat="1" outlineLevel="1" x14ac:dyDescent="0.4">
      <c r="B2067" s="20"/>
      <c r="C2067" s="25" t="s">
        <v>168</v>
      </c>
      <c r="D2067" s="21"/>
      <c r="E2067" s="21"/>
      <c r="F2067" s="21"/>
      <c r="G2067" s="21"/>
      <c r="H2067" s="21"/>
      <c r="I2067" s="21"/>
      <c r="J2067" s="21"/>
      <c r="K2067" s="21"/>
      <c r="L2067" s="35"/>
    </row>
    <row r="2068" spans="2:12" s="14" customFormat="1" ht="30.6" outlineLevel="1" x14ac:dyDescent="0.4">
      <c r="B2068" s="23"/>
      <c r="C2068" s="166" t="s">
        <v>131</v>
      </c>
      <c r="D2068" s="166" t="s">
        <v>169</v>
      </c>
      <c r="E2068" s="166" t="s">
        <v>170</v>
      </c>
      <c r="F2068" s="166" t="s">
        <v>171</v>
      </c>
      <c r="G2068" s="24"/>
      <c r="H2068" s="303" t="s">
        <v>136</v>
      </c>
      <c r="I2068" s="47"/>
      <c r="J2068" s="47"/>
      <c r="K2068" s="45"/>
      <c r="L2068" s="63"/>
    </row>
    <row r="2069" spans="2:12" s="4" customFormat="1" outlineLevel="1" x14ac:dyDescent="0.4">
      <c r="B2069" s="20"/>
      <c r="C2069" s="138" t="s">
        <v>96</v>
      </c>
      <c r="D2069" s="93">
        <v>1</v>
      </c>
      <c r="E2069" s="135"/>
      <c r="F2069" s="31">
        <f>IFERROR(IF(OR(C2069="Default",D2063="No transport required"),D2069,IF(ISBLANK(E2069),"Insert data",E2069)),"")</f>
        <v>1</v>
      </c>
      <c r="G2069" s="21"/>
      <c r="H2069" s="41"/>
      <c r="I2069" s="36"/>
      <c r="J2069" s="164" t="s">
        <v>141</v>
      </c>
      <c r="K2069" s="37"/>
      <c r="L2069" s="35"/>
    </row>
    <row r="2070" spans="2:12" s="4" customFormat="1" outlineLevel="1" x14ac:dyDescent="0.4">
      <c r="B2070" s="20"/>
      <c r="C2070" s="21"/>
      <c r="D2070" s="21"/>
      <c r="E2070" s="692" t="str">
        <f>IF(E2069&gt;1, "this should not be greater than 1", "")</f>
        <v/>
      </c>
      <c r="F2070" s="21"/>
      <c r="G2070" s="21"/>
      <c r="H2070" s="42"/>
      <c r="I2070" s="164" t="s">
        <v>172</v>
      </c>
      <c r="J2070" s="52">
        <f>IF(D2063="No transport required",0,IFERROR(E2073*INDEX(Fuel_EFs,MATCH(D2065,Fuels_for_EF,0))*D2064/1000,"Insert data"))</f>
        <v>0</v>
      </c>
      <c r="K2070" s="62"/>
      <c r="L2070" s="35"/>
    </row>
    <row r="2071" spans="2:12" s="4" customFormat="1" outlineLevel="1" x14ac:dyDescent="0.4">
      <c r="B2071" s="20"/>
      <c r="C2071" s="25" t="s">
        <v>173</v>
      </c>
      <c r="D2071" s="21"/>
      <c r="E2071" s="21"/>
      <c r="F2071" s="21"/>
      <c r="G2071" s="21"/>
      <c r="H2071" s="46"/>
      <c r="I2071" s="58"/>
      <c r="J2071" s="58"/>
      <c r="K2071" s="59"/>
      <c r="L2071" s="35"/>
    </row>
    <row r="2072" spans="2:12" s="14" customFormat="1" outlineLevel="1" x14ac:dyDescent="0.4">
      <c r="B2072" s="23"/>
      <c r="C2072" s="176" t="s">
        <v>174</v>
      </c>
      <c r="D2072" s="166" t="s">
        <v>175</v>
      </c>
      <c r="E2072" s="166" t="s">
        <v>176</v>
      </c>
      <c r="F2072" s="24"/>
      <c r="G2072" s="24"/>
      <c r="H2072" s="4"/>
      <c r="I2072" s="4"/>
      <c r="J2072" s="4"/>
      <c r="K2072" s="4"/>
      <c r="L2072" s="63"/>
    </row>
    <row r="2073" spans="2:12" s="4" customFormat="1" outlineLevel="1" x14ac:dyDescent="0.4">
      <c r="B2073" s="20"/>
      <c r="C2073" s="138" t="s">
        <v>96</v>
      </c>
      <c r="D2073" s="93">
        <f>IFERROR(INDEX(Transport_Fuel_Efficiencies,MATCH(D2063,Transport_Modes,0)),"Insert data")</f>
        <v>0</v>
      </c>
      <c r="E2073" s="31">
        <f>IFERROR(IF(C2073="Default",D2073,IF(OR(ISBLANK(E2075),ISBLANK(D2079),ISBLANK(D2083)),"Insert data",(IF(C2079="litres",(D2079*(INDEX(Fuel_Densities,MATCH(D2065,Fuels_for_Densities,0))/1000)*INDEX(Fuel_LHV,MATCH(D2065,Fuels_for_LHV,0)))/(D2083*D2064),(IF(C2079="m3",(D2079*(INDEX(Fuel_Densities,MATCH(D2065,Fuels_for_Densities,0)))*INDEX(Fuel_LHV,MATCH(D2065,Fuels_for_LHV,0)))/(D2083*D2064),IF(C2079="kg",(D2079*INDEX(Fuel_LHV,MATCH(D2065,Fuels_for_LHV,0)))/(D2083*D2064),IF(C2079="tonnes",(D2079*INDEX(Fuel_LHV,MATCH(D2065,Fuels_for_LHV,0))*1000)/(D2083*D2064),IF(C2079="MWh",(D2079*'Reference values'!$D$47)/(D2083*D2064),IF(C2079="kWh",(D2079*'Reference values'!$D$47/1000)/(D2083*D2064),"Insert unit")))))))))),"")</f>
        <v>0</v>
      </c>
      <c r="F2073" s="21"/>
      <c r="G2073" s="21"/>
      <c r="L2073" s="35"/>
    </row>
    <row r="2074" spans="2:12" s="4" customFormat="1" outlineLevel="1" x14ac:dyDescent="0.4">
      <c r="B2074" s="20"/>
      <c r="C2074" s="21"/>
      <c r="D2074" s="21"/>
      <c r="E2074" s="21"/>
      <c r="F2074" s="21"/>
      <c r="G2074" s="21"/>
      <c r="H2074" s="21"/>
      <c r="I2074" s="21"/>
      <c r="J2074" s="21"/>
      <c r="K2074" s="21"/>
      <c r="L2074" s="35"/>
    </row>
    <row r="2075" spans="2:12" s="4" customFormat="1" ht="16.5" customHeight="1" outlineLevel="1" x14ac:dyDescent="0.4">
      <c r="B2075" s="20"/>
      <c r="C2075" s="759" t="s">
        <v>177</v>
      </c>
      <c r="D2075" s="759"/>
      <c r="E2075" s="135" t="s">
        <v>178</v>
      </c>
      <c r="F2075" s="21"/>
      <c r="G2075" s="21"/>
      <c r="L2075" s="35"/>
    </row>
    <row r="2076" spans="2:12" s="4" customFormat="1" ht="12.75" customHeight="1" outlineLevel="1" x14ac:dyDescent="0.4">
      <c r="B2076" s="20"/>
      <c r="C2076" s="21"/>
      <c r="D2076" s="21"/>
      <c r="E2076" s="21"/>
      <c r="F2076" s="21"/>
      <c r="G2076" s="21"/>
      <c r="L2076" s="35"/>
    </row>
    <row r="2077" spans="2:12" s="4" customFormat="1" outlineLevel="1" x14ac:dyDescent="0.4">
      <c r="B2077" s="20"/>
      <c r="C2077" s="25" t="str">
        <f>IF(E2075="yes", "Fuel demand for outward journey",IF(E2075="No","Fuel demand for full journey (outward and return)",""))</f>
        <v>Fuel demand for full journey (outward and return)</v>
      </c>
      <c r="D2077" s="21"/>
      <c r="E2077" s="21"/>
      <c r="F2077" s="21"/>
      <c r="G2077" s="21"/>
      <c r="H2077" s="21"/>
      <c r="I2077" s="21"/>
      <c r="J2077" s="21"/>
      <c r="K2077" s="21"/>
      <c r="L2077" s="35"/>
    </row>
    <row r="2078" spans="2:12" s="4" customFormat="1" outlineLevel="1" x14ac:dyDescent="0.4">
      <c r="B2078" s="20"/>
      <c r="C2078" s="164" t="s">
        <v>151</v>
      </c>
      <c r="D2078" s="164" t="s">
        <v>140</v>
      </c>
      <c r="E2078" s="21"/>
      <c r="F2078" s="21"/>
      <c r="G2078" s="21"/>
      <c r="H2078" s="21"/>
      <c r="I2078" s="21"/>
      <c r="J2078" s="21"/>
      <c r="K2078" s="21"/>
      <c r="L2078" s="35"/>
    </row>
    <row r="2079" spans="2:12" s="4" customFormat="1" outlineLevel="1" x14ac:dyDescent="0.4">
      <c r="B2079" s="20"/>
      <c r="C2079" s="138"/>
      <c r="D2079" s="135"/>
      <c r="E2079" s="21"/>
      <c r="F2079" s="21"/>
      <c r="G2079" s="21"/>
      <c r="H2079" s="21"/>
      <c r="I2079" s="21"/>
      <c r="J2079" s="21"/>
      <c r="K2079" s="21"/>
      <c r="L2079" s="35"/>
    </row>
    <row r="2080" spans="2:12" s="4" customFormat="1" outlineLevel="1" x14ac:dyDescent="0.4">
      <c r="B2080" s="20"/>
      <c r="C2080" s="21"/>
      <c r="D2080" s="21"/>
      <c r="E2080" s="21"/>
      <c r="F2080" s="21"/>
      <c r="G2080" s="21"/>
      <c r="H2080" s="21"/>
      <c r="I2080" s="21"/>
      <c r="J2080" s="21"/>
      <c r="K2080" s="21"/>
      <c r="L2080" s="35"/>
    </row>
    <row r="2081" spans="2:12" s="4" customFormat="1" outlineLevel="1" x14ac:dyDescent="0.4">
      <c r="B2081" s="20"/>
      <c r="C2081" s="25" t="s">
        <v>180</v>
      </c>
      <c r="D2081" s="21"/>
      <c r="E2081" s="21"/>
      <c r="F2081" s="21"/>
      <c r="G2081" s="21"/>
      <c r="H2081" s="21"/>
      <c r="I2081" s="21"/>
      <c r="J2081" s="21"/>
      <c r="K2081" s="21"/>
      <c r="L2081" s="35"/>
    </row>
    <row r="2082" spans="2:12" s="4" customFormat="1" outlineLevel="1" x14ac:dyDescent="0.4">
      <c r="B2082" s="20"/>
      <c r="C2082" s="164" t="s">
        <v>151</v>
      </c>
      <c r="D2082" s="164" t="s">
        <v>140</v>
      </c>
      <c r="E2082" s="21"/>
      <c r="F2082" s="21"/>
      <c r="G2082" s="21"/>
      <c r="H2082" s="21"/>
      <c r="I2082" s="21"/>
      <c r="J2082" s="21"/>
      <c r="K2082" s="21"/>
      <c r="L2082" s="35"/>
    </row>
    <row r="2083" spans="2:12" s="4" customFormat="1" outlineLevel="1" x14ac:dyDescent="0.4">
      <c r="B2083" s="20"/>
      <c r="C2083" s="138"/>
      <c r="D2083" s="135"/>
      <c r="E2083" s="21"/>
      <c r="F2083" s="21"/>
      <c r="G2083" s="21"/>
      <c r="H2083" s="21"/>
      <c r="I2083" s="21"/>
      <c r="J2083" s="21"/>
      <c r="K2083" s="21"/>
      <c r="L2083" s="35"/>
    </row>
    <row r="2084" spans="2:12" s="4" customFormat="1" ht="12.75" customHeight="1" outlineLevel="1" x14ac:dyDescent="0.4">
      <c r="B2084" s="28"/>
      <c r="C2084" s="29"/>
      <c r="D2084" s="29"/>
      <c r="E2084" s="29"/>
      <c r="F2084" s="29"/>
      <c r="G2084" s="29"/>
      <c r="H2084" s="29"/>
      <c r="I2084" s="29"/>
      <c r="J2084" s="29"/>
      <c r="K2084" s="29"/>
      <c r="L2084" s="60"/>
    </row>
    <row r="2085" spans="2:12" s="4" customFormat="1" ht="3" customHeight="1" x14ac:dyDescent="0.4"/>
    <row r="2086" spans="2:12" s="4" customFormat="1" ht="8.4" hidden="1" customHeight="1" x14ac:dyDescent="0.4"/>
    <row r="2087" spans="2:12" s="1" customFormat="1" ht="11.1" hidden="1" customHeight="1" x14ac:dyDescent="0.35">
      <c r="B2087" s="2"/>
      <c r="C2087" s="3"/>
      <c r="E2087" s="2"/>
    </row>
    <row r="2088" spans="2:12" s="4" customFormat="1" ht="15.9" hidden="1" customHeight="1" x14ac:dyDescent="0.4"/>
    <row r="2089" spans="2:12" s="4" customFormat="1" ht="15.9" hidden="1" customHeight="1" x14ac:dyDescent="0.4"/>
    <row r="2090" spans="2:12" s="4" customFormat="1" ht="15.9" hidden="1" customHeight="1" x14ac:dyDescent="0.4"/>
    <row r="2091" spans="2:12" s="4" customFormat="1" hidden="1" x14ac:dyDescent="0.4"/>
    <row r="2092" spans="2:12" s="4" customFormat="1" ht="15.9" hidden="1" customHeight="1" x14ac:dyDescent="0.4"/>
    <row r="2093" spans="2:12" s="4" customFormat="1" ht="15.9" hidden="1" customHeight="1" x14ac:dyDescent="0.4"/>
    <row r="2094" spans="2:12" s="4" customFormat="1" hidden="1" x14ac:dyDescent="0.4"/>
    <row r="2095" spans="2:12" s="1" customFormat="1" ht="11.1" hidden="1" customHeight="1" x14ac:dyDescent="0.35">
      <c r="B2095" s="2"/>
      <c r="C2095" s="3"/>
      <c r="E2095" s="2"/>
    </row>
    <row r="2096" spans="2:12" s="4" customFormat="1" ht="15.9" hidden="1" customHeight="1" x14ac:dyDescent="0.4"/>
    <row r="2097" spans="2:12" s="4" customFormat="1" ht="15.9" hidden="1" customHeight="1" x14ac:dyDescent="0.4"/>
    <row r="2098" spans="2:12" s="4" customFormat="1" ht="15.9" hidden="1" customHeight="1" x14ac:dyDescent="0.4"/>
    <row r="2099" spans="2:12" s="4" customFormat="1" hidden="1" x14ac:dyDescent="0.4"/>
    <row r="2100" spans="2:12" s="4" customFormat="1" hidden="1" x14ac:dyDescent="0.4"/>
    <row r="2101" spans="2:12" s="4" customFormat="1" hidden="1" x14ac:dyDescent="0.4"/>
    <row r="2102" spans="2:12" s="4" customFormat="1" hidden="1" x14ac:dyDescent="0.4"/>
    <row r="2103" spans="2:12" s="4" customFormat="1" hidden="1" x14ac:dyDescent="0.4"/>
    <row r="2104" spans="2:12" s="4" customFormat="1" hidden="1" x14ac:dyDescent="0.4"/>
    <row r="2105" spans="2:12" s="4" customFormat="1" hidden="1" x14ac:dyDescent="0.4"/>
    <row r="2106" spans="2:12" s="4" customFormat="1" hidden="1" x14ac:dyDescent="0.4"/>
    <row r="2107" spans="2:12" s="4" customFormat="1" x14ac:dyDescent="0.4"/>
    <row r="2108" spans="2:12" s="4" customFormat="1" ht="19.2" x14ac:dyDescent="0.45">
      <c r="B2108" s="754" t="str">
        <f>"Transport to Plant"&amp;" - "&amp;Feedstocks!C59</f>
        <v xml:space="preserve">Transport to Plant - </v>
      </c>
      <c r="C2108" s="755"/>
      <c r="D2108" s="755"/>
      <c r="E2108" s="755"/>
      <c r="F2108" s="755"/>
      <c r="G2108" s="755"/>
      <c r="H2108" s="755"/>
      <c r="I2108" s="755"/>
      <c r="J2108" s="755"/>
      <c r="K2108" s="755"/>
      <c r="L2108" s="756"/>
    </row>
    <row r="2109" spans="2:12" s="4" customFormat="1" outlineLevel="1" x14ac:dyDescent="0.4">
      <c r="B2109" s="17"/>
      <c r="C2109" s="18"/>
      <c r="D2109" s="19"/>
      <c r="E2109" s="19"/>
      <c r="F2109" s="19"/>
      <c r="G2109" s="19"/>
      <c r="H2109" s="19"/>
      <c r="I2109" s="19"/>
      <c r="J2109" s="19"/>
      <c r="K2109" s="19"/>
      <c r="L2109" s="50"/>
    </row>
    <row r="2110" spans="2:12" s="4" customFormat="1" outlineLevel="1" x14ac:dyDescent="0.4">
      <c r="B2110" s="20"/>
      <c r="C2110" s="174" t="s">
        <v>87</v>
      </c>
      <c r="D2110" s="778" t="str">
        <f>IF(Feedstocks!$C$59&gt;0,Feedstocks!$C$59,"")</f>
        <v/>
      </c>
      <c r="E2110" s="778"/>
      <c r="F2110" s="778"/>
      <c r="G2110" s="1"/>
      <c r="H2110" s="303" t="s">
        <v>122</v>
      </c>
      <c r="I2110" s="47"/>
      <c r="J2110" s="47"/>
      <c r="K2110" s="61"/>
      <c r="L2110" s="35"/>
    </row>
    <row r="2111" spans="2:12" s="4" customFormat="1" outlineLevel="1" x14ac:dyDescent="0.4">
      <c r="B2111" s="20"/>
      <c r="C2111" s="1"/>
      <c r="D2111" s="1"/>
      <c r="E2111" s="1"/>
      <c r="F2111" s="1"/>
      <c r="G2111" s="76"/>
      <c r="H2111" s="43"/>
      <c r="I2111" s="36"/>
      <c r="J2111" s="164" t="s">
        <v>124</v>
      </c>
      <c r="K2111" s="44"/>
      <c r="L2111" s="35"/>
    </row>
    <row r="2112" spans="2:12" s="12" customFormat="1" ht="15" outlineLevel="1" x14ac:dyDescent="0.35">
      <c r="B2112" s="20"/>
      <c r="C2112" s="1"/>
      <c r="D2112" s="1"/>
      <c r="E2112" s="1"/>
      <c r="F2112" s="1"/>
      <c r="G2112" s="1"/>
      <c r="H2112" s="43"/>
      <c r="I2112" s="164" t="s">
        <v>125</v>
      </c>
      <c r="J2112" s="52" t="str">
        <f>IFERROR((J2115/(('Digestion &amp; outputs'!$G$60/1000)))*'Digestion &amp; outputs'!$K$23,"")</f>
        <v/>
      </c>
      <c r="K2112" s="44"/>
      <c r="L2112" s="54"/>
    </row>
    <row r="2113" spans="2:12" s="4" customFormat="1" outlineLevel="1" x14ac:dyDescent="0.4">
      <c r="B2113" s="20"/>
      <c r="C2113" s="164" t="s">
        <v>163</v>
      </c>
      <c r="D2113" s="134" t="s">
        <v>164</v>
      </c>
      <c r="E2113" s="1"/>
      <c r="F2113" s="1"/>
      <c r="G2113" s="1"/>
      <c r="H2113" s="41"/>
      <c r="I2113" s="34"/>
      <c r="J2113" s="34"/>
      <c r="K2113" s="37"/>
      <c r="L2113" s="35"/>
    </row>
    <row r="2114" spans="2:12" s="4" customFormat="1" outlineLevel="1" x14ac:dyDescent="0.4">
      <c r="B2114" s="20"/>
      <c r="C2114" s="164" t="s">
        <v>165</v>
      </c>
      <c r="D2114" s="143"/>
      <c r="E2114" s="1"/>
      <c r="F2114" s="1"/>
      <c r="G2114" s="1"/>
      <c r="H2114" s="41"/>
      <c r="I2114" s="36"/>
      <c r="J2114" s="164" t="s">
        <v>141</v>
      </c>
      <c r="K2114" s="37"/>
      <c r="L2114" s="35"/>
    </row>
    <row r="2115" spans="2:12" s="4" customFormat="1" outlineLevel="1" x14ac:dyDescent="0.4">
      <c r="B2115" s="20"/>
      <c r="C2115" s="164" t="s">
        <v>160</v>
      </c>
      <c r="D2115" s="134" t="s">
        <v>166</v>
      </c>
      <c r="E2115" s="1"/>
      <c r="F2115" s="1"/>
      <c r="G2115" s="1"/>
      <c r="H2115" s="42"/>
      <c r="I2115" s="164" t="s">
        <v>167</v>
      </c>
      <c r="J2115" s="52">
        <f>IFERROR(J2120,"Insert data")</f>
        <v>0</v>
      </c>
      <c r="K2115" s="62"/>
      <c r="L2115" s="35"/>
    </row>
    <row r="2116" spans="2:12" s="4" customFormat="1" outlineLevel="1" x14ac:dyDescent="0.4">
      <c r="B2116" s="20"/>
      <c r="C2116" s="21"/>
      <c r="D2116" s="21"/>
      <c r="E2116" s="21"/>
      <c r="F2116" s="21"/>
      <c r="G2116" s="21"/>
      <c r="H2116" s="46"/>
      <c r="I2116" s="58"/>
      <c r="J2116" s="58"/>
      <c r="K2116" s="59"/>
      <c r="L2116" s="35"/>
    </row>
    <row r="2117" spans="2:12" s="4" customFormat="1" outlineLevel="1" x14ac:dyDescent="0.4">
      <c r="B2117" s="20"/>
      <c r="C2117" s="25" t="s">
        <v>168</v>
      </c>
      <c r="D2117" s="21"/>
      <c r="E2117" s="21"/>
      <c r="F2117" s="21"/>
      <c r="G2117" s="21"/>
      <c r="H2117" s="21"/>
      <c r="I2117" s="21"/>
      <c r="J2117" s="21"/>
      <c r="K2117" s="21"/>
      <c r="L2117" s="35"/>
    </row>
    <row r="2118" spans="2:12" s="14" customFormat="1" ht="30.6" outlineLevel="1" x14ac:dyDescent="0.4">
      <c r="B2118" s="23"/>
      <c r="C2118" s="166" t="s">
        <v>131</v>
      </c>
      <c r="D2118" s="166" t="s">
        <v>169</v>
      </c>
      <c r="E2118" s="166" t="s">
        <v>170</v>
      </c>
      <c r="F2118" s="166" t="s">
        <v>171</v>
      </c>
      <c r="G2118" s="24"/>
      <c r="H2118" s="303" t="s">
        <v>136</v>
      </c>
      <c r="I2118" s="47"/>
      <c r="J2118" s="47"/>
      <c r="K2118" s="45"/>
      <c r="L2118" s="63"/>
    </row>
    <row r="2119" spans="2:12" s="4" customFormat="1" outlineLevel="1" x14ac:dyDescent="0.4">
      <c r="B2119" s="20"/>
      <c r="C2119" s="138" t="s">
        <v>96</v>
      </c>
      <c r="D2119" s="93">
        <v>1</v>
      </c>
      <c r="E2119" s="135"/>
      <c r="F2119" s="31">
        <f>IFERROR(IF(OR(C2119="Default",D2113="No transport required"),D2119,IF(ISBLANK(E2119),"Insert data",E2119)),"")</f>
        <v>1</v>
      </c>
      <c r="G2119" s="21"/>
      <c r="H2119" s="41"/>
      <c r="I2119" s="36"/>
      <c r="J2119" s="164" t="s">
        <v>141</v>
      </c>
      <c r="K2119" s="37"/>
      <c r="L2119" s="35"/>
    </row>
    <row r="2120" spans="2:12" s="4" customFormat="1" outlineLevel="1" x14ac:dyDescent="0.4">
      <c r="B2120" s="20"/>
      <c r="C2120" s="21"/>
      <c r="D2120" s="21"/>
      <c r="E2120" s="692" t="str">
        <f>IF(E2119&gt;1, "this should not be greater than 1", "")</f>
        <v/>
      </c>
      <c r="F2120" s="21"/>
      <c r="G2120" s="21"/>
      <c r="H2120" s="42"/>
      <c r="I2120" s="164" t="s">
        <v>172</v>
      </c>
      <c r="J2120" s="52">
        <f>IF(D2113="No transport required",0,IFERROR(E2123*INDEX(Fuel_EFs,MATCH(D2115,Fuels_for_EF,0))*D2114/1000,"Insert data"))</f>
        <v>0</v>
      </c>
      <c r="K2120" s="62"/>
      <c r="L2120" s="35"/>
    </row>
    <row r="2121" spans="2:12" s="4" customFormat="1" outlineLevel="1" x14ac:dyDescent="0.4">
      <c r="B2121" s="20"/>
      <c r="C2121" s="25" t="s">
        <v>173</v>
      </c>
      <c r="D2121" s="21"/>
      <c r="E2121" s="21"/>
      <c r="F2121" s="21"/>
      <c r="G2121" s="21"/>
      <c r="H2121" s="46"/>
      <c r="I2121" s="58"/>
      <c r="J2121" s="58"/>
      <c r="K2121" s="59"/>
      <c r="L2121" s="35"/>
    </row>
    <row r="2122" spans="2:12" s="14" customFormat="1" outlineLevel="1" x14ac:dyDescent="0.4">
      <c r="B2122" s="23"/>
      <c r="C2122" s="176" t="s">
        <v>174</v>
      </c>
      <c r="D2122" s="166" t="s">
        <v>175</v>
      </c>
      <c r="E2122" s="166" t="s">
        <v>176</v>
      </c>
      <c r="F2122" s="24"/>
      <c r="G2122" s="24"/>
      <c r="H2122" s="4"/>
      <c r="I2122" s="4"/>
      <c r="J2122" s="4"/>
      <c r="K2122" s="4"/>
      <c r="L2122" s="63"/>
    </row>
    <row r="2123" spans="2:12" s="4" customFormat="1" outlineLevel="1" x14ac:dyDescent="0.4">
      <c r="B2123" s="20"/>
      <c r="C2123" s="138" t="s">
        <v>96</v>
      </c>
      <c r="D2123" s="93">
        <f>IFERROR(INDEX(Transport_Fuel_Efficiencies,MATCH(D2113,Transport_Modes,0)),"Insert data")</f>
        <v>0</v>
      </c>
      <c r="E2123" s="31">
        <f>IFERROR(IF(C2123="Default",D2123,IF(OR(ISBLANK(E2125),ISBLANK(D2129),ISBLANK(D2133)),"Insert data",(IF(C2129="litres",(D2129*(INDEX(Fuel_Densities,MATCH(D2115,Fuels_for_Densities,0))/1000)*INDEX(Fuel_LHV,MATCH(D2115,Fuels_for_LHV,0)))/(D2133*D2114),(IF(C2129="m3",(D2129*(INDEX(Fuel_Densities,MATCH(D2115,Fuels_for_Densities,0)))*INDEX(Fuel_LHV,MATCH(D2115,Fuels_for_LHV,0)))/(D2133*D2114),IF(C2129="kg",(D2129*INDEX(Fuel_LHV,MATCH(D2115,Fuels_for_LHV,0)))/(D2133*D2114),IF(C2129="tonnes",(D2129*INDEX(Fuel_LHV,MATCH(D2115,Fuels_for_LHV,0))*1000)/(D2133*D2114),IF(C2129="MWh",(D2129*'Reference values'!$D$47)/(D2133*D2114),IF(C2129="kWh",(D2129*'Reference values'!$D$47/1000)/(D2133*D2114),"Insert unit")))))))))),"")</f>
        <v>0</v>
      </c>
      <c r="F2123" s="21"/>
      <c r="G2123" s="21"/>
      <c r="L2123" s="35"/>
    </row>
    <row r="2124" spans="2:12" s="4" customFormat="1" outlineLevel="1" x14ac:dyDescent="0.4">
      <c r="B2124" s="20"/>
      <c r="C2124" s="21"/>
      <c r="D2124" s="21"/>
      <c r="E2124" s="21"/>
      <c r="F2124" s="21"/>
      <c r="G2124" s="21"/>
      <c r="H2124" s="21"/>
      <c r="I2124" s="21"/>
      <c r="J2124" s="21"/>
      <c r="K2124" s="21"/>
      <c r="L2124" s="35"/>
    </row>
    <row r="2125" spans="2:12" s="4" customFormat="1" ht="16.5" customHeight="1" outlineLevel="1" x14ac:dyDescent="0.4">
      <c r="B2125" s="20"/>
      <c r="C2125" s="759" t="s">
        <v>177</v>
      </c>
      <c r="D2125" s="759"/>
      <c r="E2125" s="135" t="s">
        <v>178</v>
      </c>
      <c r="F2125" s="21"/>
      <c r="G2125" s="21"/>
      <c r="L2125" s="35"/>
    </row>
    <row r="2126" spans="2:12" s="4" customFormat="1" ht="12.75" customHeight="1" outlineLevel="1" x14ac:dyDescent="0.4">
      <c r="B2126" s="20"/>
      <c r="C2126" s="21"/>
      <c r="D2126" s="21"/>
      <c r="E2126" s="21"/>
      <c r="F2126" s="21"/>
      <c r="G2126" s="21"/>
      <c r="L2126" s="35"/>
    </row>
    <row r="2127" spans="2:12" s="4" customFormat="1" outlineLevel="1" x14ac:dyDescent="0.4">
      <c r="B2127" s="20"/>
      <c r="C2127" s="25" t="str">
        <f>IF(E2125="yes", "Fuel demand for outward journey",IF(E2125="No","Fuel demand for full journey (outward and return)",""))</f>
        <v>Fuel demand for full journey (outward and return)</v>
      </c>
      <c r="D2127" s="21"/>
      <c r="E2127" s="21"/>
      <c r="F2127" s="21"/>
      <c r="G2127" s="21"/>
      <c r="H2127" s="21"/>
      <c r="I2127" s="21"/>
      <c r="J2127" s="21"/>
      <c r="K2127" s="21"/>
      <c r="L2127" s="35"/>
    </row>
    <row r="2128" spans="2:12" s="4" customFormat="1" outlineLevel="1" x14ac:dyDescent="0.4">
      <c r="B2128" s="20"/>
      <c r="C2128" s="164" t="s">
        <v>151</v>
      </c>
      <c r="D2128" s="164" t="s">
        <v>140</v>
      </c>
      <c r="E2128" s="21"/>
      <c r="F2128" s="21"/>
      <c r="G2128" s="21"/>
      <c r="H2128" s="21"/>
      <c r="I2128" s="21"/>
      <c r="J2128" s="21"/>
      <c r="K2128" s="21"/>
      <c r="L2128" s="35"/>
    </row>
    <row r="2129" spans="2:12" s="4" customFormat="1" outlineLevel="1" x14ac:dyDescent="0.4">
      <c r="B2129" s="20"/>
      <c r="C2129" s="138"/>
      <c r="D2129" s="135"/>
      <c r="E2129" s="21"/>
      <c r="F2129" s="21"/>
      <c r="G2129" s="21"/>
      <c r="H2129" s="21"/>
      <c r="I2129" s="21"/>
      <c r="J2129" s="21"/>
      <c r="K2129" s="21"/>
      <c r="L2129" s="35"/>
    </row>
    <row r="2130" spans="2:12" s="4" customFormat="1" outlineLevel="1" x14ac:dyDescent="0.4">
      <c r="B2130" s="20"/>
      <c r="C2130" s="21"/>
      <c r="D2130" s="21"/>
      <c r="E2130" s="21"/>
      <c r="F2130" s="21"/>
      <c r="G2130" s="21"/>
      <c r="H2130" s="21"/>
      <c r="I2130" s="21"/>
      <c r="J2130" s="21"/>
      <c r="K2130" s="21"/>
      <c r="L2130" s="35"/>
    </row>
    <row r="2131" spans="2:12" s="4" customFormat="1" outlineLevel="1" x14ac:dyDescent="0.4">
      <c r="B2131" s="20"/>
      <c r="C2131" s="25" t="s">
        <v>180</v>
      </c>
      <c r="D2131" s="21"/>
      <c r="E2131" s="21"/>
      <c r="F2131" s="21"/>
      <c r="G2131" s="21"/>
      <c r="H2131" s="21"/>
      <c r="I2131" s="21"/>
      <c r="J2131" s="21"/>
      <c r="K2131" s="21"/>
      <c r="L2131" s="35"/>
    </row>
    <row r="2132" spans="2:12" s="4" customFormat="1" outlineLevel="1" x14ac:dyDescent="0.4">
      <c r="B2132" s="20"/>
      <c r="C2132" s="164" t="s">
        <v>151</v>
      </c>
      <c r="D2132" s="164" t="s">
        <v>140</v>
      </c>
      <c r="E2132" s="21"/>
      <c r="F2132" s="21"/>
      <c r="G2132" s="21"/>
      <c r="H2132" s="21"/>
      <c r="I2132" s="21"/>
      <c r="J2132" s="21"/>
      <c r="K2132" s="21"/>
      <c r="L2132" s="35"/>
    </row>
    <row r="2133" spans="2:12" s="4" customFormat="1" outlineLevel="1" x14ac:dyDescent="0.4">
      <c r="B2133" s="20"/>
      <c r="C2133" s="138"/>
      <c r="D2133" s="135"/>
      <c r="E2133" s="21"/>
      <c r="F2133" s="21"/>
      <c r="G2133" s="21"/>
      <c r="H2133" s="21"/>
      <c r="I2133" s="21"/>
      <c r="J2133" s="21"/>
      <c r="K2133" s="21"/>
      <c r="L2133" s="35"/>
    </row>
    <row r="2134" spans="2:12" s="4" customFormat="1" ht="12.75" customHeight="1" outlineLevel="1" x14ac:dyDescent="0.4">
      <c r="B2134" s="28"/>
      <c r="C2134" s="29"/>
      <c r="D2134" s="29"/>
      <c r="E2134" s="29"/>
      <c r="F2134" s="29"/>
      <c r="G2134" s="29"/>
      <c r="H2134" s="29"/>
      <c r="I2134" s="29"/>
      <c r="J2134" s="29"/>
      <c r="K2134" s="29"/>
      <c r="L2134" s="60"/>
    </row>
    <row r="2135" spans="2:12" s="4" customFormat="1" ht="3" customHeight="1" x14ac:dyDescent="0.4"/>
    <row r="2136" spans="2:12" s="4" customFormat="1" ht="8.4" hidden="1" customHeight="1" x14ac:dyDescent="0.4"/>
    <row r="2137" spans="2:12" s="1" customFormat="1" ht="11.1" hidden="1" customHeight="1" x14ac:dyDescent="0.35">
      <c r="B2137" s="2"/>
      <c r="C2137" s="3"/>
      <c r="E2137" s="2"/>
    </row>
    <row r="2138" spans="2:12" s="4" customFormat="1" ht="15.9" hidden="1" customHeight="1" x14ac:dyDescent="0.4"/>
    <row r="2139" spans="2:12" s="4" customFormat="1" ht="15.9" hidden="1" customHeight="1" x14ac:dyDescent="0.4"/>
    <row r="2140" spans="2:12" s="4" customFormat="1" ht="15.9" hidden="1" customHeight="1" x14ac:dyDescent="0.4"/>
    <row r="2141" spans="2:12" s="4" customFormat="1" hidden="1" x14ac:dyDescent="0.4"/>
    <row r="2142" spans="2:12" s="4" customFormat="1" ht="15.9" hidden="1" customHeight="1" x14ac:dyDescent="0.4"/>
    <row r="2143" spans="2:12" s="4" customFormat="1" ht="15.9" hidden="1" customHeight="1" x14ac:dyDescent="0.4"/>
    <row r="2144" spans="2:12" s="4" customFormat="1" hidden="1" x14ac:dyDescent="0.4"/>
    <row r="2145" spans="2:12" s="1" customFormat="1" ht="11.1" hidden="1" customHeight="1" x14ac:dyDescent="0.35">
      <c r="B2145" s="2"/>
      <c r="C2145" s="3"/>
      <c r="E2145" s="2"/>
    </row>
    <row r="2146" spans="2:12" s="4" customFormat="1" ht="15.9" hidden="1" customHeight="1" x14ac:dyDescent="0.4"/>
    <row r="2147" spans="2:12" s="4" customFormat="1" ht="15.9" hidden="1" customHeight="1" x14ac:dyDescent="0.4"/>
    <row r="2148" spans="2:12" s="4" customFormat="1" ht="15.9" hidden="1" customHeight="1" x14ac:dyDescent="0.4"/>
    <row r="2149" spans="2:12" s="4" customFormat="1" hidden="1" x14ac:dyDescent="0.4"/>
    <row r="2150" spans="2:12" s="4" customFormat="1" hidden="1" x14ac:dyDescent="0.4"/>
    <row r="2151" spans="2:12" s="4" customFormat="1" hidden="1" x14ac:dyDescent="0.4"/>
    <row r="2152" spans="2:12" s="4" customFormat="1" hidden="1" x14ac:dyDescent="0.4"/>
    <row r="2153" spans="2:12" s="4" customFormat="1" hidden="1" x14ac:dyDescent="0.4"/>
    <row r="2154" spans="2:12" s="4" customFormat="1" hidden="1" x14ac:dyDescent="0.4"/>
    <row r="2155" spans="2:12" s="4" customFormat="1" hidden="1" x14ac:dyDescent="0.4"/>
    <row r="2156" spans="2:12" s="4" customFormat="1" hidden="1" x14ac:dyDescent="0.4"/>
    <row r="2157" spans="2:12" s="4" customFormat="1" x14ac:dyDescent="0.4"/>
    <row r="2158" spans="2:12" s="4" customFormat="1" ht="19.2" x14ac:dyDescent="0.45">
      <c r="B2158" s="754" t="str">
        <f>"Transport to Plant"&amp;" - "&amp;Feedstocks!C60</f>
        <v xml:space="preserve">Transport to Plant - </v>
      </c>
      <c r="C2158" s="755"/>
      <c r="D2158" s="755"/>
      <c r="E2158" s="755"/>
      <c r="F2158" s="755"/>
      <c r="G2158" s="755"/>
      <c r="H2158" s="755"/>
      <c r="I2158" s="755"/>
      <c r="J2158" s="755"/>
      <c r="K2158" s="755"/>
      <c r="L2158" s="756"/>
    </row>
    <row r="2159" spans="2:12" s="4" customFormat="1" outlineLevel="1" x14ac:dyDescent="0.4">
      <c r="B2159" s="17"/>
      <c r="C2159" s="18"/>
      <c r="D2159" s="19"/>
      <c r="E2159" s="19"/>
      <c r="F2159" s="19"/>
      <c r="G2159" s="19"/>
      <c r="H2159" s="19"/>
      <c r="I2159" s="19"/>
      <c r="J2159" s="19"/>
      <c r="K2159" s="19"/>
      <c r="L2159" s="50"/>
    </row>
    <row r="2160" spans="2:12" s="4" customFormat="1" outlineLevel="1" x14ac:dyDescent="0.4">
      <c r="B2160" s="20"/>
      <c r="C2160" s="174" t="s">
        <v>87</v>
      </c>
      <c r="D2160" s="778" t="str">
        <f>IF(Feedstocks!$C$60&gt;0,Feedstocks!$C$60,"")</f>
        <v/>
      </c>
      <c r="E2160" s="778"/>
      <c r="F2160" s="778"/>
      <c r="G2160" s="1"/>
      <c r="H2160" s="303" t="s">
        <v>122</v>
      </c>
      <c r="I2160" s="47"/>
      <c r="J2160" s="47"/>
      <c r="K2160" s="61"/>
      <c r="L2160" s="35"/>
    </row>
    <row r="2161" spans="2:12" s="4" customFormat="1" outlineLevel="1" x14ac:dyDescent="0.4">
      <c r="B2161" s="20"/>
      <c r="C2161" s="1"/>
      <c r="D2161" s="1"/>
      <c r="E2161" s="1"/>
      <c r="F2161" s="1"/>
      <c r="G2161" s="76"/>
      <c r="H2161" s="43"/>
      <c r="I2161" s="36"/>
      <c r="J2161" s="164" t="s">
        <v>124</v>
      </c>
      <c r="K2161" s="44"/>
      <c r="L2161" s="35"/>
    </row>
    <row r="2162" spans="2:12" s="12" customFormat="1" ht="15" outlineLevel="1" x14ac:dyDescent="0.35">
      <c r="B2162" s="20"/>
      <c r="C2162" s="1"/>
      <c r="D2162" s="1"/>
      <c r="E2162" s="1"/>
      <c r="F2162" s="1"/>
      <c r="G2162" s="1"/>
      <c r="H2162" s="43"/>
      <c r="I2162" s="164" t="s">
        <v>125</v>
      </c>
      <c r="J2162" s="52" t="str">
        <f>IFERROR((J2165/(('Digestion &amp; outputs'!$G$61/1000)))*'Digestion &amp; outputs'!$K$23,"")</f>
        <v/>
      </c>
      <c r="K2162" s="44"/>
      <c r="L2162" s="54"/>
    </row>
    <row r="2163" spans="2:12" s="4" customFormat="1" outlineLevel="1" x14ac:dyDescent="0.4">
      <c r="B2163" s="20"/>
      <c r="C2163" s="164" t="s">
        <v>163</v>
      </c>
      <c r="D2163" s="134" t="s">
        <v>164</v>
      </c>
      <c r="E2163" s="1"/>
      <c r="F2163" s="1"/>
      <c r="G2163" s="1"/>
      <c r="H2163" s="41"/>
      <c r="I2163" s="34"/>
      <c r="J2163" s="34"/>
      <c r="K2163" s="37"/>
      <c r="L2163" s="35"/>
    </row>
    <row r="2164" spans="2:12" s="4" customFormat="1" outlineLevel="1" x14ac:dyDescent="0.4">
      <c r="B2164" s="20"/>
      <c r="C2164" s="164" t="s">
        <v>165</v>
      </c>
      <c r="D2164" s="143"/>
      <c r="E2164" s="1"/>
      <c r="F2164" s="1"/>
      <c r="G2164" s="1"/>
      <c r="H2164" s="41"/>
      <c r="I2164" s="36"/>
      <c r="J2164" s="164" t="s">
        <v>141</v>
      </c>
      <c r="K2164" s="37"/>
      <c r="L2164" s="35"/>
    </row>
    <row r="2165" spans="2:12" s="4" customFormat="1" outlineLevel="1" x14ac:dyDescent="0.4">
      <c r="B2165" s="20"/>
      <c r="C2165" s="164" t="s">
        <v>160</v>
      </c>
      <c r="D2165" s="134" t="s">
        <v>166</v>
      </c>
      <c r="E2165" s="1"/>
      <c r="F2165" s="1"/>
      <c r="G2165" s="1"/>
      <c r="H2165" s="42"/>
      <c r="I2165" s="164" t="s">
        <v>167</v>
      </c>
      <c r="J2165" s="52">
        <f>IFERROR(J2170,"Insert data")</f>
        <v>0</v>
      </c>
      <c r="K2165" s="62"/>
      <c r="L2165" s="35"/>
    </row>
    <row r="2166" spans="2:12" s="4" customFormat="1" outlineLevel="1" x14ac:dyDescent="0.4">
      <c r="B2166" s="20"/>
      <c r="C2166" s="21"/>
      <c r="D2166" s="21"/>
      <c r="E2166" s="21"/>
      <c r="F2166" s="21"/>
      <c r="G2166" s="21"/>
      <c r="H2166" s="46"/>
      <c r="I2166" s="58"/>
      <c r="J2166" s="58"/>
      <c r="K2166" s="59"/>
      <c r="L2166" s="35"/>
    </row>
    <row r="2167" spans="2:12" s="4" customFormat="1" outlineLevel="1" x14ac:dyDescent="0.4">
      <c r="B2167" s="20"/>
      <c r="C2167" s="25" t="s">
        <v>168</v>
      </c>
      <c r="D2167" s="21"/>
      <c r="E2167" s="21"/>
      <c r="F2167" s="21"/>
      <c r="G2167" s="21"/>
      <c r="H2167" s="21"/>
      <c r="I2167" s="21"/>
      <c r="J2167" s="21"/>
      <c r="K2167" s="21"/>
      <c r="L2167" s="35"/>
    </row>
    <row r="2168" spans="2:12" s="14" customFormat="1" ht="30.6" outlineLevel="1" x14ac:dyDescent="0.4">
      <c r="B2168" s="23"/>
      <c r="C2168" s="166" t="s">
        <v>131</v>
      </c>
      <c r="D2168" s="166" t="s">
        <v>169</v>
      </c>
      <c r="E2168" s="166" t="s">
        <v>170</v>
      </c>
      <c r="F2168" s="166" t="s">
        <v>171</v>
      </c>
      <c r="G2168" s="24"/>
      <c r="H2168" s="303" t="s">
        <v>136</v>
      </c>
      <c r="I2168" s="47"/>
      <c r="J2168" s="47"/>
      <c r="K2168" s="45"/>
      <c r="L2168" s="63"/>
    </row>
    <row r="2169" spans="2:12" s="4" customFormat="1" outlineLevel="1" x14ac:dyDescent="0.4">
      <c r="B2169" s="20"/>
      <c r="C2169" s="138" t="s">
        <v>96</v>
      </c>
      <c r="D2169" s="93">
        <v>1</v>
      </c>
      <c r="E2169" s="135"/>
      <c r="F2169" s="31">
        <f>IFERROR(IF(OR(C2169="Default",D2163="No transport required"),D2169,IF(ISBLANK(E2169),"Insert data",E2169)),"")</f>
        <v>1</v>
      </c>
      <c r="G2169" s="21"/>
      <c r="H2169" s="41"/>
      <c r="I2169" s="36"/>
      <c r="J2169" s="164" t="s">
        <v>141</v>
      </c>
      <c r="K2169" s="37"/>
      <c r="L2169" s="35"/>
    </row>
    <row r="2170" spans="2:12" s="4" customFormat="1" outlineLevel="1" x14ac:dyDescent="0.4">
      <c r="B2170" s="20"/>
      <c r="C2170" s="21"/>
      <c r="D2170" s="21"/>
      <c r="E2170" s="692" t="str">
        <f>IF(E2169&gt;1, "this should not be greater than 1", "")</f>
        <v/>
      </c>
      <c r="F2170" s="21"/>
      <c r="G2170" s="21"/>
      <c r="H2170" s="42"/>
      <c r="I2170" s="164" t="s">
        <v>172</v>
      </c>
      <c r="J2170" s="52">
        <f>IF(D2163="No transport required",0,IFERROR(E2173*INDEX(Fuel_EFs,MATCH(D2165,Fuels_for_EF,0))*D2164/1000,"Insert data"))</f>
        <v>0</v>
      </c>
      <c r="K2170" s="62"/>
      <c r="L2170" s="35"/>
    </row>
    <row r="2171" spans="2:12" s="4" customFormat="1" outlineLevel="1" x14ac:dyDescent="0.4">
      <c r="B2171" s="20"/>
      <c r="C2171" s="25" t="s">
        <v>173</v>
      </c>
      <c r="D2171" s="21"/>
      <c r="E2171" s="21"/>
      <c r="F2171" s="21"/>
      <c r="G2171" s="21"/>
      <c r="H2171" s="46"/>
      <c r="I2171" s="58"/>
      <c r="J2171" s="58"/>
      <c r="K2171" s="59"/>
      <c r="L2171" s="35"/>
    </row>
    <row r="2172" spans="2:12" s="14" customFormat="1" outlineLevel="1" x14ac:dyDescent="0.4">
      <c r="B2172" s="23"/>
      <c r="C2172" s="176" t="s">
        <v>174</v>
      </c>
      <c r="D2172" s="166" t="s">
        <v>175</v>
      </c>
      <c r="E2172" s="166" t="s">
        <v>176</v>
      </c>
      <c r="F2172" s="24"/>
      <c r="G2172" s="24"/>
      <c r="H2172" s="4"/>
      <c r="I2172" s="4"/>
      <c r="J2172" s="4"/>
      <c r="K2172" s="4"/>
      <c r="L2172" s="63"/>
    </row>
    <row r="2173" spans="2:12" s="4" customFormat="1" outlineLevel="1" x14ac:dyDescent="0.4">
      <c r="B2173" s="20"/>
      <c r="C2173" s="138" t="s">
        <v>96</v>
      </c>
      <c r="D2173" s="93">
        <f>IFERROR(INDEX(Transport_Fuel_Efficiencies,MATCH(D2163,Transport_Modes,0)),"Insert data")</f>
        <v>0</v>
      </c>
      <c r="E2173" s="31">
        <f>IFERROR(IF(C2173="Default",D2173,IF(OR(ISBLANK(E2175),ISBLANK(D2179),ISBLANK(D2183)),"Insert data",(IF(C2179="litres",(D2179*(INDEX(Fuel_Densities,MATCH(D2165,Fuels_for_Densities,0))/1000)*INDEX(Fuel_LHV,MATCH(D2165,Fuels_for_LHV,0)))/(D2183*D2164),(IF(C2179="m3",(D2179*(INDEX(Fuel_Densities,MATCH(D2165,Fuels_for_Densities,0)))*INDEX(Fuel_LHV,MATCH(D2165,Fuels_for_LHV,0)))/(D2183*D2164),IF(C2179="kg",(D2179*INDEX(Fuel_LHV,MATCH(D2165,Fuels_for_LHV,0)))/(D2183*D2164),IF(C2179="tonnes",(D2179*INDEX(Fuel_LHV,MATCH(D2165,Fuels_for_LHV,0))*1000)/(D2183*D2164),IF(C2179="MWh",(D2179*'Reference values'!$D$47)/(D2183*D2164),IF(C2179="kWh",(D2179*'Reference values'!$D$47/1000)/(D2183*D2164),"Insert unit")))))))))),"")</f>
        <v>0</v>
      </c>
      <c r="F2173" s="21"/>
      <c r="G2173" s="21"/>
      <c r="L2173" s="35"/>
    </row>
    <row r="2174" spans="2:12" s="4" customFormat="1" outlineLevel="1" x14ac:dyDescent="0.4">
      <c r="B2174" s="20"/>
      <c r="C2174" s="21"/>
      <c r="D2174" s="21"/>
      <c r="E2174" s="21"/>
      <c r="F2174" s="21"/>
      <c r="G2174" s="21"/>
      <c r="H2174" s="21"/>
      <c r="I2174" s="21"/>
      <c r="J2174" s="21"/>
      <c r="K2174" s="21"/>
      <c r="L2174" s="35"/>
    </row>
    <row r="2175" spans="2:12" s="4" customFormat="1" ht="16.5" customHeight="1" outlineLevel="1" x14ac:dyDescent="0.4">
      <c r="B2175" s="20"/>
      <c r="C2175" s="759" t="s">
        <v>177</v>
      </c>
      <c r="D2175" s="759"/>
      <c r="E2175" s="135" t="s">
        <v>178</v>
      </c>
      <c r="F2175" s="21"/>
      <c r="G2175" s="21"/>
      <c r="L2175" s="35"/>
    </row>
    <row r="2176" spans="2:12" s="4" customFormat="1" ht="12.75" customHeight="1" outlineLevel="1" x14ac:dyDescent="0.4">
      <c r="B2176" s="20"/>
      <c r="C2176" s="21"/>
      <c r="D2176" s="21"/>
      <c r="E2176" s="21"/>
      <c r="F2176" s="21"/>
      <c r="G2176" s="21"/>
      <c r="L2176" s="35"/>
    </row>
    <row r="2177" spans="2:12" s="4" customFormat="1" outlineLevel="1" x14ac:dyDescent="0.4">
      <c r="B2177" s="20"/>
      <c r="C2177" s="25" t="str">
        <f>IF(E2175="yes", "Fuel demand for outward journey",IF(E2175="No","Fuel demand for full journey (outward and return)",""))</f>
        <v>Fuel demand for full journey (outward and return)</v>
      </c>
      <c r="D2177" s="21"/>
      <c r="E2177" s="21"/>
      <c r="F2177" s="21"/>
      <c r="G2177" s="21"/>
      <c r="H2177" s="21"/>
      <c r="I2177" s="21"/>
      <c r="J2177" s="21"/>
      <c r="K2177" s="21"/>
      <c r="L2177" s="35"/>
    </row>
    <row r="2178" spans="2:12" s="4" customFormat="1" outlineLevel="1" x14ac:dyDescent="0.4">
      <c r="B2178" s="20"/>
      <c r="C2178" s="164" t="s">
        <v>151</v>
      </c>
      <c r="D2178" s="164" t="s">
        <v>140</v>
      </c>
      <c r="E2178" s="21"/>
      <c r="F2178" s="21"/>
      <c r="G2178" s="21"/>
      <c r="H2178" s="21"/>
      <c r="I2178" s="21"/>
      <c r="J2178" s="21"/>
      <c r="K2178" s="21"/>
      <c r="L2178" s="35"/>
    </row>
    <row r="2179" spans="2:12" s="4" customFormat="1" outlineLevel="1" x14ac:dyDescent="0.4">
      <c r="B2179" s="20"/>
      <c r="C2179" s="138"/>
      <c r="D2179" s="135"/>
      <c r="E2179" s="21"/>
      <c r="F2179" s="21"/>
      <c r="G2179" s="21"/>
      <c r="H2179" s="21"/>
      <c r="I2179" s="21"/>
      <c r="J2179" s="21"/>
      <c r="K2179" s="21"/>
      <c r="L2179" s="35"/>
    </row>
    <row r="2180" spans="2:12" s="4" customFormat="1" outlineLevel="1" x14ac:dyDescent="0.4">
      <c r="B2180" s="20"/>
      <c r="C2180" s="21"/>
      <c r="D2180" s="21"/>
      <c r="E2180" s="21"/>
      <c r="F2180" s="21"/>
      <c r="G2180" s="21"/>
      <c r="H2180" s="21"/>
      <c r="I2180" s="21"/>
      <c r="J2180" s="21"/>
      <c r="K2180" s="21"/>
      <c r="L2180" s="35"/>
    </row>
    <row r="2181" spans="2:12" s="4" customFormat="1" outlineLevel="1" x14ac:dyDescent="0.4">
      <c r="B2181" s="20"/>
      <c r="C2181" s="25" t="s">
        <v>180</v>
      </c>
      <c r="D2181" s="21"/>
      <c r="E2181" s="21"/>
      <c r="F2181" s="21"/>
      <c r="G2181" s="21"/>
      <c r="H2181" s="21"/>
      <c r="I2181" s="21"/>
      <c r="J2181" s="21"/>
      <c r="K2181" s="21"/>
      <c r="L2181" s="35"/>
    </row>
    <row r="2182" spans="2:12" s="4" customFormat="1" outlineLevel="1" x14ac:dyDescent="0.4">
      <c r="B2182" s="20"/>
      <c r="C2182" s="164" t="s">
        <v>151</v>
      </c>
      <c r="D2182" s="164" t="s">
        <v>140</v>
      </c>
      <c r="E2182" s="21"/>
      <c r="F2182" s="21"/>
      <c r="G2182" s="21"/>
      <c r="H2182" s="21"/>
      <c r="I2182" s="21"/>
      <c r="J2182" s="21"/>
      <c r="K2182" s="21"/>
      <c r="L2182" s="35"/>
    </row>
    <row r="2183" spans="2:12" s="4" customFormat="1" outlineLevel="1" x14ac:dyDescent="0.4">
      <c r="B2183" s="20"/>
      <c r="C2183" s="138"/>
      <c r="D2183" s="135"/>
      <c r="E2183" s="21"/>
      <c r="F2183" s="21"/>
      <c r="G2183" s="21"/>
      <c r="H2183" s="21"/>
      <c r="I2183" s="21"/>
      <c r="J2183" s="21"/>
      <c r="K2183" s="21"/>
      <c r="L2183" s="35"/>
    </row>
    <row r="2184" spans="2:12" s="4" customFormat="1" ht="12.75" customHeight="1" outlineLevel="1" x14ac:dyDescent="0.4">
      <c r="B2184" s="28"/>
      <c r="C2184" s="29"/>
      <c r="D2184" s="29"/>
      <c r="E2184" s="29"/>
      <c r="F2184" s="29"/>
      <c r="G2184" s="29"/>
      <c r="H2184" s="29"/>
      <c r="I2184" s="29"/>
      <c r="J2184" s="29"/>
      <c r="K2184" s="29"/>
      <c r="L2184" s="60"/>
    </row>
    <row r="2185" spans="2:12" s="4" customFormat="1" ht="3" customHeight="1" x14ac:dyDescent="0.4"/>
    <row r="2186" spans="2:12" s="4" customFormat="1" ht="8.4" hidden="1" customHeight="1" x14ac:dyDescent="0.4"/>
    <row r="2187" spans="2:12" s="1" customFormat="1" ht="11.1" hidden="1" customHeight="1" x14ac:dyDescent="0.35">
      <c r="B2187" s="2"/>
      <c r="C2187" s="3"/>
      <c r="E2187" s="2"/>
    </row>
    <row r="2188" spans="2:12" s="4" customFormat="1" ht="15.9" hidden="1" customHeight="1" x14ac:dyDescent="0.4"/>
    <row r="2189" spans="2:12" s="4" customFormat="1" ht="15.9" hidden="1" customHeight="1" x14ac:dyDescent="0.4"/>
    <row r="2190" spans="2:12" s="4" customFormat="1" ht="15.9" hidden="1" customHeight="1" x14ac:dyDescent="0.4"/>
    <row r="2191" spans="2:12" s="4" customFormat="1" hidden="1" x14ac:dyDescent="0.4"/>
    <row r="2192" spans="2:12" s="4" customFormat="1" ht="15.9" hidden="1" customHeight="1" x14ac:dyDescent="0.4"/>
    <row r="2193" spans="2:12" s="4" customFormat="1" ht="15.9" hidden="1" customHeight="1" x14ac:dyDescent="0.4"/>
    <row r="2194" spans="2:12" s="4" customFormat="1" hidden="1" x14ac:dyDescent="0.4"/>
    <row r="2195" spans="2:12" s="1" customFormat="1" ht="11.1" hidden="1" customHeight="1" x14ac:dyDescent="0.35">
      <c r="B2195" s="2"/>
      <c r="C2195" s="3"/>
      <c r="E2195" s="2"/>
    </row>
    <row r="2196" spans="2:12" s="4" customFormat="1" ht="15.9" hidden="1" customHeight="1" x14ac:dyDescent="0.4"/>
    <row r="2197" spans="2:12" s="4" customFormat="1" ht="15.9" hidden="1" customHeight="1" x14ac:dyDescent="0.4"/>
    <row r="2198" spans="2:12" s="4" customFormat="1" ht="15.9" hidden="1" customHeight="1" x14ac:dyDescent="0.4"/>
    <row r="2199" spans="2:12" s="4" customFormat="1" hidden="1" x14ac:dyDescent="0.4"/>
    <row r="2200" spans="2:12" s="4" customFormat="1" hidden="1" x14ac:dyDescent="0.4"/>
    <row r="2201" spans="2:12" s="4" customFormat="1" hidden="1" x14ac:dyDescent="0.4"/>
    <row r="2202" spans="2:12" s="4" customFormat="1" hidden="1" x14ac:dyDescent="0.4"/>
    <row r="2203" spans="2:12" s="4" customFormat="1" hidden="1" x14ac:dyDescent="0.4"/>
    <row r="2204" spans="2:12" s="4" customFormat="1" hidden="1" x14ac:dyDescent="0.4"/>
    <row r="2205" spans="2:12" s="4" customFormat="1" hidden="1" x14ac:dyDescent="0.4"/>
    <row r="2206" spans="2:12" s="4" customFormat="1" hidden="1" x14ac:dyDescent="0.4"/>
    <row r="2207" spans="2:12" s="4" customFormat="1" x14ac:dyDescent="0.4"/>
    <row r="2208" spans="2:12" s="4" customFormat="1" ht="19.2" x14ac:dyDescent="0.45">
      <c r="B2208" s="754" t="str">
        <f>"Transport to Plant"&amp;" - "&amp;Feedstocks!C61</f>
        <v xml:space="preserve">Transport to Plant - </v>
      </c>
      <c r="C2208" s="755"/>
      <c r="D2208" s="755"/>
      <c r="E2208" s="755"/>
      <c r="F2208" s="755"/>
      <c r="G2208" s="755"/>
      <c r="H2208" s="755"/>
      <c r="I2208" s="755"/>
      <c r="J2208" s="755"/>
      <c r="K2208" s="755"/>
      <c r="L2208" s="756"/>
    </row>
    <row r="2209" spans="2:12" s="4" customFormat="1" outlineLevel="1" x14ac:dyDescent="0.4">
      <c r="B2209" s="17"/>
      <c r="C2209" s="18"/>
      <c r="D2209" s="19"/>
      <c r="E2209" s="19"/>
      <c r="F2209" s="19"/>
      <c r="G2209" s="19"/>
      <c r="H2209" s="19"/>
      <c r="I2209" s="19"/>
      <c r="J2209" s="19"/>
      <c r="K2209" s="19"/>
      <c r="L2209" s="50"/>
    </row>
    <row r="2210" spans="2:12" s="4" customFormat="1" outlineLevel="1" x14ac:dyDescent="0.4">
      <c r="B2210" s="20"/>
      <c r="C2210" s="174" t="s">
        <v>87</v>
      </c>
      <c r="D2210" s="778" t="str">
        <f>IF(Feedstocks!$C$61&gt;0,Feedstocks!$C$61,"")</f>
        <v/>
      </c>
      <c r="E2210" s="778"/>
      <c r="F2210" s="778"/>
      <c r="G2210" s="1"/>
      <c r="H2210" s="303" t="s">
        <v>122</v>
      </c>
      <c r="I2210" s="47"/>
      <c r="J2210" s="47"/>
      <c r="K2210" s="61"/>
      <c r="L2210" s="35"/>
    </row>
    <row r="2211" spans="2:12" s="4" customFormat="1" outlineLevel="1" x14ac:dyDescent="0.4">
      <c r="B2211" s="20"/>
      <c r="C2211" s="1"/>
      <c r="D2211" s="1"/>
      <c r="E2211" s="1"/>
      <c r="F2211" s="1"/>
      <c r="G2211" s="76"/>
      <c r="H2211" s="43"/>
      <c r="I2211" s="36"/>
      <c r="J2211" s="164" t="s">
        <v>124</v>
      </c>
      <c r="K2211" s="44"/>
      <c r="L2211" s="35"/>
    </row>
    <row r="2212" spans="2:12" s="12" customFormat="1" ht="15" outlineLevel="1" x14ac:dyDescent="0.35">
      <c r="B2212" s="20"/>
      <c r="C2212" s="1"/>
      <c r="D2212" s="1"/>
      <c r="E2212" s="1"/>
      <c r="F2212" s="1"/>
      <c r="G2212" s="1"/>
      <c r="H2212" s="43"/>
      <c r="I2212" s="164" t="s">
        <v>125</v>
      </c>
      <c r="J2212" s="52" t="str">
        <f>IFERROR((J2215/(('Digestion &amp; outputs'!$G$62/1000)))*'Digestion &amp; outputs'!$K$23,"")</f>
        <v/>
      </c>
      <c r="K2212" s="44"/>
      <c r="L2212" s="54"/>
    </row>
    <row r="2213" spans="2:12" s="4" customFormat="1" outlineLevel="1" x14ac:dyDescent="0.4">
      <c r="B2213" s="20"/>
      <c r="C2213" s="164" t="s">
        <v>163</v>
      </c>
      <c r="D2213" s="134" t="s">
        <v>164</v>
      </c>
      <c r="E2213" s="1"/>
      <c r="F2213" s="1"/>
      <c r="G2213" s="1"/>
      <c r="H2213" s="41"/>
      <c r="I2213" s="34"/>
      <c r="J2213" s="34"/>
      <c r="K2213" s="37"/>
      <c r="L2213" s="35"/>
    </row>
    <row r="2214" spans="2:12" s="4" customFormat="1" outlineLevel="1" x14ac:dyDescent="0.4">
      <c r="B2214" s="20"/>
      <c r="C2214" s="164" t="s">
        <v>165</v>
      </c>
      <c r="D2214" s="143"/>
      <c r="E2214" s="1"/>
      <c r="F2214" s="1"/>
      <c r="G2214" s="1"/>
      <c r="H2214" s="41"/>
      <c r="I2214" s="36"/>
      <c r="J2214" s="164" t="s">
        <v>141</v>
      </c>
      <c r="K2214" s="37"/>
      <c r="L2214" s="35"/>
    </row>
    <row r="2215" spans="2:12" s="4" customFormat="1" outlineLevel="1" x14ac:dyDescent="0.4">
      <c r="B2215" s="20"/>
      <c r="C2215" s="164" t="s">
        <v>160</v>
      </c>
      <c r="D2215" s="134" t="s">
        <v>166</v>
      </c>
      <c r="E2215" s="1"/>
      <c r="F2215" s="1"/>
      <c r="G2215" s="1"/>
      <c r="H2215" s="42"/>
      <c r="I2215" s="164" t="s">
        <v>167</v>
      </c>
      <c r="J2215" s="52">
        <f>IFERROR(J2220,"Insert data")</f>
        <v>0</v>
      </c>
      <c r="K2215" s="62"/>
      <c r="L2215" s="35"/>
    </row>
    <row r="2216" spans="2:12" s="4" customFormat="1" outlineLevel="1" x14ac:dyDescent="0.4">
      <c r="B2216" s="20"/>
      <c r="C2216" s="21"/>
      <c r="D2216" s="21"/>
      <c r="E2216" s="21"/>
      <c r="F2216" s="21"/>
      <c r="G2216" s="21"/>
      <c r="H2216" s="46"/>
      <c r="I2216" s="58"/>
      <c r="J2216" s="58"/>
      <c r="K2216" s="59"/>
      <c r="L2216" s="35"/>
    </row>
    <row r="2217" spans="2:12" s="4" customFormat="1" outlineLevel="1" x14ac:dyDescent="0.4">
      <c r="B2217" s="20"/>
      <c r="C2217" s="25" t="s">
        <v>168</v>
      </c>
      <c r="D2217" s="21"/>
      <c r="E2217" s="21"/>
      <c r="F2217" s="21"/>
      <c r="G2217" s="21"/>
      <c r="H2217" s="21"/>
      <c r="I2217" s="21"/>
      <c r="J2217" s="21"/>
      <c r="K2217" s="21"/>
      <c r="L2217" s="35"/>
    </row>
    <row r="2218" spans="2:12" s="14" customFormat="1" ht="30.6" outlineLevel="1" x14ac:dyDescent="0.4">
      <c r="B2218" s="23"/>
      <c r="C2218" s="166" t="s">
        <v>131</v>
      </c>
      <c r="D2218" s="166" t="s">
        <v>169</v>
      </c>
      <c r="E2218" s="166" t="s">
        <v>170</v>
      </c>
      <c r="F2218" s="166" t="s">
        <v>171</v>
      </c>
      <c r="G2218" s="24"/>
      <c r="H2218" s="303" t="s">
        <v>136</v>
      </c>
      <c r="I2218" s="47"/>
      <c r="J2218" s="47"/>
      <c r="K2218" s="45"/>
      <c r="L2218" s="63"/>
    </row>
    <row r="2219" spans="2:12" s="4" customFormat="1" outlineLevel="1" x14ac:dyDescent="0.4">
      <c r="B2219" s="20"/>
      <c r="C2219" s="138" t="s">
        <v>96</v>
      </c>
      <c r="D2219" s="93">
        <v>1</v>
      </c>
      <c r="E2219" s="135"/>
      <c r="F2219" s="31">
        <f>IFERROR(IF(OR(C2219="Default",D2213="No transport required"),D2219,IF(ISBLANK(E2219),"Insert data",E2219)),"")</f>
        <v>1</v>
      </c>
      <c r="G2219" s="21"/>
      <c r="H2219" s="41"/>
      <c r="I2219" s="36"/>
      <c r="J2219" s="164" t="s">
        <v>141</v>
      </c>
      <c r="K2219" s="37"/>
      <c r="L2219" s="35"/>
    </row>
    <row r="2220" spans="2:12" s="4" customFormat="1" outlineLevel="1" x14ac:dyDescent="0.4">
      <c r="B2220" s="20"/>
      <c r="C2220" s="21"/>
      <c r="D2220" s="21"/>
      <c r="E2220" s="692" t="str">
        <f>IF(E2219&gt;1, "this should not be greater than 1", "")</f>
        <v/>
      </c>
      <c r="F2220" s="21"/>
      <c r="G2220" s="21"/>
      <c r="H2220" s="42"/>
      <c r="I2220" s="164" t="s">
        <v>172</v>
      </c>
      <c r="J2220" s="52">
        <f>IF(D2213="No transport required",0,IFERROR(E2223*INDEX(Fuel_EFs,MATCH(D2215,Fuels_for_EF,0))*D2214/1000,"Insert data"))</f>
        <v>0</v>
      </c>
      <c r="K2220" s="62"/>
      <c r="L2220" s="35"/>
    </row>
    <row r="2221" spans="2:12" s="4" customFormat="1" outlineLevel="1" x14ac:dyDescent="0.4">
      <c r="B2221" s="20"/>
      <c r="C2221" s="25" t="s">
        <v>173</v>
      </c>
      <c r="D2221" s="21"/>
      <c r="E2221" s="21"/>
      <c r="F2221" s="21"/>
      <c r="G2221" s="21"/>
      <c r="H2221" s="46"/>
      <c r="I2221" s="58"/>
      <c r="J2221" s="58"/>
      <c r="K2221" s="59"/>
      <c r="L2221" s="35"/>
    </row>
    <row r="2222" spans="2:12" s="14" customFormat="1" outlineLevel="1" x14ac:dyDescent="0.4">
      <c r="B2222" s="23"/>
      <c r="C2222" s="176" t="s">
        <v>174</v>
      </c>
      <c r="D2222" s="166" t="s">
        <v>175</v>
      </c>
      <c r="E2222" s="166" t="s">
        <v>176</v>
      </c>
      <c r="F2222" s="24"/>
      <c r="G2222" s="24"/>
      <c r="H2222" s="4"/>
      <c r="I2222" s="4"/>
      <c r="J2222" s="4"/>
      <c r="K2222" s="4"/>
      <c r="L2222" s="63"/>
    </row>
    <row r="2223" spans="2:12" s="4" customFormat="1" outlineLevel="1" x14ac:dyDescent="0.4">
      <c r="B2223" s="20"/>
      <c r="C2223" s="138" t="s">
        <v>96</v>
      </c>
      <c r="D2223" s="93">
        <f>IFERROR(INDEX(Transport_Fuel_Efficiencies,MATCH(D2213,Transport_Modes,0)),"Insert data")</f>
        <v>0</v>
      </c>
      <c r="E2223" s="31">
        <f>IFERROR(IF(C2223="Default",D2223,IF(OR(ISBLANK(E2225),ISBLANK(D2229),ISBLANK(D2233)),"Insert data",(IF(C2229="litres",(D2229*(INDEX(Fuel_Densities,MATCH(D2215,Fuels_for_Densities,0))/1000)*INDEX(Fuel_LHV,MATCH(D2215,Fuels_for_LHV,0)))/(D2233*D2214),(IF(C2229="m3",(D2229*(INDEX(Fuel_Densities,MATCH(D2215,Fuels_for_Densities,0)))*INDEX(Fuel_LHV,MATCH(D2215,Fuels_for_LHV,0)))/(D2233*D2214),IF(C2229="kg",(D2229*INDEX(Fuel_LHV,MATCH(D2215,Fuels_for_LHV,0)))/(D2233*D2214),IF(C2229="tonnes",(D2229*INDEX(Fuel_LHV,MATCH(D2215,Fuels_for_LHV,0))*1000)/(D2233*D2214),IF(C2229="MWh",(D2229*'Reference values'!$D$47)/(D2233*D2214),IF(C2229="kWh",(D2229*'Reference values'!$D$47/1000)/(D2233*D2214),"Insert unit")))))))))),"")</f>
        <v>0</v>
      </c>
      <c r="F2223" s="21"/>
      <c r="G2223" s="21"/>
      <c r="L2223" s="35"/>
    </row>
    <row r="2224" spans="2:12" s="4" customFormat="1" outlineLevel="1" x14ac:dyDescent="0.4">
      <c r="B2224" s="20"/>
      <c r="C2224" s="21"/>
      <c r="D2224" s="21"/>
      <c r="E2224" s="21"/>
      <c r="F2224" s="21"/>
      <c r="G2224" s="21"/>
      <c r="H2224" s="21"/>
      <c r="I2224" s="21"/>
      <c r="J2224" s="21"/>
      <c r="K2224" s="21"/>
      <c r="L2224" s="35"/>
    </row>
    <row r="2225" spans="2:12" s="4" customFormat="1" ht="16.5" customHeight="1" outlineLevel="1" x14ac:dyDescent="0.4">
      <c r="B2225" s="20"/>
      <c r="C2225" s="759" t="s">
        <v>177</v>
      </c>
      <c r="D2225" s="759"/>
      <c r="E2225" s="135" t="s">
        <v>178</v>
      </c>
      <c r="F2225" s="21"/>
      <c r="G2225" s="21"/>
      <c r="L2225" s="35"/>
    </row>
    <row r="2226" spans="2:12" s="4" customFormat="1" ht="12.75" customHeight="1" outlineLevel="1" x14ac:dyDescent="0.4">
      <c r="B2226" s="20"/>
      <c r="C2226" s="21"/>
      <c r="D2226" s="21"/>
      <c r="E2226" s="21"/>
      <c r="F2226" s="21"/>
      <c r="G2226" s="21"/>
      <c r="L2226" s="35"/>
    </row>
    <row r="2227" spans="2:12" s="4" customFormat="1" outlineLevel="1" x14ac:dyDescent="0.4">
      <c r="B2227" s="20"/>
      <c r="C2227" s="25" t="str">
        <f>IF(E2225="yes", "Fuel demand for outward journey",IF(E2225="No","Fuel demand for full journey (outward and return)",""))</f>
        <v>Fuel demand for full journey (outward and return)</v>
      </c>
      <c r="D2227" s="21"/>
      <c r="E2227" s="21"/>
      <c r="F2227" s="21"/>
      <c r="G2227" s="21"/>
      <c r="H2227" s="21"/>
      <c r="I2227" s="21"/>
      <c r="J2227" s="21"/>
      <c r="K2227" s="21"/>
      <c r="L2227" s="35"/>
    </row>
    <row r="2228" spans="2:12" s="4" customFormat="1" outlineLevel="1" x14ac:dyDescent="0.4">
      <c r="B2228" s="20"/>
      <c r="C2228" s="164" t="s">
        <v>151</v>
      </c>
      <c r="D2228" s="164" t="s">
        <v>140</v>
      </c>
      <c r="E2228" s="21"/>
      <c r="F2228" s="21"/>
      <c r="G2228" s="21"/>
      <c r="H2228" s="21"/>
      <c r="I2228" s="21"/>
      <c r="J2228" s="21"/>
      <c r="K2228" s="21"/>
      <c r="L2228" s="35"/>
    </row>
    <row r="2229" spans="2:12" s="4" customFormat="1" outlineLevel="1" x14ac:dyDescent="0.4">
      <c r="B2229" s="20"/>
      <c r="C2229" s="138"/>
      <c r="D2229" s="135"/>
      <c r="E2229" s="21"/>
      <c r="F2229" s="21"/>
      <c r="G2229" s="21"/>
      <c r="H2229" s="21"/>
      <c r="I2229" s="21"/>
      <c r="J2229" s="21"/>
      <c r="K2229" s="21"/>
      <c r="L2229" s="35"/>
    </row>
    <row r="2230" spans="2:12" s="4" customFormat="1" outlineLevel="1" x14ac:dyDescent="0.4">
      <c r="B2230" s="20"/>
      <c r="C2230" s="21"/>
      <c r="D2230" s="21"/>
      <c r="E2230" s="21"/>
      <c r="F2230" s="21"/>
      <c r="G2230" s="21"/>
      <c r="H2230" s="21"/>
      <c r="I2230" s="21"/>
      <c r="J2230" s="21"/>
      <c r="K2230" s="21"/>
      <c r="L2230" s="35"/>
    </row>
    <row r="2231" spans="2:12" s="4" customFormat="1" outlineLevel="1" x14ac:dyDescent="0.4">
      <c r="B2231" s="20"/>
      <c r="C2231" s="25" t="s">
        <v>180</v>
      </c>
      <c r="D2231" s="21"/>
      <c r="E2231" s="21"/>
      <c r="F2231" s="21"/>
      <c r="G2231" s="21"/>
      <c r="H2231" s="21"/>
      <c r="I2231" s="21"/>
      <c r="J2231" s="21"/>
      <c r="K2231" s="21"/>
      <c r="L2231" s="35"/>
    </row>
    <row r="2232" spans="2:12" s="4" customFormat="1" outlineLevel="1" x14ac:dyDescent="0.4">
      <c r="B2232" s="20"/>
      <c r="C2232" s="164" t="s">
        <v>151</v>
      </c>
      <c r="D2232" s="164" t="s">
        <v>140</v>
      </c>
      <c r="E2232" s="21"/>
      <c r="F2232" s="21"/>
      <c r="G2232" s="21"/>
      <c r="H2232" s="21"/>
      <c r="I2232" s="21"/>
      <c r="J2232" s="21"/>
      <c r="K2232" s="21"/>
      <c r="L2232" s="35"/>
    </row>
    <row r="2233" spans="2:12" s="4" customFormat="1" outlineLevel="1" x14ac:dyDescent="0.4">
      <c r="B2233" s="20"/>
      <c r="C2233" s="138"/>
      <c r="D2233" s="135"/>
      <c r="E2233" s="21"/>
      <c r="F2233" s="21"/>
      <c r="G2233" s="21"/>
      <c r="H2233" s="21"/>
      <c r="I2233" s="21"/>
      <c r="J2233" s="21"/>
      <c r="K2233" s="21"/>
      <c r="L2233" s="35"/>
    </row>
    <row r="2234" spans="2:12" s="4" customFormat="1" ht="12.75" customHeight="1" outlineLevel="1" x14ac:dyDescent="0.4">
      <c r="B2234" s="28"/>
      <c r="C2234" s="29"/>
      <c r="D2234" s="29"/>
      <c r="E2234" s="29"/>
      <c r="F2234" s="29"/>
      <c r="G2234" s="29"/>
      <c r="H2234" s="29"/>
      <c r="I2234" s="29"/>
      <c r="J2234" s="29"/>
      <c r="K2234" s="29"/>
      <c r="L2234" s="60"/>
    </row>
    <row r="2235" spans="2:12" s="4" customFormat="1" ht="3" customHeight="1" x14ac:dyDescent="0.4"/>
    <row r="2236" spans="2:12" s="4" customFormat="1" ht="8.4" hidden="1" customHeight="1" x14ac:dyDescent="0.4"/>
    <row r="2237" spans="2:12" s="1" customFormat="1" ht="11.1" hidden="1" customHeight="1" x14ac:dyDescent="0.35">
      <c r="B2237" s="2"/>
      <c r="C2237" s="3"/>
      <c r="E2237" s="2"/>
    </row>
    <row r="2238" spans="2:12" s="4" customFormat="1" ht="15.9" hidden="1" customHeight="1" x14ac:dyDescent="0.4"/>
    <row r="2239" spans="2:12" s="4" customFormat="1" ht="15.9" hidden="1" customHeight="1" x14ac:dyDescent="0.4"/>
    <row r="2240" spans="2:12" s="4" customFormat="1" ht="15.9" hidden="1" customHeight="1" x14ac:dyDescent="0.4"/>
    <row r="2241" spans="2:5" s="4" customFormat="1" hidden="1" x14ac:dyDescent="0.4"/>
    <row r="2242" spans="2:5" s="4" customFormat="1" ht="15.9" hidden="1" customHeight="1" x14ac:dyDescent="0.4"/>
    <row r="2243" spans="2:5" s="4" customFormat="1" ht="15.9" hidden="1" customHeight="1" x14ac:dyDescent="0.4"/>
    <row r="2244" spans="2:5" s="4" customFormat="1" hidden="1" x14ac:dyDescent="0.4"/>
    <row r="2245" spans="2:5" s="1" customFormat="1" ht="11.1" hidden="1" customHeight="1" x14ac:dyDescent="0.35">
      <c r="B2245" s="2"/>
      <c r="C2245" s="3"/>
      <c r="E2245" s="2"/>
    </row>
    <row r="2246" spans="2:5" s="4" customFormat="1" ht="15.9" hidden="1" customHeight="1" x14ac:dyDescent="0.4"/>
    <row r="2247" spans="2:5" s="4" customFormat="1" ht="15.9" hidden="1" customHeight="1" x14ac:dyDescent="0.4"/>
    <row r="2248" spans="2:5" s="4" customFormat="1" ht="15.9" hidden="1" customHeight="1" x14ac:dyDescent="0.4"/>
    <row r="2249" spans="2:5" s="4" customFormat="1" hidden="1" x14ac:dyDescent="0.4"/>
    <row r="2250" spans="2:5" s="4" customFormat="1" hidden="1" x14ac:dyDescent="0.4"/>
    <row r="2251" spans="2:5" s="4" customFormat="1" hidden="1" x14ac:dyDescent="0.4"/>
    <row r="2252" spans="2:5" s="4" customFormat="1" hidden="1" x14ac:dyDescent="0.4"/>
    <row r="2253" spans="2:5" s="4" customFormat="1" hidden="1" x14ac:dyDescent="0.4"/>
    <row r="2254" spans="2:5" s="4" customFormat="1" hidden="1" x14ac:dyDescent="0.4"/>
    <row r="2255" spans="2:5" s="4" customFormat="1" hidden="1" x14ac:dyDescent="0.4"/>
    <row r="2256" spans="2:5" s="4" customFormat="1" hidden="1" x14ac:dyDescent="0.4"/>
    <row r="2257" spans="2:12" s="4" customFormat="1" x14ac:dyDescent="0.4"/>
    <row r="2258" spans="2:12" s="4" customFormat="1" ht="19.2" x14ac:dyDescent="0.45">
      <c r="B2258" s="754" t="str">
        <f>"Transport to Plant"&amp;" - "&amp;Feedstocks!C62</f>
        <v xml:space="preserve">Transport to Plant - </v>
      </c>
      <c r="C2258" s="755"/>
      <c r="D2258" s="755"/>
      <c r="E2258" s="755"/>
      <c r="F2258" s="755"/>
      <c r="G2258" s="755"/>
      <c r="H2258" s="755"/>
      <c r="I2258" s="755"/>
      <c r="J2258" s="755"/>
      <c r="K2258" s="755"/>
      <c r="L2258" s="756"/>
    </row>
    <row r="2259" spans="2:12" s="4" customFormat="1" outlineLevel="1" x14ac:dyDescent="0.4">
      <c r="B2259" s="17"/>
      <c r="C2259" s="18"/>
      <c r="D2259" s="19"/>
      <c r="E2259" s="19"/>
      <c r="F2259" s="19"/>
      <c r="G2259" s="19"/>
      <c r="H2259" s="19"/>
      <c r="I2259" s="19"/>
      <c r="J2259" s="19"/>
      <c r="K2259" s="19"/>
      <c r="L2259" s="50"/>
    </row>
    <row r="2260" spans="2:12" s="4" customFormat="1" outlineLevel="1" x14ac:dyDescent="0.4">
      <c r="B2260" s="20"/>
      <c r="C2260" s="174" t="s">
        <v>87</v>
      </c>
      <c r="D2260" s="778" t="str">
        <f>IF(Feedstocks!$C$62&gt;0,Feedstocks!$C$62,"")</f>
        <v/>
      </c>
      <c r="E2260" s="778"/>
      <c r="F2260" s="778"/>
      <c r="G2260" s="1"/>
      <c r="H2260" s="303" t="s">
        <v>122</v>
      </c>
      <c r="I2260" s="47"/>
      <c r="J2260" s="47"/>
      <c r="K2260" s="61"/>
      <c r="L2260" s="35"/>
    </row>
    <row r="2261" spans="2:12" s="4" customFormat="1" outlineLevel="1" x14ac:dyDescent="0.4">
      <c r="B2261" s="20"/>
      <c r="C2261" s="1"/>
      <c r="D2261" s="1"/>
      <c r="E2261" s="1"/>
      <c r="F2261" s="1"/>
      <c r="G2261" s="76"/>
      <c r="H2261" s="43"/>
      <c r="I2261" s="36"/>
      <c r="J2261" s="164" t="s">
        <v>124</v>
      </c>
      <c r="K2261" s="44"/>
      <c r="L2261" s="35"/>
    </row>
    <row r="2262" spans="2:12" s="12" customFormat="1" ht="15" outlineLevel="1" x14ac:dyDescent="0.35">
      <c r="B2262" s="20"/>
      <c r="C2262" s="1"/>
      <c r="D2262" s="1"/>
      <c r="E2262" s="1"/>
      <c r="F2262" s="1"/>
      <c r="G2262" s="1"/>
      <c r="H2262" s="43"/>
      <c r="I2262" s="164" t="s">
        <v>125</v>
      </c>
      <c r="J2262" s="52" t="str">
        <f>IFERROR((J2265/(('Digestion &amp; outputs'!$G$63/1000)))*'Digestion &amp; outputs'!$K$23,"")</f>
        <v/>
      </c>
      <c r="K2262" s="44"/>
      <c r="L2262" s="54"/>
    </row>
    <row r="2263" spans="2:12" s="4" customFormat="1" outlineLevel="1" x14ac:dyDescent="0.4">
      <c r="B2263" s="20"/>
      <c r="C2263" s="164" t="s">
        <v>163</v>
      </c>
      <c r="D2263" s="134" t="s">
        <v>164</v>
      </c>
      <c r="E2263" s="1"/>
      <c r="F2263" s="1"/>
      <c r="G2263" s="1"/>
      <c r="H2263" s="41"/>
      <c r="I2263" s="34"/>
      <c r="J2263" s="34"/>
      <c r="K2263" s="37"/>
      <c r="L2263" s="35"/>
    </row>
    <row r="2264" spans="2:12" s="4" customFormat="1" outlineLevel="1" x14ac:dyDescent="0.4">
      <c r="B2264" s="20"/>
      <c r="C2264" s="164" t="s">
        <v>165</v>
      </c>
      <c r="D2264" s="143"/>
      <c r="E2264" s="1"/>
      <c r="F2264" s="1"/>
      <c r="G2264" s="1"/>
      <c r="H2264" s="41"/>
      <c r="I2264" s="36"/>
      <c r="J2264" s="164" t="s">
        <v>141</v>
      </c>
      <c r="K2264" s="37"/>
      <c r="L2264" s="35"/>
    </row>
    <row r="2265" spans="2:12" s="4" customFormat="1" outlineLevel="1" x14ac:dyDescent="0.4">
      <c r="B2265" s="20"/>
      <c r="C2265" s="164" t="s">
        <v>160</v>
      </c>
      <c r="D2265" s="134" t="s">
        <v>166</v>
      </c>
      <c r="E2265" s="1"/>
      <c r="F2265" s="1"/>
      <c r="G2265" s="1"/>
      <c r="H2265" s="42"/>
      <c r="I2265" s="164" t="s">
        <v>167</v>
      </c>
      <c r="J2265" s="52">
        <f>IFERROR(J2270,"Insert data")</f>
        <v>0</v>
      </c>
      <c r="K2265" s="62"/>
      <c r="L2265" s="35"/>
    </row>
    <row r="2266" spans="2:12" s="4" customFormat="1" outlineLevel="1" x14ac:dyDescent="0.4">
      <c r="B2266" s="20"/>
      <c r="C2266" s="21"/>
      <c r="D2266" s="21"/>
      <c r="E2266" s="21"/>
      <c r="F2266" s="21"/>
      <c r="G2266" s="21"/>
      <c r="H2266" s="46"/>
      <c r="I2266" s="58"/>
      <c r="J2266" s="58"/>
      <c r="K2266" s="59"/>
      <c r="L2266" s="35"/>
    </row>
    <row r="2267" spans="2:12" s="4" customFormat="1" outlineLevel="1" x14ac:dyDescent="0.4">
      <c r="B2267" s="20"/>
      <c r="C2267" s="25" t="s">
        <v>168</v>
      </c>
      <c r="D2267" s="21"/>
      <c r="E2267" s="21"/>
      <c r="F2267" s="21"/>
      <c r="G2267" s="21"/>
      <c r="H2267" s="21"/>
      <c r="I2267" s="21"/>
      <c r="J2267" s="21"/>
      <c r="K2267" s="21"/>
      <c r="L2267" s="35"/>
    </row>
    <row r="2268" spans="2:12" s="14" customFormat="1" ht="30.6" outlineLevel="1" x14ac:dyDescent="0.4">
      <c r="B2268" s="23"/>
      <c r="C2268" s="166" t="s">
        <v>131</v>
      </c>
      <c r="D2268" s="166" t="s">
        <v>169</v>
      </c>
      <c r="E2268" s="166" t="s">
        <v>170</v>
      </c>
      <c r="F2268" s="166" t="s">
        <v>171</v>
      </c>
      <c r="G2268" s="24"/>
      <c r="H2268" s="303" t="s">
        <v>136</v>
      </c>
      <c r="I2268" s="47"/>
      <c r="J2268" s="47"/>
      <c r="K2268" s="45"/>
      <c r="L2268" s="63"/>
    </row>
    <row r="2269" spans="2:12" s="4" customFormat="1" outlineLevel="1" x14ac:dyDescent="0.4">
      <c r="B2269" s="20"/>
      <c r="C2269" s="138" t="s">
        <v>96</v>
      </c>
      <c r="D2269" s="93">
        <v>1</v>
      </c>
      <c r="E2269" s="135"/>
      <c r="F2269" s="31">
        <f>IFERROR(IF(OR(C2269="Default",D2263="No transport required"),D2269,IF(ISBLANK(E2269),"Insert data",E2269)),"")</f>
        <v>1</v>
      </c>
      <c r="G2269" s="21"/>
      <c r="H2269" s="41"/>
      <c r="I2269" s="36"/>
      <c r="J2269" s="164" t="s">
        <v>141</v>
      </c>
      <c r="K2269" s="37"/>
      <c r="L2269" s="35"/>
    </row>
    <row r="2270" spans="2:12" s="4" customFormat="1" outlineLevel="1" x14ac:dyDescent="0.4">
      <c r="B2270" s="20"/>
      <c r="C2270" s="21"/>
      <c r="D2270" s="21"/>
      <c r="E2270" s="21" t="str">
        <f>IF(E2269&gt;1, "this should not be greater than 1", "")</f>
        <v/>
      </c>
      <c r="F2270" s="21"/>
      <c r="G2270" s="21"/>
      <c r="H2270" s="42"/>
      <c r="I2270" s="164" t="s">
        <v>172</v>
      </c>
      <c r="J2270" s="52">
        <f>IF(D2263="No transport required",0,IFERROR(E2273*INDEX(Fuel_EFs,MATCH(D2265,Fuels_for_EF,0))*D2264/1000,"Insert data"))</f>
        <v>0</v>
      </c>
      <c r="K2270" s="62"/>
      <c r="L2270" s="35"/>
    </row>
    <row r="2271" spans="2:12" s="4" customFormat="1" outlineLevel="1" x14ac:dyDescent="0.4">
      <c r="B2271" s="20"/>
      <c r="C2271" s="25" t="s">
        <v>173</v>
      </c>
      <c r="D2271" s="21"/>
      <c r="E2271" s="21"/>
      <c r="F2271" s="21"/>
      <c r="G2271" s="21"/>
      <c r="H2271" s="46"/>
      <c r="I2271" s="58"/>
      <c r="J2271" s="58"/>
      <c r="K2271" s="59"/>
      <c r="L2271" s="35"/>
    </row>
    <row r="2272" spans="2:12" s="14" customFormat="1" outlineLevel="1" x14ac:dyDescent="0.4">
      <c r="B2272" s="23"/>
      <c r="C2272" s="176" t="s">
        <v>174</v>
      </c>
      <c r="D2272" s="166" t="s">
        <v>175</v>
      </c>
      <c r="E2272" s="166" t="s">
        <v>176</v>
      </c>
      <c r="F2272" s="24"/>
      <c r="G2272" s="24"/>
      <c r="H2272" s="4"/>
      <c r="I2272" s="4"/>
      <c r="J2272" s="4"/>
      <c r="K2272" s="4"/>
      <c r="L2272" s="63"/>
    </row>
    <row r="2273" spans="2:12" s="4" customFormat="1" outlineLevel="1" x14ac:dyDescent="0.4">
      <c r="B2273" s="20"/>
      <c r="C2273" s="138" t="s">
        <v>96</v>
      </c>
      <c r="D2273" s="93">
        <f>IFERROR(INDEX(Transport_Fuel_Efficiencies,MATCH(D2263,Transport_Modes,0)),"Insert data")</f>
        <v>0</v>
      </c>
      <c r="E2273" s="31">
        <f>IFERROR(IF(C2273="Default",D2273,IF(OR(ISBLANK(E2275),ISBLANK(D2279),ISBLANK(D2283)),"Insert data",(IF(C2279="litres",(D2279*(INDEX(Fuel_Densities,MATCH(D2265,Fuels_for_Densities,0))/1000)*INDEX(Fuel_LHV,MATCH(D2265,Fuels_for_LHV,0)))/(D2283*D2264),(IF(C2279="m3",(D2279*(INDEX(Fuel_Densities,MATCH(D2265,Fuels_for_Densities,0)))*INDEX(Fuel_LHV,MATCH(D2265,Fuels_for_LHV,0)))/(D2283*D2264),IF(C2279="kg",(D2279*INDEX(Fuel_LHV,MATCH(D2265,Fuels_for_LHV,0)))/(D2283*D2264),IF(C2279="tonnes",(D2279*INDEX(Fuel_LHV,MATCH(D2265,Fuels_for_LHV,0))*1000)/(D2283*D2264),IF(C2279="MWh",(D2279*'Reference values'!$D$47)/(D2283*D2264),IF(C2279="kWh",(D2279*'Reference values'!$D$47/1000)/(D2283*D2264),"Insert unit")))))))))),"")</f>
        <v>0</v>
      </c>
      <c r="F2273" s="21"/>
      <c r="G2273" s="21"/>
      <c r="L2273" s="35"/>
    </row>
    <row r="2274" spans="2:12" s="4" customFormat="1" outlineLevel="1" x14ac:dyDescent="0.4">
      <c r="B2274" s="20"/>
      <c r="C2274" s="21"/>
      <c r="D2274" s="21"/>
      <c r="E2274" s="21"/>
      <c r="F2274" s="21"/>
      <c r="G2274" s="21"/>
      <c r="H2274" s="21"/>
      <c r="I2274" s="21"/>
      <c r="J2274" s="21"/>
      <c r="K2274" s="21"/>
      <c r="L2274" s="35"/>
    </row>
    <row r="2275" spans="2:12" s="4" customFormat="1" ht="16.5" customHeight="1" outlineLevel="1" x14ac:dyDescent="0.4">
      <c r="B2275" s="20"/>
      <c r="C2275" s="759" t="s">
        <v>177</v>
      </c>
      <c r="D2275" s="759"/>
      <c r="E2275" s="135" t="s">
        <v>178</v>
      </c>
      <c r="F2275" s="21"/>
      <c r="G2275" s="21"/>
      <c r="L2275" s="35"/>
    </row>
    <row r="2276" spans="2:12" s="4" customFormat="1" ht="12.75" customHeight="1" outlineLevel="1" x14ac:dyDescent="0.4">
      <c r="B2276" s="20"/>
      <c r="C2276" s="21"/>
      <c r="D2276" s="21"/>
      <c r="E2276" s="21"/>
      <c r="F2276" s="21"/>
      <c r="G2276" s="21"/>
      <c r="L2276" s="35"/>
    </row>
    <row r="2277" spans="2:12" s="4" customFormat="1" outlineLevel="1" x14ac:dyDescent="0.4">
      <c r="B2277" s="20"/>
      <c r="C2277" s="25" t="str">
        <f>IF(E2275="yes", "Fuel demand for outward journey",IF(E2275="No","Fuel demand for full journey (outward and return)",""))</f>
        <v>Fuel demand for full journey (outward and return)</v>
      </c>
      <c r="D2277" s="21"/>
      <c r="E2277" s="21"/>
      <c r="F2277" s="21"/>
      <c r="G2277" s="21"/>
      <c r="H2277" s="21"/>
      <c r="I2277" s="21"/>
      <c r="J2277" s="21"/>
      <c r="K2277" s="21"/>
      <c r="L2277" s="35"/>
    </row>
    <row r="2278" spans="2:12" s="4" customFormat="1" outlineLevel="1" x14ac:dyDescent="0.4">
      <c r="B2278" s="20"/>
      <c r="C2278" s="164" t="s">
        <v>151</v>
      </c>
      <c r="D2278" s="164" t="s">
        <v>140</v>
      </c>
      <c r="E2278" s="21"/>
      <c r="F2278" s="21"/>
      <c r="G2278" s="21"/>
      <c r="H2278" s="21"/>
      <c r="I2278" s="21"/>
      <c r="J2278" s="21"/>
      <c r="K2278" s="21"/>
      <c r="L2278" s="35"/>
    </row>
    <row r="2279" spans="2:12" s="4" customFormat="1" outlineLevel="1" x14ac:dyDescent="0.4">
      <c r="B2279" s="20"/>
      <c r="C2279" s="138"/>
      <c r="D2279" s="135"/>
      <c r="E2279" s="21"/>
      <c r="F2279" s="21"/>
      <c r="G2279" s="21"/>
      <c r="H2279" s="21"/>
      <c r="I2279" s="21"/>
      <c r="J2279" s="21"/>
      <c r="K2279" s="21"/>
      <c r="L2279" s="35"/>
    </row>
    <row r="2280" spans="2:12" s="4" customFormat="1" outlineLevel="1" x14ac:dyDescent="0.4">
      <c r="B2280" s="20"/>
      <c r="C2280" s="21"/>
      <c r="D2280" s="21"/>
      <c r="E2280" s="21"/>
      <c r="F2280" s="21"/>
      <c r="G2280" s="21"/>
      <c r="H2280" s="21"/>
      <c r="I2280" s="21"/>
      <c r="J2280" s="21"/>
      <c r="K2280" s="21"/>
      <c r="L2280" s="35"/>
    </row>
    <row r="2281" spans="2:12" s="4" customFormat="1" outlineLevel="1" x14ac:dyDescent="0.4">
      <c r="B2281" s="20"/>
      <c r="C2281" s="25" t="s">
        <v>180</v>
      </c>
      <c r="D2281" s="21"/>
      <c r="E2281" s="21"/>
      <c r="F2281" s="21"/>
      <c r="G2281" s="21"/>
      <c r="H2281" s="21"/>
      <c r="I2281" s="21"/>
      <c r="J2281" s="21"/>
      <c r="K2281" s="21"/>
      <c r="L2281" s="35"/>
    </row>
    <row r="2282" spans="2:12" s="4" customFormat="1" outlineLevel="1" x14ac:dyDescent="0.4">
      <c r="B2282" s="20"/>
      <c r="C2282" s="164" t="s">
        <v>151</v>
      </c>
      <c r="D2282" s="164" t="s">
        <v>140</v>
      </c>
      <c r="E2282" s="21"/>
      <c r="F2282" s="21"/>
      <c r="G2282" s="21"/>
      <c r="H2282" s="21"/>
      <c r="I2282" s="21"/>
      <c r="J2282" s="21"/>
      <c r="K2282" s="21"/>
      <c r="L2282" s="35"/>
    </row>
    <row r="2283" spans="2:12" s="4" customFormat="1" outlineLevel="1" x14ac:dyDescent="0.4">
      <c r="B2283" s="20"/>
      <c r="C2283" s="138"/>
      <c r="D2283" s="135"/>
      <c r="E2283" s="21"/>
      <c r="F2283" s="21"/>
      <c r="G2283" s="21"/>
      <c r="H2283" s="21"/>
      <c r="I2283" s="21"/>
      <c r="J2283" s="21"/>
      <c r="K2283" s="21"/>
      <c r="L2283" s="35"/>
    </row>
    <row r="2284" spans="2:12" s="4" customFormat="1" ht="12.75" customHeight="1" outlineLevel="1" x14ac:dyDescent="0.4">
      <c r="B2284" s="28"/>
      <c r="C2284" s="29"/>
      <c r="D2284" s="29"/>
      <c r="E2284" s="29"/>
      <c r="F2284" s="29"/>
      <c r="G2284" s="29"/>
      <c r="H2284" s="29"/>
      <c r="I2284" s="29"/>
      <c r="J2284" s="29"/>
      <c r="K2284" s="29"/>
      <c r="L2284" s="60"/>
    </row>
    <row r="2285" spans="2:12" s="4" customFormat="1" ht="3" customHeight="1" x14ac:dyDescent="0.4"/>
    <row r="2286" spans="2:12" s="4" customFormat="1" ht="8.4" hidden="1" customHeight="1" x14ac:dyDescent="0.4"/>
    <row r="2287" spans="2:12" s="1" customFormat="1" ht="11.1" hidden="1" customHeight="1" x14ac:dyDescent="0.35">
      <c r="B2287" s="2"/>
      <c r="C2287" s="3"/>
      <c r="E2287" s="2"/>
    </row>
    <row r="2288" spans="2:12" s="4" customFormat="1" ht="15.9" hidden="1" customHeight="1" x14ac:dyDescent="0.4"/>
    <row r="2289" spans="2:5" s="4" customFormat="1" ht="15.9" hidden="1" customHeight="1" x14ac:dyDescent="0.4"/>
    <row r="2290" spans="2:5" s="4" customFormat="1" ht="15.9" hidden="1" customHeight="1" x14ac:dyDescent="0.4"/>
    <row r="2291" spans="2:5" s="4" customFormat="1" hidden="1" x14ac:dyDescent="0.4"/>
    <row r="2292" spans="2:5" s="4" customFormat="1" ht="15.9" hidden="1" customHeight="1" x14ac:dyDescent="0.4"/>
    <row r="2293" spans="2:5" s="4" customFormat="1" ht="15.9" hidden="1" customHeight="1" x14ac:dyDescent="0.4"/>
    <row r="2294" spans="2:5" s="4" customFormat="1" hidden="1" x14ac:dyDescent="0.4"/>
    <row r="2295" spans="2:5" s="1" customFormat="1" ht="11.1" hidden="1" customHeight="1" x14ac:dyDescent="0.35">
      <c r="B2295" s="2"/>
      <c r="C2295" s="3"/>
      <c r="E2295" s="2"/>
    </row>
    <row r="2296" spans="2:5" s="4" customFormat="1" ht="15.9" hidden="1" customHeight="1" x14ac:dyDescent="0.4"/>
    <row r="2297" spans="2:5" s="4" customFormat="1" ht="15.9" hidden="1" customHeight="1" x14ac:dyDescent="0.4"/>
    <row r="2298" spans="2:5" s="4" customFormat="1" ht="15.9" hidden="1" customHeight="1" x14ac:dyDescent="0.4"/>
    <row r="2299" spans="2:5" s="4" customFormat="1" hidden="1" x14ac:dyDescent="0.4"/>
    <row r="2300" spans="2:5" s="4" customFormat="1" hidden="1" x14ac:dyDescent="0.4"/>
    <row r="2301" spans="2:5" s="4" customFormat="1" hidden="1" x14ac:dyDescent="0.4"/>
    <row r="2302" spans="2:5" s="4" customFormat="1" hidden="1" x14ac:dyDescent="0.4"/>
    <row r="2303" spans="2:5" s="4" customFormat="1" hidden="1" x14ac:dyDescent="0.4"/>
    <row r="2304" spans="2:5" s="4" customFormat="1" hidden="1" x14ac:dyDescent="0.4"/>
    <row r="2305" spans="2:12" s="4" customFormat="1" hidden="1" x14ac:dyDescent="0.4"/>
    <row r="2306" spans="2:12" s="4" customFormat="1" hidden="1" x14ac:dyDescent="0.4"/>
    <row r="2307" spans="2:12" s="4" customFormat="1" x14ac:dyDescent="0.4"/>
    <row r="2308" spans="2:12" s="4" customFormat="1" ht="19.2" x14ac:dyDescent="0.45">
      <c r="B2308" s="754" t="str">
        <f>"Transport to Plant"&amp;" - "&amp;Feedstocks!C63</f>
        <v xml:space="preserve">Transport to Plant - </v>
      </c>
      <c r="C2308" s="755"/>
      <c r="D2308" s="755"/>
      <c r="E2308" s="755"/>
      <c r="F2308" s="755"/>
      <c r="G2308" s="755"/>
      <c r="H2308" s="755"/>
      <c r="I2308" s="755"/>
      <c r="J2308" s="755"/>
      <c r="K2308" s="755"/>
      <c r="L2308" s="756"/>
    </row>
    <row r="2309" spans="2:12" s="4" customFormat="1" outlineLevel="1" x14ac:dyDescent="0.4">
      <c r="B2309" s="17"/>
      <c r="C2309" s="18"/>
      <c r="D2309" s="19"/>
      <c r="E2309" s="19"/>
      <c r="F2309" s="19"/>
      <c r="G2309" s="19"/>
      <c r="H2309" s="19"/>
      <c r="I2309" s="19"/>
      <c r="J2309" s="19"/>
      <c r="K2309" s="19"/>
      <c r="L2309" s="50"/>
    </row>
    <row r="2310" spans="2:12" s="4" customFormat="1" outlineLevel="1" x14ac:dyDescent="0.4">
      <c r="B2310" s="20"/>
      <c r="C2310" s="174" t="s">
        <v>87</v>
      </c>
      <c r="D2310" s="778" t="str">
        <f>IF(Feedstocks!$C$63&gt;0,Feedstocks!$C$63,"")</f>
        <v/>
      </c>
      <c r="E2310" s="778"/>
      <c r="F2310" s="778"/>
      <c r="G2310" s="1"/>
      <c r="H2310" s="303" t="s">
        <v>122</v>
      </c>
      <c r="I2310" s="47"/>
      <c r="J2310" s="47"/>
      <c r="K2310" s="61"/>
      <c r="L2310" s="35"/>
    </row>
    <row r="2311" spans="2:12" s="4" customFormat="1" outlineLevel="1" x14ac:dyDescent="0.4">
      <c r="B2311" s="20"/>
      <c r="C2311" s="1"/>
      <c r="D2311" s="1"/>
      <c r="E2311" s="1"/>
      <c r="F2311" s="1"/>
      <c r="G2311" s="76"/>
      <c r="H2311" s="43"/>
      <c r="I2311" s="36"/>
      <c r="J2311" s="164" t="s">
        <v>124</v>
      </c>
      <c r="K2311" s="44"/>
      <c r="L2311" s="35"/>
    </row>
    <row r="2312" spans="2:12" s="12" customFormat="1" ht="15" outlineLevel="1" x14ac:dyDescent="0.35">
      <c r="B2312" s="20"/>
      <c r="C2312" s="1"/>
      <c r="D2312" s="1"/>
      <c r="E2312" s="1"/>
      <c r="F2312" s="1"/>
      <c r="G2312" s="1"/>
      <c r="H2312" s="43"/>
      <c r="I2312" s="164" t="s">
        <v>125</v>
      </c>
      <c r="J2312" s="52" t="str">
        <f>IFERROR((J2315/(('Digestion &amp; outputs'!$G$64/1000)))*'Digestion &amp; outputs'!$K$23,"")</f>
        <v/>
      </c>
      <c r="K2312" s="44"/>
      <c r="L2312" s="54"/>
    </row>
    <row r="2313" spans="2:12" s="4" customFormat="1" outlineLevel="1" x14ac:dyDescent="0.4">
      <c r="B2313" s="20"/>
      <c r="C2313" s="164" t="s">
        <v>163</v>
      </c>
      <c r="D2313" s="134" t="s">
        <v>164</v>
      </c>
      <c r="E2313" s="1"/>
      <c r="F2313" s="1"/>
      <c r="G2313" s="1"/>
      <c r="H2313" s="41"/>
      <c r="I2313" s="34"/>
      <c r="J2313" s="34"/>
      <c r="K2313" s="37"/>
      <c r="L2313" s="35"/>
    </row>
    <row r="2314" spans="2:12" s="4" customFormat="1" outlineLevel="1" x14ac:dyDescent="0.4">
      <c r="B2314" s="20"/>
      <c r="C2314" s="164" t="s">
        <v>165</v>
      </c>
      <c r="D2314" s="143"/>
      <c r="E2314" s="1"/>
      <c r="F2314" s="1"/>
      <c r="G2314" s="1"/>
      <c r="H2314" s="41"/>
      <c r="I2314" s="36"/>
      <c r="J2314" s="164" t="s">
        <v>141</v>
      </c>
      <c r="K2314" s="37"/>
      <c r="L2314" s="35"/>
    </row>
    <row r="2315" spans="2:12" s="4" customFormat="1" outlineLevel="1" x14ac:dyDescent="0.4">
      <c r="B2315" s="20"/>
      <c r="C2315" s="164" t="s">
        <v>160</v>
      </c>
      <c r="D2315" s="134" t="s">
        <v>166</v>
      </c>
      <c r="E2315" s="1"/>
      <c r="F2315" s="1"/>
      <c r="G2315" s="1"/>
      <c r="H2315" s="42"/>
      <c r="I2315" s="164" t="s">
        <v>167</v>
      </c>
      <c r="J2315" s="52">
        <f>IFERROR(J2320,"Insert data")</f>
        <v>0</v>
      </c>
      <c r="K2315" s="62"/>
      <c r="L2315" s="35"/>
    </row>
    <row r="2316" spans="2:12" s="4" customFormat="1" outlineLevel="1" x14ac:dyDescent="0.4">
      <c r="B2316" s="20"/>
      <c r="C2316" s="21"/>
      <c r="D2316" s="21"/>
      <c r="E2316" s="21"/>
      <c r="F2316" s="21"/>
      <c r="G2316" s="21"/>
      <c r="H2316" s="46"/>
      <c r="I2316" s="58"/>
      <c r="J2316" s="58"/>
      <c r="K2316" s="59"/>
      <c r="L2316" s="35"/>
    </row>
    <row r="2317" spans="2:12" s="4" customFormat="1" outlineLevel="1" x14ac:dyDescent="0.4">
      <c r="B2317" s="20"/>
      <c r="C2317" s="25" t="s">
        <v>168</v>
      </c>
      <c r="D2317" s="21"/>
      <c r="E2317" s="21"/>
      <c r="F2317" s="21"/>
      <c r="G2317" s="21"/>
      <c r="H2317" s="21"/>
      <c r="I2317" s="21"/>
      <c r="J2317" s="21"/>
      <c r="K2317" s="21"/>
      <c r="L2317" s="35"/>
    </row>
    <row r="2318" spans="2:12" s="14" customFormat="1" ht="30.6" outlineLevel="1" x14ac:dyDescent="0.4">
      <c r="B2318" s="23"/>
      <c r="C2318" s="166" t="s">
        <v>131</v>
      </c>
      <c r="D2318" s="166" t="s">
        <v>169</v>
      </c>
      <c r="E2318" s="166" t="s">
        <v>170</v>
      </c>
      <c r="F2318" s="166" t="s">
        <v>171</v>
      </c>
      <c r="G2318" s="24"/>
      <c r="H2318" s="303" t="s">
        <v>136</v>
      </c>
      <c r="I2318" s="47"/>
      <c r="J2318" s="47"/>
      <c r="K2318" s="45"/>
      <c r="L2318" s="63"/>
    </row>
    <row r="2319" spans="2:12" s="4" customFormat="1" outlineLevel="1" x14ac:dyDescent="0.4">
      <c r="B2319" s="20"/>
      <c r="C2319" s="138" t="s">
        <v>96</v>
      </c>
      <c r="D2319" s="93">
        <v>1</v>
      </c>
      <c r="E2319" s="135"/>
      <c r="F2319" s="31">
        <f>IFERROR(IF(OR(C2319="Default",D2313="No transport required"),D2319,IF(ISBLANK(E2319),"Insert data",E2319)),"")</f>
        <v>1</v>
      </c>
      <c r="G2319" s="21"/>
      <c r="H2319" s="41"/>
      <c r="I2319" s="36"/>
      <c r="J2319" s="164" t="s">
        <v>141</v>
      </c>
      <c r="K2319" s="37"/>
      <c r="L2319" s="35"/>
    </row>
    <row r="2320" spans="2:12" s="4" customFormat="1" outlineLevel="1" x14ac:dyDescent="0.4">
      <c r="B2320" s="20"/>
      <c r="C2320" s="21"/>
      <c r="D2320" s="21"/>
      <c r="E2320" s="692" t="str">
        <f>IF(E2319&gt;1, "this should not be greater than 1", "")</f>
        <v/>
      </c>
      <c r="F2320" s="21"/>
      <c r="G2320" s="21"/>
      <c r="H2320" s="42"/>
      <c r="I2320" s="164" t="s">
        <v>172</v>
      </c>
      <c r="J2320" s="52">
        <f>IF(D2313="No transport required",0,IFERROR(E2323*INDEX(Fuel_EFs,MATCH(D2315,Fuels_for_EF,0))*D2314/1000,"Insert data"))</f>
        <v>0</v>
      </c>
      <c r="K2320" s="62"/>
      <c r="L2320" s="35"/>
    </row>
    <row r="2321" spans="2:12" s="4" customFormat="1" outlineLevel="1" x14ac:dyDescent="0.4">
      <c r="B2321" s="20"/>
      <c r="C2321" s="25" t="s">
        <v>173</v>
      </c>
      <c r="D2321" s="21"/>
      <c r="E2321" s="21"/>
      <c r="F2321" s="21"/>
      <c r="G2321" s="21"/>
      <c r="H2321" s="46"/>
      <c r="I2321" s="58"/>
      <c r="J2321" s="58"/>
      <c r="K2321" s="59"/>
      <c r="L2321" s="35"/>
    </row>
    <row r="2322" spans="2:12" s="14" customFormat="1" outlineLevel="1" x14ac:dyDescent="0.4">
      <c r="B2322" s="23"/>
      <c r="C2322" s="176" t="s">
        <v>174</v>
      </c>
      <c r="D2322" s="166" t="s">
        <v>175</v>
      </c>
      <c r="E2322" s="166" t="s">
        <v>176</v>
      </c>
      <c r="F2322" s="24"/>
      <c r="G2322" s="24"/>
      <c r="H2322" s="4"/>
      <c r="I2322" s="4"/>
      <c r="J2322" s="4"/>
      <c r="K2322" s="4"/>
      <c r="L2322" s="63"/>
    </row>
    <row r="2323" spans="2:12" s="4" customFormat="1" outlineLevel="1" x14ac:dyDescent="0.4">
      <c r="B2323" s="20"/>
      <c r="C2323" s="138" t="s">
        <v>96</v>
      </c>
      <c r="D2323" s="93">
        <f>IFERROR(INDEX(Transport_Fuel_Efficiencies,MATCH(D2313,Transport_Modes,0)),"Insert data")</f>
        <v>0</v>
      </c>
      <c r="E2323" s="31">
        <f>IFERROR(IF(C2323="Default",D2323,IF(OR(ISBLANK(E2325),ISBLANK(D2329),ISBLANK(D2333)),"Insert data",(IF(C2329="litres",(D2329*(INDEX(Fuel_Densities,MATCH(D2315,Fuels_for_Densities,0))/1000)*INDEX(Fuel_LHV,MATCH(D2315,Fuels_for_LHV,0)))/(D2333*D2314),(IF(C2329="m3",(D2329*(INDEX(Fuel_Densities,MATCH(D2315,Fuels_for_Densities,0)))*INDEX(Fuel_LHV,MATCH(D2315,Fuels_for_LHV,0)))/(D2333*D2314),IF(C2329="kg",(D2329*INDEX(Fuel_LHV,MATCH(D2315,Fuels_for_LHV,0)))/(D2333*D2314),IF(C2329="tonnes",(D2329*INDEX(Fuel_LHV,MATCH(D2315,Fuels_for_LHV,0))*1000)/(D2333*D2314),IF(C2329="MWh",(D2329*'Reference values'!$D$47)/(D2333*D2314),IF(C2329="kWh",(D2329*'Reference values'!$D$47/1000)/(D2333*D2314),"Insert unit")))))))))),"")</f>
        <v>0</v>
      </c>
      <c r="F2323" s="21"/>
      <c r="G2323" s="21"/>
      <c r="L2323" s="35"/>
    </row>
    <row r="2324" spans="2:12" s="4" customFormat="1" outlineLevel="1" x14ac:dyDescent="0.4">
      <c r="B2324" s="20"/>
      <c r="C2324" s="21"/>
      <c r="D2324" s="21"/>
      <c r="E2324" s="21"/>
      <c r="F2324" s="21"/>
      <c r="G2324" s="21"/>
      <c r="H2324" s="21"/>
      <c r="I2324" s="21"/>
      <c r="J2324" s="21"/>
      <c r="K2324" s="21"/>
      <c r="L2324" s="35"/>
    </row>
    <row r="2325" spans="2:12" s="4" customFormat="1" ht="16.5" customHeight="1" outlineLevel="1" x14ac:dyDescent="0.4">
      <c r="B2325" s="20"/>
      <c r="C2325" s="759" t="s">
        <v>177</v>
      </c>
      <c r="D2325" s="759"/>
      <c r="E2325" s="135" t="s">
        <v>178</v>
      </c>
      <c r="F2325" s="21"/>
      <c r="G2325" s="21"/>
      <c r="L2325" s="35"/>
    </row>
    <row r="2326" spans="2:12" s="4" customFormat="1" ht="12.75" customHeight="1" outlineLevel="1" x14ac:dyDescent="0.4">
      <c r="B2326" s="20"/>
      <c r="C2326" s="21"/>
      <c r="D2326" s="21"/>
      <c r="E2326" s="21"/>
      <c r="F2326" s="21"/>
      <c r="G2326" s="21"/>
      <c r="L2326" s="35"/>
    </row>
    <row r="2327" spans="2:12" s="4" customFormat="1" outlineLevel="1" x14ac:dyDescent="0.4">
      <c r="B2327" s="20"/>
      <c r="C2327" s="25" t="str">
        <f>IF(E2325="yes", "Fuel demand for outward journey",IF(E2325="No","Fuel demand for full journey (outward and return)",""))</f>
        <v>Fuel demand for full journey (outward and return)</v>
      </c>
      <c r="D2327" s="21"/>
      <c r="E2327" s="21"/>
      <c r="F2327" s="21"/>
      <c r="G2327" s="21"/>
      <c r="H2327" s="21"/>
      <c r="I2327" s="21"/>
      <c r="J2327" s="21"/>
      <c r="K2327" s="21"/>
      <c r="L2327" s="35"/>
    </row>
    <row r="2328" spans="2:12" s="4" customFormat="1" outlineLevel="1" x14ac:dyDescent="0.4">
      <c r="B2328" s="20"/>
      <c r="C2328" s="164" t="s">
        <v>151</v>
      </c>
      <c r="D2328" s="164" t="s">
        <v>140</v>
      </c>
      <c r="E2328" s="21"/>
      <c r="F2328" s="21"/>
      <c r="G2328" s="21"/>
      <c r="H2328" s="21"/>
      <c r="I2328" s="21"/>
      <c r="J2328" s="21"/>
      <c r="K2328" s="21"/>
      <c r="L2328" s="35"/>
    </row>
    <row r="2329" spans="2:12" s="4" customFormat="1" outlineLevel="1" x14ac:dyDescent="0.4">
      <c r="B2329" s="20"/>
      <c r="C2329" s="138"/>
      <c r="D2329" s="135"/>
      <c r="E2329" s="21"/>
      <c r="F2329" s="21"/>
      <c r="G2329" s="21"/>
      <c r="H2329" s="21"/>
      <c r="I2329" s="21"/>
      <c r="J2329" s="21"/>
      <c r="K2329" s="21"/>
      <c r="L2329" s="35"/>
    </row>
    <row r="2330" spans="2:12" s="4" customFormat="1" outlineLevel="1" x14ac:dyDescent="0.4">
      <c r="B2330" s="20"/>
      <c r="C2330" s="21"/>
      <c r="D2330" s="21"/>
      <c r="E2330" s="21"/>
      <c r="F2330" s="21"/>
      <c r="G2330" s="21"/>
      <c r="H2330" s="21"/>
      <c r="I2330" s="21"/>
      <c r="J2330" s="21"/>
      <c r="K2330" s="21"/>
      <c r="L2330" s="35"/>
    </row>
    <row r="2331" spans="2:12" s="4" customFormat="1" outlineLevel="1" x14ac:dyDescent="0.4">
      <c r="B2331" s="20"/>
      <c r="C2331" s="25" t="s">
        <v>180</v>
      </c>
      <c r="D2331" s="21"/>
      <c r="E2331" s="21"/>
      <c r="F2331" s="21"/>
      <c r="G2331" s="21"/>
      <c r="H2331" s="21"/>
      <c r="I2331" s="21"/>
      <c r="J2331" s="21"/>
      <c r="K2331" s="21"/>
      <c r="L2331" s="35"/>
    </row>
    <row r="2332" spans="2:12" s="4" customFormat="1" outlineLevel="1" x14ac:dyDescent="0.4">
      <c r="B2332" s="20"/>
      <c r="C2332" s="164" t="s">
        <v>151</v>
      </c>
      <c r="D2332" s="164" t="s">
        <v>140</v>
      </c>
      <c r="E2332" s="21"/>
      <c r="F2332" s="21"/>
      <c r="G2332" s="21"/>
      <c r="H2332" s="21"/>
      <c r="I2332" s="21"/>
      <c r="J2332" s="21"/>
      <c r="K2332" s="21"/>
      <c r="L2332" s="35"/>
    </row>
    <row r="2333" spans="2:12" s="4" customFormat="1" outlineLevel="1" x14ac:dyDescent="0.4">
      <c r="B2333" s="20"/>
      <c r="C2333" s="138"/>
      <c r="D2333" s="135"/>
      <c r="E2333" s="21"/>
      <c r="F2333" s="21"/>
      <c r="G2333" s="21"/>
      <c r="H2333" s="21"/>
      <c r="I2333" s="21"/>
      <c r="J2333" s="21"/>
      <c r="K2333" s="21"/>
      <c r="L2333" s="35"/>
    </row>
    <row r="2334" spans="2:12" s="4" customFormat="1" ht="12.75" customHeight="1" outlineLevel="1" x14ac:dyDescent="0.4">
      <c r="B2334" s="28"/>
      <c r="C2334" s="29"/>
      <c r="D2334" s="29"/>
      <c r="E2334" s="29"/>
      <c r="F2334" s="29"/>
      <c r="G2334" s="29"/>
      <c r="H2334" s="29"/>
      <c r="I2334" s="29"/>
      <c r="J2334" s="29"/>
      <c r="K2334" s="29"/>
      <c r="L2334" s="60"/>
    </row>
    <row r="2335" spans="2:12" s="4" customFormat="1" ht="3" customHeight="1" x14ac:dyDescent="0.4"/>
    <row r="2336" spans="2:12" s="4" customFormat="1" ht="8.4" hidden="1" customHeight="1" x14ac:dyDescent="0.4"/>
    <row r="2337" spans="2:5" s="1" customFormat="1" ht="11.1" hidden="1" customHeight="1" x14ac:dyDescent="0.35">
      <c r="B2337" s="2"/>
      <c r="C2337" s="3"/>
      <c r="E2337" s="2"/>
    </row>
    <row r="2338" spans="2:5" s="4" customFormat="1" ht="15.9" hidden="1" customHeight="1" x14ac:dyDescent="0.4"/>
    <row r="2339" spans="2:5" s="4" customFormat="1" ht="15.9" hidden="1" customHeight="1" x14ac:dyDescent="0.4"/>
    <row r="2340" spans="2:5" s="4" customFormat="1" ht="15.9" hidden="1" customHeight="1" x14ac:dyDescent="0.4"/>
    <row r="2341" spans="2:5" s="4" customFormat="1" hidden="1" x14ac:dyDescent="0.4"/>
    <row r="2342" spans="2:5" s="4" customFormat="1" ht="15.9" hidden="1" customHeight="1" x14ac:dyDescent="0.4"/>
    <row r="2343" spans="2:5" s="4" customFormat="1" ht="15.9" hidden="1" customHeight="1" x14ac:dyDescent="0.4"/>
    <row r="2344" spans="2:5" s="4" customFormat="1" hidden="1" x14ac:dyDescent="0.4"/>
    <row r="2345" spans="2:5" s="1" customFormat="1" ht="11.1" hidden="1" customHeight="1" x14ac:dyDescent="0.35">
      <c r="B2345" s="2"/>
      <c r="C2345" s="3"/>
      <c r="E2345" s="2"/>
    </row>
    <row r="2346" spans="2:5" s="4" customFormat="1" ht="15.9" hidden="1" customHeight="1" x14ac:dyDescent="0.4"/>
    <row r="2347" spans="2:5" s="4" customFormat="1" ht="15.9" hidden="1" customHeight="1" x14ac:dyDescent="0.4"/>
    <row r="2348" spans="2:5" s="4" customFormat="1" ht="15.9" hidden="1" customHeight="1" x14ac:dyDescent="0.4"/>
    <row r="2349" spans="2:5" s="4" customFormat="1" hidden="1" x14ac:dyDescent="0.4"/>
    <row r="2350" spans="2:5" s="4" customFormat="1" hidden="1" x14ac:dyDescent="0.4"/>
    <row r="2351" spans="2:5" s="4" customFormat="1" hidden="1" x14ac:dyDescent="0.4"/>
    <row r="2352" spans="2:5" s="4" customFormat="1" hidden="1" x14ac:dyDescent="0.4"/>
    <row r="2353" spans="2:12" s="4" customFormat="1" hidden="1" x14ac:dyDescent="0.4"/>
    <row r="2354" spans="2:12" s="4" customFormat="1" hidden="1" x14ac:dyDescent="0.4"/>
    <row r="2355" spans="2:12" s="4" customFormat="1" hidden="1" x14ac:dyDescent="0.4"/>
    <row r="2356" spans="2:12" s="4" customFormat="1" hidden="1" x14ac:dyDescent="0.4"/>
    <row r="2357" spans="2:12" s="4" customFormat="1" x14ac:dyDescent="0.4"/>
    <row r="2358" spans="2:12" s="4" customFormat="1" ht="19.2" x14ac:dyDescent="0.45">
      <c r="B2358" s="754" t="str">
        <f>"Transport to Plant"&amp;" - "&amp;Feedstocks!C64</f>
        <v xml:space="preserve">Transport to Plant - </v>
      </c>
      <c r="C2358" s="755"/>
      <c r="D2358" s="755"/>
      <c r="E2358" s="755"/>
      <c r="F2358" s="755"/>
      <c r="G2358" s="755"/>
      <c r="H2358" s="755"/>
      <c r="I2358" s="755"/>
      <c r="J2358" s="755"/>
      <c r="K2358" s="755"/>
      <c r="L2358" s="756"/>
    </row>
    <row r="2359" spans="2:12" s="4" customFormat="1" outlineLevel="1" x14ac:dyDescent="0.4">
      <c r="B2359" s="17"/>
      <c r="C2359" s="18"/>
      <c r="D2359" s="19"/>
      <c r="E2359" s="19"/>
      <c r="F2359" s="19"/>
      <c r="G2359" s="19"/>
      <c r="H2359" s="19"/>
      <c r="I2359" s="19"/>
      <c r="J2359" s="19"/>
      <c r="K2359" s="19"/>
      <c r="L2359" s="50"/>
    </row>
    <row r="2360" spans="2:12" s="4" customFormat="1" outlineLevel="1" x14ac:dyDescent="0.4">
      <c r="B2360" s="20"/>
      <c r="C2360" s="174" t="s">
        <v>87</v>
      </c>
      <c r="D2360" s="778" t="str">
        <f>IF(Feedstocks!$C$64&gt;0,Feedstocks!$C$64,"")</f>
        <v/>
      </c>
      <c r="E2360" s="778"/>
      <c r="F2360" s="778"/>
      <c r="G2360" s="1"/>
      <c r="H2360" s="303" t="s">
        <v>122</v>
      </c>
      <c r="I2360" s="47"/>
      <c r="J2360" s="47"/>
      <c r="K2360" s="61"/>
      <c r="L2360" s="35"/>
    </row>
    <row r="2361" spans="2:12" s="4" customFormat="1" outlineLevel="1" x14ac:dyDescent="0.4">
      <c r="B2361" s="20"/>
      <c r="C2361" s="1"/>
      <c r="D2361" s="1"/>
      <c r="E2361" s="1"/>
      <c r="F2361" s="1"/>
      <c r="G2361" s="76"/>
      <c r="H2361" s="43"/>
      <c r="I2361" s="36"/>
      <c r="J2361" s="164" t="s">
        <v>124</v>
      </c>
      <c r="K2361" s="44"/>
      <c r="L2361" s="35"/>
    </row>
    <row r="2362" spans="2:12" s="12" customFormat="1" ht="15" outlineLevel="1" x14ac:dyDescent="0.35">
      <c r="B2362" s="20"/>
      <c r="C2362" s="1"/>
      <c r="D2362" s="1"/>
      <c r="E2362" s="1"/>
      <c r="F2362" s="1"/>
      <c r="G2362" s="1"/>
      <c r="H2362" s="43"/>
      <c r="I2362" s="164" t="s">
        <v>125</v>
      </c>
      <c r="J2362" s="52" t="str">
        <f>IFERROR((J2365/(('Digestion &amp; outputs'!$G$65/1000)))*'Digestion &amp; outputs'!$K$23,"")</f>
        <v/>
      </c>
      <c r="K2362" s="44"/>
      <c r="L2362" s="54"/>
    </row>
    <row r="2363" spans="2:12" s="4" customFormat="1" outlineLevel="1" x14ac:dyDescent="0.4">
      <c r="B2363" s="20"/>
      <c r="C2363" s="164" t="s">
        <v>163</v>
      </c>
      <c r="D2363" s="134" t="s">
        <v>164</v>
      </c>
      <c r="E2363" s="1"/>
      <c r="F2363" s="1"/>
      <c r="G2363" s="1"/>
      <c r="H2363" s="41"/>
      <c r="I2363" s="34"/>
      <c r="J2363" s="34"/>
      <c r="K2363" s="37"/>
      <c r="L2363" s="35"/>
    </row>
    <row r="2364" spans="2:12" s="4" customFormat="1" outlineLevel="1" x14ac:dyDescent="0.4">
      <c r="B2364" s="20"/>
      <c r="C2364" s="164" t="s">
        <v>165</v>
      </c>
      <c r="D2364" s="143"/>
      <c r="E2364" s="1"/>
      <c r="F2364" s="1"/>
      <c r="G2364" s="1"/>
      <c r="H2364" s="41"/>
      <c r="I2364" s="36"/>
      <c r="J2364" s="164" t="s">
        <v>141</v>
      </c>
      <c r="K2364" s="37"/>
      <c r="L2364" s="35"/>
    </row>
    <row r="2365" spans="2:12" s="4" customFormat="1" outlineLevel="1" x14ac:dyDescent="0.4">
      <c r="B2365" s="20"/>
      <c r="C2365" s="164" t="s">
        <v>160</v>
      </c>
      <c r="D2365" s="134" t="s">
        <v>166</v>
      </c>
      <c r="E2365" s="1"/>
      <c r="F2365" s="1"/>
      <c r="G2365" s="1"/>
      <c r="H2365" s="42"/>
      <c r="I2365" s="164" t="s">
        <v>167</v>
      </c>
      <c r="J2365" s="52">
        <f>IFERROR(J2370,"Insert data")</f>
        <v>0</v>
      </c>
      <c r="K2365" s="62"/>
      <c r="L2365" s="35"/>
    </row>
    <row r="2366" spans="2:12" s="4" customFormat="1" outlineLevel="1" x14ac:dyDescent="0.4">
      <c r="B2366" s="20"/>
      <c r="C2366" s="21"/>
      <c r="D2366" s="21"/>
      <c r="E2366" s="21"/>
      <c r="F2366" s="21"/>
      <c r="G2366" s="21"/>
      <c r="H2366" s="46"/>
      <c r="I2366" s="58"/>
      <c r="J2366" s="58"/>
      <c r="K2366" s="59"/>
      <c r="L2366" s="35"/>
    </row>
    <row r="2367" spans="2:12" s="4" customFormat="1" outlineLevel="1" x14ac:dyDescent="0.4">
      <c r="B2367" s="20"/>
      <c r="C2367" s="25" t="s">
        <v>168</v>
      </c>
      <c r="D2367" s="21"/>
      <c r="E2367" s="21"/>
      <c r="F2367" s="21"/>
      <c r="G2367" s="21"/>
      <c r="H2367" s="21"/>
      <c r="I2367" s="21"/>
      <c r="J2367" s="21"/>
      <c r="K2367" s="21"/>
      <c r="L2367" s="35"/>
    </row>
    <row r="2368" spans="2:12" s="14" customFormat="1" ht="30.6" outlineLevel="1" x14ac:dyDescent="0.4">
      <c r="B2368" s="23"/>
      <c r="C2368" s="166" t="s">
        <v>131</v>
      </c>
      <c r="D2368" s="166" t="s">
        <v>169</v>
      </c>
      <c r="E2368" s="166" t="s">
        <v>170</v>
      </c>
      <c r="F2368" s="166" t="s">
        <v>171</v>
      </c>
      <c r="G2368" s="24"/>
      <c r="H2368" s="303" t="s">
        <v>136</v>
      </c>
      <c r="I2368" s="47"/>
      <c r="J2368" s="47"/>
      <c r="K2368" s="45"/>
      <c r="L2368" s="63"/>
    </row>
    <row r="2369" spans="2:12" s="4" customFormat="1" outlineLevel="1" x14ac:dyDescent="0.4">
      <c r="B2369" s="20"/>
      <c r="C2369" s="138" t="s">
        <v>96</v>
      </c>
      <c r="D2369" s="93">
        <v>1</v>
      </c>
      <c r="E2369" s="135"/>
      <c r="F2369" s="31">
        <f>IFERROR(IF(OR(C2369="Default",D2363="No transport required"),D2369,IF(ISBLANK(E2369),"Insert data",E2369)),"")</f>
        <v>1</v>
      </c>
      <c r="G2369" s="21"/>
      <c r="H2369" s="41"/>
      <c r="I2369" s="36"/>
      <c r="J2369" s="164" t="s">
        <v>141</v>
      </c>
      <c r="K2369" s="37"/>
      <c r="L2369" s="35"/>
    </row>
    <row r="2370" spans="2:12" s="4" customFormat="1" outlineLevel="1" x14ac:dyDescent="0.4">
      <c r="B2370" s="20"/>
      <c r="C2370" s="21"/>
      <c r="D2370" s="21"/>
      <c r="E2370" s="692" t="str">
        <f>IF(E2369&gt;1, "this should not be greater than 1", "")</f>
        <v/>
      </c>
      <c r="F2370" s="21"/>
      <c r="G2370" s="21"/>
      <c r="H2370" s="42"/>
      <c r="I2370" s="164" t="s">
        <v>172</v>
      </c>
      <c r="J2370" s="52">
        <f>IF(D2363="No transport required",0,IFERROR(E2373*INDEX(Fuel_EFs,MATCH(D2365,Fuels_for_EF,0))*D2364/1000,"Insert data"))</f>
        <v>0</v>
      </c>
      <c r="K2370" s="62"/>
      <c r="L2370" s="35"/>
    </row>
    <row r="2371" spans="2:12" s="4" customFormat="1" outlineLevel="1" x14ac:dyDescent="0.4">
      <c r="B2371" s="20"/>
      <c r="C2371" s="25" t="s">
        <v>173</v>
      </c>
      <c r="D2371" s="21"/>
      <c r="E2371" s="21"/>
      <c r="F2371" s="21"/>
      <c r="G2371" s="21"/>
      <c r="H2371" s="46"/>
      <c r="I2371" s="58"/>
      <c r="J2371" s="58"/>
      <c r="K2371" s="59"/>
      <c r="L2371" s="35"/>
    </row>
    <row r="2372" spans="2:12" s="14" customFormat="1" outlineLevel="1" x14ac:dyDescent="0.4">
      <c r="B2372" s="23"/>
      <c r="C2372" s="176" t="s">
        <v>174</v>
      </c>
      <c r="D2372" s="166" t="s">
        <v>175</v>
      </c>
      <c r="E2372" s="166" t="s">
        <v>176</v>
      </c>
      <c r="F2372" s="24"/>
      <c r="G2372" s="24"/>
      <c r="H2372" s="4"/>
      <c r="I2372" s="4"/>
      <c r="J2372" s="4"/>
      <c r="K2372" s="4"/>
      <c r="L2372" s="63"/>
    </row>
    <row r="2373" spans="2:12" s="4" customFormat="1" outlineLevel="1" x14ac:dyDescent="0.4">
      <c r="B2373" s="20"/>
      <c r="C2373" s="138" t="s">
        <v>96</v>
      </c>
      <c r="D2373" s="93">
        <f>IFERROR(INDEX(Transport_Fuel_Efficiencies,MATCH(D2363,Transport_Modes,0)),"Insert data")</f>
        <v>0</v>
      </c>
      <c r="E2373" s="31">
        <f>IFERROR(IF(C2373="Default",D2373,IF(OR(ISBLANK(E2375),ISBLANK(D2379),ISBLANK(D2383)),"Insert data",(IF(C2379="litres",(D2379*(INDEX(Fuel_Densities,MATCH(D2365,Fuels_for_Densities,0))/1000)*INDEX(Fuel_LHV,MATCH(D2365,Fuels_for_LHV,0)))/(D2383*D2364),(IF(C2379="m3",(D2379*(INDEX(Fuel_Densities,MATCH(D2365,Fuels_for_Densities,0)))*INDEX(Fuel_LHV,MATCH(D2365,Fuels_for_LHV,0)))/(D2383*D2364),IF(C2379="kg",(D2379*INDEX(Fuel_LHV,MATCH(D2365,Fuels_for_LHV,0)))/(D2383*D2364),IF(C2379="tonnes",(D2379*INDEX(Fuel_LHV,MATCH(D2365,Fuels_for_LHV,0))*1000)/(D2383*D2364),IF(C2379="MWh",(D2379*'Reference values'!$D$47)/(D2383*D2364),IF(C2379="kWh",(D2379*'Reference values'!$D$47/1000)/(D2383*D2364),"Insert unit")))))))))),"")</f>
        <v>0</v>
      </c>
      <c r="F2373" s="21"/>
      <c r="G2373" s="21"/>
      <c r="L2373" s="35"/>
    </row>
    <row r="2374" spans="2:12" s="4" customFormat="1" outlineLevel="1" x14ac:dyDescent="0.4">
      <c r="B2374" s="20"/>
      <c r="C2374" s="21"/>
      <c r="D2374" s="21"/>
      <c r="E2374" s="21"/>
      <c r="F2374" s="21"/>
      <c r="G2374" s="21"/>
      <c r="H2374" s="21"/>
      <c r="I2374" s="21"/>
      <c r="J2374" s="21"/>
      <c r="K2374" s="21"/>
      <c r="L2374" s="35"/>
    </row>
    <row r="2375" spans="2:12" s="4" customFormat="1" ht="16.5" customHeight="1" outlineLevel="1" x14ac:dyDescent="0.4">
      <c r="B2375" s="20"/>
      <c r="C2375" s="759" t="s">
        <v>177</v>
      </c>
      <c r="D2375" s="759"/>
      <c r="E2375" s="135" t="s">
        <v>178</v>
      </c>
      <c r="F2375" s="21"/>
      <c r="G2375" s="21"/>
      <c r="L2375" s="35"/>
    </row>
    <row r="2376" spans="2:12" s="4" customFormat="1" ht="12.75" customHeight="1" outlineLevel="1" x14ac:dyDescent="0.4">
      <c r="B2376" s="20"/>
      <c r="C2376" s="21"/>
      <c r="D2376" s="21"/>
      <c r="E2376" s="21"/>
      <c r="F2376" s="21"/>
      <c r="G2376" s="21"/>
      <c r="L2376" s="35"/>
    </row>
    <row r="2377" spans="2:12" s="4" customFormat="1" outlineLevel="1" x14ac:dyDescent="0.4">
      <c r="B2377" s="20"/>
      <c r="C2377" s="25" t="str">
        <f>IF(E2375="yes", "Fuel demand for outward journey",IF(E2375="No","Fuel demand for full journey (outward and return)",""))</f>
        <v>Fuel demand for full journey (outward and return)</v>
      </c>
      <c r="D2377" s="21"/>
      <c r="E2377" s="21"/>
      <c r="F2377" s="21"/>
      <c r="G2377" s="21"/>
      <c r="H2377" s="21"/>
      <c r="I2377" s="21"/>
      <c r="J2377" s="21"/>
      <c r="K2377" s="21"/>
      <c r="L2377" s="35"/>
    </row>
    <row r="2378" spans="2:12" s="4" customFormat="1" outlineLevel="1" x14ac:dyDescent="0.4">
      <c r="B2378" s="20"/>
      <c r="C2378" s="164" t="s">
        <v>151</v>
      </c>
      <c r="D2378" s="164" t="s">
        <v>140</v>
      </c>
      <c r="E2378" s="21"/>
      <c r="F2378" s="21"/>
      <c r="G2378" s="21"/>
      <c r="H2378" s="21"/>
      <c r="I2378" s="21"/>
      <c r="J2378" s="21"/>
      <c r="K2378" s="21"/>
      <c r="L2378" s="35"/>
    </row>
    <row r="2379" spans="2:12" s="4" customFormat="1" outlineLevel="1" x14ac:dyDescent="0.4">
      <c r="B2379" s="20"/>
      <c r="C2379" s="138"/>
      <c r="D2379" s="135"/>
      <c r="E2379" s="21"/>
      <c r="F2379" s="21"/>
      <c r="G2379" s="21"/>
      <c r="H2379" s="21"/>
      <c r="I2379" s="21"/>
      <c r="J2379" s="21"/>
      <c r="K2379" s="21"/>
      <c r="L2379" s="35"/>
    </row>
    <row r="2380" spans="2:12" s="4" customFormat="1" outlineLevel="1" x14ac:dyDescent="0.4">
      <c r="B2380" s="20"/>
      <c r="C2380" s="21"/>
      <c r="D2380" s="21"/>
      <c r="E2380" s="21"/>
      <c r="F2380" s="21"/>
      <c r="G2380" s="21"/>
      <c r="H2380" s="21"/>
      <c r="I2380" s="21"/>
      <c r="J2380" s="21"/>
      <c r="K2380" s="21"/>
      <c r="L2380" s="35"/>
    </row>
    <row r="2381" spans="2:12" s="4" customFormat="1" outlineLevel="1" x14ac:dyDescent="0.4">
      <c r="B2381" s="20"/>
      <c r="C2381" s="25" t="s">
        <v>180</v>
      </c>
      <c r="D2381" s="21"/>
      <c r="E2381" s="21"/>
      <c r="F2381" s="21"/>
      <c r="G2381" s="21"/>
      <c r="H2381" s="21"/>
      <c r="I2381" s="21"/>
      <c r="J2381" s="21"/>
      <c r="K2381" s="21"/>
      <c r="L2381" s="35"/>
    </row>
    <row r="2382" spans="2:12" s="4" customFormat="1" outlineLevel="1" x14ac:dyDescent="0.4">
      <c r="B2382" s="20"/>
      <c r="C2382" s="164" t="s">
        <v>151</v>
      </c>
      <c r="D2382" s="164" t="s">
        <v>140</v>
      </c>
      <c r="E2382" s="21"/>
      <c r="F2382" s="21"/>
      <c r="G2382" s="21"/>
      <c r="H2382" s="21"/>
      <c r="I2382" s="21"/>
      <c r="J2382" s="21"/>
      <c r="K2382" s="21"/>
      <c r="L2382" s="35"/>
    </row>
    <row r="2383" spans="2:12" s="4" customFormat="1" outlineLevel="1" x14ac:dyDescent="0.4">
      <c r="B2383" s="20"/>
      <c r="C2383" s="138"/>
      <c r="D2383" s="135"/>
      <c r="E2383" s="21"/>
      <c r="F2383" s="21"/>
      <c r="G2383" s="21"/>
      <c r="H2383" s="21"/>
      <c r="I2383" s="21"/>
      <c r="J2383" s="21"/>
      <c r="K2383" s="21"/>
      <c r="L2383" s="35"/>
    </row>
    <row r="2384" spans="2:12" s="4" customFormat="1" ht="12.75" customHeight="1" outlineLevel="1" x14ac:dyDescent="0.4">
      <c r="B2384" s="28"/>
      <c r="C2384" s="29"/>
      <c r="D2384" s="29"/>
      <c r="E2384" s="29"/>
      <c r="F2384" s="29"/>
      <c r="G2384" s="29"/>
      <c r="H2384" s="29"/>
      <c r="I2384" s="29"/>
      <c r="J2384" s="29"/>
      <c r="K2384" s="29"/>
      <c r="L2384" s="60"/>
    </row>
    <row r="2385" spans="2:5" s="4" customFormat="1" ht="3" customHeight="1" x14ac:dyDescent="0.4"/>
    <row r="2386" spans="2:5" s="4" customFormat="1" ht="8.4" hidden="1" customHeight="1" x14ac:dyDescent="0.4"/>
    <row r="2387" spans="2:5" s="1" customFormat="1" ht="11.1" hidden="1" customHeight="1" x14ac:dyDescent="0.35">
      <c r="B2387" s="2"/>
      <c r="C2387" s="3"/>
      <c r="E2387" s="2"/>
    </row>
    <row r="2388" spans="2:5" s="4" customFormat="1" ht="15.9" hidden="1" customHeight="1" x14ac:dyDescent="0.4"/>
    <row r="2389" spans="2:5" s="4" customFormat="1" ht="15.9" hidden="1" customHeight="1" x14ac:dyDescent="0.4"/>
    <row r="2390" spans="2:5" s="4" customFormat="1" ht="15.9" hidden="1" customHeight="1" x14ac:dyDescent="0.4"/>
    <row r="2391" spans="2:5" s="4" customFormat="1" hidden="1" x14ac:dyDescent="0.4"/>
    <row r="2392" spans="2:5" s="4" customFormat="1" ht="15.9" hidden="1" customHeight="1" x14ac:dyDescent="0.4"/>
    <row r="2393" spans="2:5" s="4" customFormat="1" ht="15.9" hidden="1" customHeight="1" x14ac:dyDescent="0.4"/>
    <row r="2394" spans="2:5" s="4" customFormat="1" hidden="1" x14ac:dyDescent="0.4"/>
    <row r="2395" spans="2:5" s="1" customFormat="1" ht="11.1" hidden="1" customHeight="1" x14ac:dyDescent="0.35">
      <c r="B2395" s="2"/>
      <c r="C2395" s="3"/>
      <c r="E2395" s="2"/>
    </row>
    <row r="2396" spans="2:5" s="4" customFormat="1" ht="15.9" hidden="1" customHeight="1" x14ac:dyDescent="0.4"/>
    <row r="2397" spans="2:5" s="4" customFormat="1" ht="15.9" hidden="1" customHeight="1" x14ac:dyDescent="0.4"/>
    <row r="2398" spans="2:5" s="4" customFormat="1" ht="15.9" hidden="1" customHeight="1" x14ac:dyDescent="0.4"/>
    <row r="2399" spans="2:5" s="4" customFormat="1" hidden="1" x14ac:dyDescent="0.4"/>
    <row r="2400" spans="2:5" s="4" customFormat="1" hidden="1" x14ac:dyDescent="0.4"/>
    <row r="2401" spans="2:12" s="4" customFormat="1" hidden="1" x14ac:dyDescent="0.4"/>
    <row r="2402" spans="2:12" s="4" customFormat="1" hidden="1" x14ac:dyDescent="0.4"/>
    <row r="2403" spans="2:12" s="4" customFormat="1" hidden="1" x14ac:dyDescent="0.4"/>
    <row r="2404" spans="2:12" s="4" customFormat="1" hidden="1" x14ac:dyDescent="0.4"/>
    <row r="2405" spans="2:12" s="4" customFormat="1" hidden="1" x14ac:dyDescent="0.4"/>
    <row r="2406" spans="2:12" s="4" customFormat="1" hidden="1" x14ac:dyDescent="0.4"/>
    <row r="2407" spans="2:12" s="4" customFormat="1" x14ac:dyDescent="0.4"/>
    <row r="2408" spans="2:12" s="4" customFormat="1" ht="19.2" x14ac:dyDescent="0.45">
      <c r="B2408" s="754" t="str">
        <f>"Transport to Plant"&amp;" - "&amp;Feedstocks!C65</f>
        <v xml:space="preserve">Transport to Plant - </v>
      </c>
      <c r="C2408" s="755"/>
      <c r="D2408" s="755"/>
      <c r="E2408" s="755"/>
      <c r="F2408" s="755"/>
      <c r="G2408" s="755"/>
      <c r="H2408" s="755"/>
      <c r="I2408" s="755"/>
      <c r="J2408" s="755"/>
      <c r="K2408" s="755"/>
      <c r="L2408" s="756"/>
    </row>
    <row r="2409" spans="2:12" s="4" customFormat="1" outlineLevel="1" x14ac:dyDescent="0.4">
      <c r="B2409" s="17"/>
      <c r="C2409" s="18"/>
      <c r="D2409" s="19"/>
      <c r="E2409" s="19"/>
      <c r="F2409" s="19"/>
      <c r="G2409" s="19"/>
      <c r="H2409" s="19"/>
      <c r="I2409" s="19"/>
      <c r="J2409" s="19"/>
      <c r="K2409" s="19"/>
      <c r="L2409" s="50"/>
    </row>
    <row r="2410" spans="2:12" s="4" customFormat="1" outlineLevel="1" x14ac:dyDescent="0.4">
      <c r="B2410" s="20"/>
      <c r="C2410" s="174" t="s">
        <v>87</v>
      </c>
      <c r="D2410" s="778" t="str">
        <f>IF(Feedstocks!$C$65&gt;0,Feedstocks!$C$65,"")</f>
        <v/>
      </c>
      <c r="E2410" s="778"/>
      <c r="F2410" s="778"/>
      <c r="G2410" s="1"/>
      <c r="H2410" s="303" t="s">
        <v>122</v>
      </c>
      <c r="I2410" s="47"/>
      <c r="J2410" s="47"/>
      <c r="K2410" s="61"/>
      <c r="L2410" s="35"/>
    </row>
    <row r="2411" spans="2:12" s="4" customFormat="1" outlineLevel="1" x14ac:dyDescent="0.4">
      <c r="B2411" s="20"/>
      <c r="C2411" s="1"/>
      <c r="D2411" s="1"/>
      <c r="E2411" s="1"/>
      <c r="F2411" s="1"/>
      <c r="G2411" s="76"/>
      <c r="H2411" s="43"/>
      <c r="I2411" s="36"/>
      <c r="J2411" s="164" t="s">
        <v>124</v>
      </c>
      <c r="K2411" s="44"/>
      <c r="L2411" s="35"/>
    </row>
    <row r="2412" spans="2:12" s="12" customFormat="1" ht="15" outlineLevel="1" x14ac:dyDescent="0.35">
      <c r="B2412" s="20"/>
      <c r="C2412" s="1"/>
      <c r="D2412" s="1"/>
      <c r="E2412" s="1"/>
      <c r="F2412" s="1"/>
      <c r="G2412" s="1"/>
      <c r="H2412" s="43"/>
      <c r="I2412" s="164" t="s">
        <v>125</v>
      </c>
      <c r="J2412" s="52" t="str">
        <f>IFERROR((J2415/(('Digestion &amp; outputs'!$G$66/1000)))*'Digestion &amp; outputs'!$K$23,"")</f>
        <v/>
      </c>
      <c r="K2412" s="44"/>
      <c r="L2412" s="54"/>
    </row>
    <row r="2413" spans="2:12" s="4" customFormat="1" outlineLevel="1" x14ac:dyDescent="0.4">
      <c r="B2413" s="20"/>
      <c r="C2413" s="164" t="s">
        <v>163</v>
      </c>
      <c r="D2413" s="134" t="s">
        <v>164</v>
      </c>
      <c r="E2413" s="1"/>
      <c r="F2413" s="1"/>
      <c r="G2413" s="1"/>
      <c r="H2413" s="41"/>
      <c r="I2413" s="34"/>
      <c r="J2413" s="34"/>
      <c r="K2413" s="37"/>
      <c r="L2413" s="35"/>
    </row>
    <row r="2414" spans="2:12" s="4" customFormat="1" outlineLevel="1" x14ac:dyDescent="0.4">
      <c r="B2414" s="20"/>
      <c r="C2414" s="164" t="s">
        <v>165</v>
      </c>
      <c r="D2414" s="143"/>
      <c r="E2414" s="1"/>
      <c r="F2414" s="1"/>
      <c r="G2414" s="1"/>
      <c r="H2414" s="41"/>
      <c r="I2414" s="36"/>
      <c r="J2414" s="164" t="s">
        <v>141</v>
      </c>
      <c r="K2414" s="37"/>
      <c r="L2414" s="35"/>
    </row>
    <row r="2415" spans="2:12" s="4" customFormat="1" outlineLevel="1" x14ac:dyDescent="0.4">
      <c r="B2415" s="20"/>
      <c r="C2415" s="164" t="s">
        <v>160</v>
      </c>
      <c r="D2415" s="134" t="s">
        <v>166</v>
      </c>
      <c r="E2415" s="1"/>
      <c r="F2415" s="1"/>
      <c r="G2415" s="1"/>
      <c r="H2415" s="42"/>
      <c r="I2415" s="164" t="s">
        <v>167</v>
      </c>
      <c r="J2415" s="52">
        <f>IFERROR(J2420,"Insert data")</f>
        <v>0</v>
      </c>
      <c r="K2415" s="62"/>
      <c r="L2415" s="35"/>
    </row>
    <row r="2416" spans="2:12" s="4" customFormat="1" outlineLevel="1" x14ac:dyDescent="0.4">
      <c r="B2416" s="20"/>
      <c r="C2416" s="21"/>
      <c r="D2416" s="21"/>
      <c r="E2416" s="21"/>
      <c r="F2416" s="21"/>
      <c r="G2416" s="21"/>
      <c r="H2416" s="46"/>
      <c r="I2416" s="58"/>
      <c r="J2416" s="58"/>
      <c r="K2416" s="59"/>
      <c r="L2416" s="35"/>
    </row>
    <row r="2417" spans="2:12" s="4" customFormat="1" outlineLevel="1" x14ac:dyDescent="0.4">
      <c r="B2417" s="20"/>
      <c r="C2417" s="25" t="s">
        <v>168</v>
      </c>
      <c r="D2417" s="21"/>
      <c r="E2417" s="21"/>
      <c r="F2417" s="21"/>
      <c r="G2417" s="21"/>
      <c r="H2417" s="21"/>
      <c r="I2417" s="21"/>
      <c r="J2417" s="21"/>
      <c r="K2417" s="21"/>
      <c r="L2417" s="35"/>
    </row>
    <row r="2418" spans="2:12" s="14" customFormat="1" ht="30.6" outlineLevel="1" x14ac:dyDescent="0.4">
      <c r="B2418" s="23"/>
      <c r="C2418" s="166" t="s">
        <v>131</v>
      </c>
      <c r="D2418" s="166" t="s">
        <v>169</v>
      </c>
      <c r="E2418" s="166" t="s">
        <v>170</v>
      </c>
      <c r="F2418" s="166" t="s">
        <v>171</v>
      </c>
      <c r="G2418" s="24"/>
      <c r="H2418" s="303" t="s">
        <v>136</v>
      </c>
      <c r="I2418" s="47"/>
      <c r="J2418" s="47"/>
      <c r="K2418" s="45"/>
      <c r="L2418" s="63"/>
    </row>
    <row r="2419" spans="2:12" s="4" customFormat="1" outlineLevel="1" x14ac:dyDescent="0.4">
      <c r="B2419" s="20"/>
      <c r="C2419" s="138" t="s">
        <v>96</v>
      </c>
      <c r="D2419" s="93">
        <v>1</v>
      </c>
      <c r="E2419" s="135"/>
      <c r="F2419" s="31">
        <f>IFERROR(IF(OR(C2419="Default",D2413="No transport required"),D2419,IF(ISBLANK(E2419),"Insert data",E2419)),"")</f>
        <v>1</v>
      </c>
      <c r="G2419" s="21"/>
      <c r="H2419" s="41"/>
      <c r="I2419" s="36"/>
      <c r="J2419" s="164" t="s">
        <v>141</v>
      </c>
      <c r="K2419" s="37"/>
      <c r="L2419" s="35"/>
    </row>
    <row r="2420" spans="2:12" s="4" customFormat="1" outlineLevel="1" x14ac:dyDescent="0.4">
      <c r="B2420" s="20"/>
      <c r="C2420" s="21"/>
      <c r="D2420" s="21"/>
      <c r="E2420" s="692" t="str">
        <f>IF(E2419&gt;1, "this should not be greater than 1", "")</f>
        <v/>
      </c>
      <c r="F2420" s="21"/>
      <c r="G2420" s="21"/>
      <c r="H2420" s="42"/>
      <c r="I2420" s="164" t="s">
        <v>172</v>
      </c>
      <c r="J2420" s="52">
        <f>IF(D2413="No transport required",0,IFERROR(E2423*INDEX(Fuel_EFs,MATCH(D2415,Fuels_for_EF,0))*D2414/1000,"Insert data"))</f>
        <v>0</v>
      </c>
      <c r="K2420" s="62"/>
      <c r="L2420" s="35"/>
    </row>
    <row r="2421" spans="2:12" s="4" customFormat="1" outlineLevel="1" x14ac:dyDescent="0.4">
      <c r="B2421" s="20"/>
      <c r="C2421" s="25" t="s">
        <v>173</v>
      </c>
      <c r="D2421" s="21"/>
      <c r="E2421" s="21"/>
      <c r="F2421" s="21"/>
      <c r="G2421" s="21"/>
      <c r="H2421" s="46"/>
      <c r="I2421" s="58"/>
      <c r="J2421" s="58"/>
      <c r="K2421" s="59"/>
      <c r="L2421" s="35"/>
    </row>
    <row r="2422" spans="2:12" s="14" customFormat="1" outlineLevel="1" x14ac:dyDescent="0.4">
      <c r="B2422" s="23"/>
      <c r="C2422" s="176" t="s">
        <v>174</v>
      </c>
      <c r="D2422" s="166" t="s">
        <v>175</v>
      </c>
      <c r="E2422" s="166" t="s">
        <v>176</v>
      </c>
      <c r="F2422" s="24"/>
      <c r="G2422" s="24"/>
      <c r="H2422" s="4"/>
      <c r="I2422" s="4"/>
      <c r="J2422" s="4"/>
      <c r="K2422" s="4"/>
      <c r="L2422" s="63"/>
    </row>
    <row r="2423" spans="2:12" s="4" customFormat="1" outlineLevel="1" x14ac:dyDescent="0.4">
      <c r="B2423" s="20"/>
      <c r="C2423" s="138" t="s">
        <v>96</v>
      </c>
      <c r="D2423" s="93">
        <f>IFERROR(INDEX(Transport_Fuel_Efficiencies,MATCH(D2413,Transport_Modes,0)),"Insert data")</f>
        <v>0</v>
      </c>
      <c r="E2423" s="31">
        <f>IFERROR(IF(C2423="Default",D2423,IF(OR(ISBLANK(E2425),ISBLANK(D2429),ISBLANK(D2433)),"Insert data",(IF(C2429="litres",(D2429*(INDEX(Fuel_Densities,MATCH(D2415,Fuels_for_Densities,0))/1000)*INDEX(Fuel_LHV,MATCH(D2415,Fuels_for_LHV,0)))/(D2433*D2414),(IF(C2429="m3",(D2429*(INDEX(Fuel_Densities,MATCH(D2415,Fuels_for_Densities,0)))*INDEX(Fuel_LHV,MATCH(D2415,Fuels_for_LHV,0)))/(D2433*D2414),IF(C2429="kg",(D2429*INDEX(Fuel_LHV,MATCH(D2415,Fuels_for_LHV,0)))/(D2433*D2414),IF(C2429="tonnes",(D2429*INDEX(Fuel_LHV,MATCH(D2415,Fuels_for_LHV,0))*1000)/(D2433*D2414),IF(C2429="MWh",(D2429*'Reference values'!$D$47)/(D2433*D2414),IF(C2429="kWh",(D2429*'Reference values'!$D$47/1000)/(D2433*D2414),"Insert unit")))))))))),"")</f>
        <v>0</v>
      </c>
      <c r="F2423" s="21"/>
      <c r="G2423" s="21"/>
      <c r="L2423" s="35"/>
    </row>
    <row r="2424" spans="2:12" s="4" customFormat="1" outlineLevel="1" x14ac:dyDescent="0.4">
      <c r="B2424" s="20"/>
      <c r="C2424" s="21"/>
      <c r="D2424" s="21"/>
      <c r="E2424" s="21"/>
      <c r="F2424" s="21"/>
      <c r="G2424" s="21"/>
      <c r="H2424" s="21"/>
      <c r="I2424" s="21"/>
      <c r="J2424" s="21"/>
      <c r="K2424" s="21"/>
      <c r="L2424" s="35"/>
    </row>
    <row r="2425" spans="2:12" s="4" customFormat="1" ht="16.5" customHeight="1" outlineLevel="1" x14ac:dyDescent="0.4">
      <c r="B2425" s="20"/>
      <c r="C2425" s="759" t="s">
        <v>177</v>
      </c>
      <c r="D2425" s="759"/>
      <c r="E2425" s="135" t="s">
        <v>178</v>
      </c>
      <c r="F2425" s="21"/>
      <c r="G2425" s="21"/>
      <c r="L2425" s="35"/>
    </row>
    <row r="2426" spans="2:12" s="4" customFormat="1" ht="12.75" customHeight="1" outlineLevel="1" x14ac:dyDescent="0.4">
      <c r="B2426" s="20"/>
      <c r="C2426" s="21"/>
      <c r="D2426" s="21"/>
      <c r="E2426" s="21"/>
      <c r="F2426" s="21"/>
      <c r="G2426" s="21"/>
      <c r="L2426" s="35"/>
    </row>
    <row r="2427" spans="2:12" s="4" customFormat="1" outlineLevel="1" x14ac:dyDescent="0.4">
      <c r="B2427" s="20"/>
      <c r="C2427" s="25" t="str">
        <f>IF(E2425="yes", "Fuel demand for outward journey",IF(E2425="No","Fuel demand for full journey (outward and return)",""))</f>
        <v>Fuel demand for full journey (outward and return)</v>
      </c>
      <c r="D2427" s="21"/>
      <c r="E2427" s="21"/>
      <c r="F2427" s="21"/>
      <c r="G2427" s="21"/>
      <c r="H2427" s="21"/>
      <c r="I2427" s="21"/>
      <c r="J2427" s="21"/>
      <c r="K2427" s="21"/>
      <c r="L2427" s="35"/>
    </row>
    <row r="2428" spans="2:12" s="4" customFormat="1" outlineLevel="1" x14ac:dyDescent="0.4">
      <c r="B2428" s="20"/>
      <c r="C2428" s="164" t="s">
        <v>151</v>
      </c>
      <c r="D2428" s="164" t="s">
        <v>140</v>
      </c>
      <c r="E2428" s="21"/>
      <c r="F2428" s="21"/>
      <c r="G2428" s="21"/>
      <c r="H2428" s="21"/>
      <c r="I2428" s="21"/>
      <c r="J2428" s="21"/>
      <c r="K2428" s="21"/>
      <c r="L2428" s="35"/>
    </row>
    <row r="2429" spans="2:12" s="4" customFormat="1" outlineLevel="1" x14ac:dyDescent="0.4">
      <c r="B2429" s="20"/>
      <c r="C2429" s="138"/>
      <c r="D2429" s="135"/>
      <c r="E2429" s="21"/>
      <c r="F2429" s="21"/>
      <c r="G2429" s="21"/>
      <c r="H2429" s="21"/>
      <c r="I2429" s="21"/>
      <c r="J2429" s="21"/>
      <c r="K2429" s="21"/>
      <c r="L2429" s="35"/>
    </row>
    <row r="2430" spans="2:12" s="4" customFormat="1" outlineLevel="1" x14ac:dyDescent="0.4">
      <c r="B2430" s="20"/>
      <c r="C2430" s="21"/>
      <c r="D2430" s="21"/>
      <c r="E2430" s="21"/>
      <c r="F2430" s="21"/>
      <c r="G2430" s="21"/>
      <c r="H2430" s="21"/>
      <c r="I2430" s="21"/>
      <c r="J2430" s="21"/>
      <c r="K2430" s="21"/>
      <c r="L2430" s="35"/>
    </row>
    <row r="2431" spans="2:12" s="4" customFormat="1" outlineLevel="1" x14ac:dyDescent="0.4">
      <c r="B2431" s="20"/>
      <c r="C2431" s="25" t="s">
        <v>180</v>
      </c>
      <c r="D2431" s="21"/>
      <c r="E2431" s="21"/>
      <c r="F2431" s="21"/>
      <c r="G2431" s="21"/>
      <c r="H2431" s="21"/>
      <c r="I2431" s="21"/>
      <c r="J2431" s="21"/>
      <c r="K2431" s="21"/>
      <c r="L2431" s="35"/>
    </row>
    <row r="2432" spans="2:12" s="4" customFormat="1" outlineLevel="1" x14ac:dyDescent="0.4">
      <c r="B2432" s="20"/>
      <c r="C2432" s="164" t="s">
        <v>151</v>
      </c>
      <c r="D2432" s="164" t="s">
        <v>140</v>
      </c>
      <c r="E2432" s="21"/>
      <c r="F2432" s="21"/>
      <c r="G2432" s="21"/>
      <c r="H2432" s="21"/>
      <c r="I2432" s="21"/>
      <c r="J2432" s="21"/>
      <c r="K2432" s="21"/>
      <c r="L2432" s="35"/>
    </row>
    <row r="2433" spans="2:12" s="4" customFormat="1" outlineLevel="1" x14ac:dyDescent="0.4">
      <c r="B2433" s="20"/>
      <c r="C2433" s="138"/>
      <c r="D2433" s="135"/>
      <c r="E2433" s="21"/>
      <c r="F2433" s="21"/>
      <c r="G2433" s="21"/>
      <c r="H2433" s="21"/>
      <c r="I2433" s="21"/>
      <c r="J2433" s="21"/>
      <c r="K2433" s="21"/>
      <c r="L2433" s="35"/>
    </row>
    <row r="2434" spans="2:12" s="4" customFormat="1" ht="12.75" customHeight="1" outlineLevel="1" x14ac:dyDescent="0.4">
      <c r="B2434" s="28"/>
      <c r="C2434" s="29"/>
      <c r="D2434" s="29"/>
      <c r="E2434" s="29"/>
      <c r="F2434" s="29"/>
      <c r="G2434" s="29"/>
      <c r="H2434" s="29"/>
      <c r="I2434" s="29"/>
      <c r="J2434" s="29"/>
      <c r="K2434" s="29"/>
      <c r="L2434" s="60"/>
    </row>
    <row r="2435" spans="2:12" s="4" customFormat="1" ht="3" customHeight="1" x14ac:dyDescent="0.4"/>
    <row r="2436" spans="2:12" s="4" customFormat="1" ht="8.4" hidden="1" customHeight="1" x14ac:dyDescent="0.4"/>
    <row r="2437" spans="2:12" s="1" customFormat="1" ht="11.1" hidden="1" customHeight="1" x14ac:dyDescent="0.35">
      <c r="B2437" s="2"/>
      <c r="C2437" s="3"/>
      <c r="E2437" s="2"/>
    </row>
    <row r="2438" spans="2:12" s="4" customFormat="1" ht="15.9" hidden="1" customHeight="1" x14ac:dyDescent="0.4"/>
    <row r="2439" spans="2:12" s="4" customFormat="1" ht="15.9" hidden="1" customHeight="1" x14ac:dyDescent="0.4"/>
    <row r="2440" spans="2:12" s="4" customFormat="1" ht="15.9" hidden="1" customHeight="1" x14ac:dyDescent="0.4"/>
    <row r="2441" spans="2:12" s="4" customFormat="1" hidden="1" x14ac:dyDescent="0.4"/>
    <row r="2442" spans="2:12" s="4" customFormat="1" ht="15.9" hidden="1" customHeight="1" x14ac:dyDescent="0.4"/>
    <row r="2443" spans="2:12" s="4" customFormat="1" ht="15.9" hidden="1" customHeight="1" x14ac:dyDescent="0.4"/>
    <row r="2444" spans="2:12" s="4" customFormat="1" hidden="1" x14ac:dyDescent="0.4"/>
    <row r="2445" spans="2:12" s="1" customFormat="1" ht="11.1" hidden="1" customHeight="1" x14ac:dyDescent="0.35">
      <c r="B2445" s="2"/>
      <c r="C2445" s="3"/>
      <c r="E2445" s="2"/>
    </row>
    <row r="2446" spans="2:12" s="4" customFormat="1" ht="15.9" hidden="1" customHeight="1" x14ac:dyDescent="0.4"/>
    <row r="2447" spans="2:12" s="4" customFormat="1" ht="15.9" hidden="1" customHeight="1" x14ac:dyDescent="0.4"/>
    <row r="2448" spans="2:12" s="4" customFormat="1" ht="15.9" hidden="1" customHeight="1" x14ac:dyDescent="0.4"/>
    <row r="2449" spans="2:12" s="4" customFormat="1" hidden="1" x14ac:dyDescent="0.4"/>
    <row r="2450" spans="2:12" s="4" customFormat="1" hidden="1" x14ac:dyDescent="0.4"/>
    <row r="2451" spans="2:12" s="4" customFormat="1" hidden="1" x14ac:dyDescent="0.4"/>
    <row r="2452" spans="2:12" s="4" customFormat="1" hidden="1" x14ac:dyDescent="0.4"/>
    <row r="2453" spans="2:12" s="4" customFormat="1" hidden="1" x14ac:dyDescent="0.4"/>
    <row r="2454" spans="2:12" s="4" customFormat="1" hidden="1" x14ac:dyDescent="0.4"/>
    <row r="2455" spans="2:12" s="4" customFormat="1" hidden="1" x14ac:dyDescent="0.4"/>
    <row r="2456" spans="2:12" s="4" customFormat="1" hidden="1" x14ac:dyDescent="0.4"/>
    <row r="2457" spans="2:12" s="4" customFormat="1" x14ac:dyDescent="0.4"/>
    <row r="2458" spans="2:12" s="4" customFormat="1" ht="19.2" x14ac:dyDescent="0.45">
      <c r="B2458" s="754" t="str">
        <f>"Transport to Plant"&amp;" - "&amp;Feedstocks!C66</f>
        <v xml:space="preserve">Transport to Plant - </v>
      </c>
      <c r="C2458" s="755"/>
      <c r="D2458" s="755"/>
      <c r="E2458" s="755"/>
      <c r="F2458" s="755"/>
      <c r="G2458" s="755"/>
      <c r="H2458" s="755"/>
      <c r="I2458" s="755"/>
      <c r="J2458" s="755"/>
      <c r="K2458" s="755"/>
      <c r="L2458" s="756"/>
    </row>
    <row r="2459" spans="2:12" s="4" customFormat="1" outlineLevel="1" x14ac:dyDescent="0.4">
      <c r="B2459" s="17"/>
      <c r="C2459" s="18"/>
      <c r="D2459" s="19"/>
      <c r="E2459" s="19"/>
      <c r="F2459" s="19"/>
      <c r="G2459" s="19"/>
      <c r="H2459" s="19"/>
      <c r="I2459" s="19"/>
      <c r="J2459" s="19"/>
      <c r="K2459" s="19"/>
      <c r="L2459" s="50"/>
    </row>
    <row r="2460" spans="2:12" s="4" customFormat="1" outlineLevel="1" x14ac:dyDescent="0.4">
      <c r="B2460" s="20"/>
      <c r="C2460" s="174" t="s">
        <v>87</v>
      </c>
      <c r="D2460" s="778" t="str">
        <f>IF(Feedstocks!$C$66&gt;0,Feedstocks!$C$66,"")</f>
        <v/>
      </c>
      <c r="E2460" s="778"/>
      <c r="F2460" s="778"/>
      <c r="G2460" s="1"/>
      <c r="H2460" s="303" t="s">
        <v>122</v>
      </c>
      <c r="I2460" s="47"/>
      <c r="J2460" s="47"/>
      <c r="K2460" s="61"/>
      <c r="L2460" s="35"/>
    </row>
    <row r="2461" spans="2:12" s="4" customFormat="1" outlineLevel="1" x14ac:dyDescent="0.4">
      <c r="B2461" s="20"/>
      <c r="C2461" s="1"/>
      <c r="D2461" s="1"/>
      <c r="E2461" s="1"/>
      <c r="F2461" s="1"/>
      <c r="G2461" s="76"/>
      <c r="H2461" s="43"/>
      <c r="I2461" s="36"/>
      <c r="J2461" s="164" t="s">
        <v>124</v>
      </c>
      <c r="K2461" s="44"/>
      <c r="L2461" s="35"/>
    </row>
    <row r="2462" spans="2:12" s="12" customFormat="1" ht="15" outlineLevel="1" x14ac:dyDescent="0.35">
      <c r="B2462" s="20"/>
      <c r="C2462" s="1"/>
      <c r="D2462" s="1"/>
      <c r="E2462" s="1"/>
      <c r="F2462" s="1"/>
      <c r="G2462" s="1"/>
      <c r="H2462" s="43"/>
      <c r="I2462" s="164" t="s">
        <v>125</v>
      </c>
      <c r="J2462" s="52" t="str">
        <f>IFERROR((J2465/(('Digestion &amp; outputs'!$G$67/1000)))*'Digestion &amp; outputs'!$K$23,"")</f>
        <v/>
      </c>
      <c r="K2462" s="44"/>
      <c r="L2462" s="54"/>
    </row>
    <row r="2463" spans="2:12" s="4" customFormat="1" outlineLevel="1" x14ac:dyDescent="0.4">
      <c r="B2463" s="20"/>
      <c r="C2463" s="164" t="s">
        <v>163</v>
      </c>
      <c r="D2463" s="134" t="s">
        <v>164</v>
      </c>
      <c r="E2463" s="1"/>
      <c r="F2463" s="1"/>
      <c r="G2463" s="1"/>
      <c r="H2463" s="41"/>
      <c r="I2463" s="34"/>
      <c r="J2463" s="34"/>
      <c r="K2463" s="37"/>
      <c r="L2463" s="35"/>
    </row>
    <row r="2464" spans="2:12" s="4" customFormat="1" outlineLevel="1" x14ac:dyDescent="0.4">
      <c r="B2464" s="20"/>
      <c r="C2464" s="164" t="s">
        <v>165</v>
      </c>
      <c r="D2464" s="143"/>
      <c r="E2464" s="1"/>
      <c r="F2464" s="1"/>
      <c r="G2464" s="1"/>
      <c r="H2464" s="41"/>
      <c r="I2464" s="36"/>
      <c r="J2464" s="164" t="s">
        <v>141</v>
      </c>
      <c r="K2464" s="37"/>
      <c r="L2464" s="35"/>
    </row>
    <row r="2465" spans="2:12" s="4" customFormat="1" outlineLevel="1" x14ac:dyDescent="0.4">
      <c r="B2465" s="20"/>
      <c r="C2465" s="164" t="s">
        <v>160</v>
      </c>
      <c r="D2465" s="134" t="s">
        <v>166</v>
      </c>
      <c r="E2465" s="1"/>
      <c r="F2465" s="1"/>
      <c r="G2465" s="1"/>
      <c r="H2465" s="42"/>
      <c r="I2465" s="164" t="s">
        <v>167</v>
      </c>
      <c r="J2465" s="52">
        <f>IFERROR(J2470,"Insert data")</f>
        <v>0</v>
      </c>
      <c r="K2465" s="62"/>
      <c r="L2465" s="35"/>
    </row>
    <row r="2466" spans="2:12" s="4" customFormat="1" outlineLevel="1" x14ac:dyDescent="0.4">
      <c r="B2466" s="20"/>
      <c r="C2466" s="21"/>
      <c r="D2466" s="21"/>
      <c r="E2466" s="21"/>
      <c r="F2466" s="21"/>
      <c r="G2466" s="21"/>
      <c r="H2466" s="46"/>
      <c r="I2466" s="58"/>
      <c r="J2466" s="58"/>
      <c r="K2466" s="59"/>
      <c r="L2466" s="35"/>
    </row>
    <row r="2467" spans="2:12" s="4" customFormat="1" outlineLevel="1" x14ac:dyDescent="0.4">
      <c r="B2467" s="20"/>
      <c r="C2467" s="25" t="s">
        <v>168</v>
      </c>
      <c r="D2467" s="21"/>
      <c r="E2467" s="21"/>
      <c r="F2467" s="21"/>
      <c r="G2467" s="21"/>
      <c r="H2467" s="21"/>
      <c r="I2467" s="21"/>
      <c r="J2467" s="21"/>
      <c r="K2467" s="21"/>
      <c r="L2467" s="35"/>
    </row>
    <row r="2468" spans="2:12" s="14" customFormat="1" ht="30.6" outlineLevel="1" x14ac:dyDescent="0.4">
      <c r="B2468" s="23"/>
      <c r="C2468" s="166" t="s">
        <v>131</v>
      </c>
      <c r="D2468" s="166" t="s">
        <v>169</v>
      </c>
      <c r="E2468" s="166" t="s">
        <v>170</v>
      </c>
      <c r="F2468" s="166" t="s">
        <v>171</v>
      </c>
      <c r="G2468" s="24"/>
      <c r="H2468" s="303" t="s">
        <v>136</v>
      </c>
      <c r="I2468" s="47"/>
      <c r="J2468" s="47"/>
      <c r="K2468" s="45"/>
      <c r="L2468" s="63"/>
    </row>
    <row r="2469" spans="2:12" s="4" customFormat="1" outlineLevel="1" x14ac:dyDescent="0.4">
      <c r="B2469" s="20"/>
      <c r="C2469" s="138" t="s">
        <v>96</v>
      </c>
      <c r="D2469" s="93">
        <v>1</v>
      </c>
      <c r="E2469" s="135"/>
      <c r="F2469" s="31">
        <f>IFERROR(IF(OR(C2469="Default",D2463="No transport required"),D2469,IF(ISBLANK(E2469),"Insert data",E2469)),"")</f>
        <v>1</v>
      </c>
      <c r="G2469" s="21"/>
      <c r="H2469" s="41"/>
      <c r="I2469" s="36"/>
      <c r="J2469" s="164" t="s">
        <v>141</v>
      </c>
      <c r="K2469" s="37"/>
      <c r="L2469" s="35"/>
    </row>
    <row r="2470" spans="2:12" s="4" customFormat="1" outlineLevel="1" x14ac:dyDescent="0.4">
      <c r="B2470" s="20"/>
      <c r="C2470" s="21"/>
      <c r="D2470" s="21"/>
      <c r="E2470" s="692" t="str">
        <f>IF(E2469&gt;1, "this should not be greater than 1", "")</f>
        <v/>
      </c>
      <c r="F2470" s="21"/>
      <c r="G2470" s="21"/>
      <c r="H2470" s="42"/>
      <c r="I2470" s="164" t="s">
        <v>172</v>
      </c>
      <c r="J2470" s="52">
        <f>IF(D2463="No transport required",0,IFERROR(E2473*INDEX(Fuel_EFs,MATCH(D2465,Fuels_for_EF,0))*D2464/1000,"Insert data"))</f>
        <v>0</v>
      </c>
      <c r="K2470" s="62"/>
      <c r="L2470" s="35"/>
    </row>
    <row r="2471" spans="2:12" s="4" customFormat="1" outlineLevel="1" x14ac:dyDescent="0.4">
      <c r="B2471" s="20"/>
      <c r="C2471" s="25" t="s">
        <v>173</v>
      </c>
      <c r="D2471" s="21"/>
      <c r="E2471" s="21"/>
      <c r="F2471" s="21"/>
      <c r="G2471" s="21"/>
      <c r="H2471" s="46"/>
      <c r="I2471" s="58"/>
      <c r="J2471" s="58"/>
      <c r="K2471" s="59"/>
      <c r="L2471" s="35"/>
    </row>
    <row r="2472" spans="2:12" s="14" customFormat="1" outlineLevel="1" x14ac:dyDescent="0.4">
      <c r="B2472" s="23"/>
      <c r="C2472" s="176" t="s">
        <v>174</v>
      </c>
      <c r="D2472" s="166" t="s">
        <v>175</v>
      </c>
      <c r="E2472" s="166" t="s">
        <v>176</v>
      </c>
      <c r="F2472" s="24"/>
      <c r="G2472" s="24"/>
      <c r="H2472" s="4"/>
      <c r="I2472" s="4"/>
      <c r="J2472" s="4"/>
      <c r="K2472" s="4"/>
      <c r="L2472" s="63"/>
    </row>
    <row r="2473" spans="2:12" s="4" customFormat="1" outlineLevel="1" x14ac:dyDescent="0.4">
      <c r="B2473" s="20"/>
      <c r="C2473" s="138" t="s">
        <v>96</v>
      </c>
      <c r="D2473" s="93">
        <f>IFERROR(INDEX(Transport_Fuel_Efficiencies,MATCH(D2463,Transport_Modes,0)),"Insert data")</f>
        <v>0</v>
      </c>
      <c r="E2473" s="31">
        <f>IFERROR(IF(C2473="Default",D2473,IF(OR(ISBLANK(E2475),ISBLANK(D2479),ISBLANK(D2483)),"Insert data",(IF(C2479="litres",(D2479*(INDEX(Fuel_Densities,MATCH(D2465,Fuels_for_Densities,0))/1000)*INDEX(Fuel_LHV,MATCH(D2465,Fuels_for_LHV,0)))/(D2483*D2464),(IF(C2479="m3",(D2479*(INDEX(Fuel_Densities,MATCH(D2465,Fuels_for_Densities,0)))*INDEX(Fuel_LHV,MATCH(D2465,Fuels_for_LHV,0)))/(D2483*D2464),IF(C2479="kg",(D2479*INDEX(Fuel_LHV,MATCH(D2465,Fuels_for_LHV,0)))/(D2483*D2464),IF(C2479="tonnes",(D2479*INDEX(Fuel_LHV,MATCH(D2465,Fuels_for_LHV,0))*1000)/(D2483*D2464),IF(C2479="MWh",(D2479*'Reference values'!$D$47)/(D2483*D2464),IF(C2479="kWh",(D2479*'Reference values'!$D$47/1000)/(D2483*D2464),"Insert unit")))))))))),"")</f>
        <v>0</v>
      </c>
      <c r="F2473" s="21"/>
      <c r="G2473" s="21"/>
      <c r="L2473" s="35"/>
    </row>
    <row r="2474" spans="2:12" s="4" customFormat="1" outlineLevel="1" x14ac:dyDescent="0.4">
      <c r="B2474" s="20"/>
      <c r="C2474" s="21"/>
      <c r="D2474" s="21"/>
      <c r="E2474" s="21"/>
      <c r="F2474" s="21"/>
      <c r="G2474" s="21"/>
      <c r="H2474" s="21"/>
      <c r="I2474" s="21"/>
      <c r="J2474" s="21"/>
      <c r="K2474" s="21"/>
      <c r="L2474" s="35"/>
    </row>
    <row r="2475" spans="2:12" s="4" customFormat="1" ht="16.5" customHeight="1" outlineLevel="1" x14ac:dyDescent="0.4">
      <c r="B2475" s="20"/>
      <c r="C2475" s="759" t="s">
        <v>177</v>
      </c>
      <c r="D2475" s="759"/>
      <c r="E2475" s="135" t="s">
        <v>178</v>
      </c>
      <c r="F2475" s="21"/>
      <c r="G2475" s="21"/>
      <c r="L2475" s="35"/>
    </row>
    <row r="2476" spans="2:12" s="4" customFormat="1" ht="12.75" customHeight="1" outlineLevel="1" x14ac:dyDescent="0.4">
      <c r="B2476" s="20"/>
      <c r="C2476" s="21"/>
      <c r="D2476" s="21"/>
      <c r="E2476" s="21"/>
      <c r="F2476" s="21"/>
      <c r="G2476" s="21"/>
      <c r="L2476" s="35"/>
    </row>
    <row r="2477" spans="2:12" s="4" customFormat="1" outlineLevel="1" x14ac:dyDescent="0.4">
      <c r="B2477" s="20"/>
      <c r="C2477" s="25" t="str">
        <f>IF(E2475="yes", "Fuel demand for outward journey",IF(E2475="No","Fuel demand for full journey (outward and return)",""))</f>
        <v>Fuel demand for full journey (outward and return)</v>
      </c>
      <c r="D2477" s="21"/>
      <c r="E2477" s="21"/>
      <c r="F2477" s="21"/>
      <c r="G2477" s="21"/>
      <c r="H2477" s="21"/>
      <c r="I2477" s="21"/>
      <c r="J2477" s="21"/>
      <c r="K2477" s="21"/>
      <c r="L2477" s="35"/>
    </row>
    <row r="2478" spans="2:12" s="4" customFormat="1" outlineLevel="1" x14ac:dyDescent="0.4">
      <c r="B2478" s="20"/>
      <c r="C2478" s="164" t="s">
        <v>151</v>
      </c>
      <c r="D2478" s="164" t="s">
        <v>140</v>
      </c>
      <c r="E2478" s="21"/>
      <c r="F2478" s="21"/>
      <c r="G2478" s="21"/>
      <c r="H2478" s="21"/>
      <c r="I2478" s="21"/>
      <c r="J2478" s="21"/>
      <c r="K2478" s="21"/>
      <c r="L2478" s="35"/>
    </row>
    <row r="2479" spans="2:12" s="4" customFormat="1" outlineLevel="1" x14ac:dyDescent="0.4">
      <c r="B2479" s="20"/>
      <c r="C2479" s="138"/>
      <c r="D2479" s="135"/>
      <c r="E2479" s="21"/>
      <c r="F2479" s="21"/>
      <c r="G2479" s="21"/>
      <c r="H2479" s="21"/>
      <c r="I2479" s="21"/>
      <c r="J2479" s="21"/>
      <c r="K2479" s="21"/>
      <c r="L2479" s="35"/>
    </row>
    <row r="2480" spans="2:12" s="4" customFormat="1" outlineLevel="1" x14ac:dyDescent="0.4">
      <c r="B2480" s="20"/>
      <c r="C2480" s="21"/>
      <c r="D2480" s="21"/>
      <c r="E2480" s="21"/>
      <c r="F2480" s="21"/>
      <c r="G2480" s="21"/>
      <c r="H2480" s="21"/>
      <c r="I2480" s="21"/>
      <c r="J2480" s="21"/>
      <c r="K2480" s="21"/>
      <c r="L2480" s="35"/>
    </row>
    <row r="2481" spans="2:12" s="4" customFormat="1" outlineLevel="1" x14ac:dyDescent="0.4">
      <c r="B2481" s="20"/>
      <c r="C2481" s="25" t="s">
        <v>180</v>
      </c>
      <c r="D2481" s="21"/>
      <c r="E2481" s="21"/>
      <c r="F2481" s="21"/>
      <c r="G2481" s="21"/>
      <c r="H2481" s="21"/>
      <c r="I2481" s="21"/>
      <c r="J2481" s="21"/>
      <c r="K2481" s="21"/>
      <c r="L2481" s="35"/>
    </row>
    <row r="2482" spans="2:12" s="4" customFormat="1" outlineLevel="1" x14ac:dyDescent="0.4">
      <c r="B2482" s="20"/>
      <c r="C2482" s="164" t="s">
        <v>151</v>
      </c>
      <c r="D2482" s="164" t="s">
        <v>140</v>
      </c>
      <c r="E2482" s="21"/>
      <c r="F2482" s="21"/>
      <c r="G2482" s="21"/>
      <c r="H2482" s="21"/>
      <c r="I2482" s="21"/>
      <c r="J2482" s="21"/>
      <c r="K2482" s="21"/>
      <c r="L2482" s="35"/>
    </row>
    <row r="2483" spans="2:12" s="4" customFormat="1" outlineLevel="1" x14ac:dyDescent="0.4">
      <c r="B2483" s="20"/>
      <c r="C2483" s="138"/>
      <c r="D2483" s="135"/>
      <c r="E2483" s="21"/>
      <c r="F2483" s="21"/>
      <c r="G2483" s="21"/>
      <c r="H2483" s="21"/>
      <c r="I2483" s="21"/>
      <c r="J2483" s="21"/>
      <c r="K2483" s="21"/>
      <c r="L2483" s="35"/>
    </row>
    <row r="2484" spans="2:12" s="4" customFormat="1" ht="12.75" customHeight="1" outlineLevel="1" x14ac:dyDescent="0.4">
      <c r="B2484" s="28"/>
      <c r="C2484" s="29"/>
      <c r="D2484" s="29"/>
      <c r="E2484" s="29"/>
      <c r="F2484" s="29"/>
      <c r="G2484" s="29"/>
      <c r="H2484" s="29"/>
      <c r="I2484" s="29"/>
      <c r="J2484" s="29"/>
      <c r="K2484" s="29"/>
      <c r="L2484" s="60"/>
    </row>
    <row r="2485" spans="2:12" s="4" customFormat="1" ht="3" customHeight="1" x14ac:dyDescent="0.4"/>
    <row r="2486" spans="2:12" s="4" customFormat="1" ht="8.4" hidden="1" customHeight="1" x14ac:dyDescent="0.4"/>
    <row r="2487" spans="2:12" s="1" customFormat="1" ht="11.1" hidden="1" customHeight="1" x14ac:dyDescent="0.35">
      <c r="B2487" s="2"/>
      <c r="C2487" s="3"/>
      <c r="E2487" s="2"/>
    </row>
    <row r="2488" spans="2:12" s="4" customFormat="1" ht="15.9" hidden="1" customHeight="1" x14ac:dyDescent="0.4"/>
    <row r="2489" spans="2:12" s="4" customFormat="1" ht="15.9" hidden="1" customHeight="1" x14ac:dyDescent="0.4"/>
    <row r="2490" spans="2:12" s="4" customFormat="1" ht="15.9" hidden="1" customHeight="1" x14ac:dyDescent="0.4"/>
    <row r="2491" spans="2:12" s="4" customFormat="1" hidden="1" x14ac:dyDescent="0.4"/>
    <row r="2492" spans="2:12" s="4" customFormat="1" ht="15.9" hidden="1" customHeight="1" x14ac:dyDescent="0.4"/>
    <row r="2493" spans="2:12" s="4" customFormat="1" ht="15.9" hidden="1" customHeight="1" x14ac:dyDescent="0.4"/>
    <row r="2494" spans="2:12" s="4" customFormat="1" hidden="1" x14ac:dyDescent="0.4"/>
    <row r="2495" spans="2:12" s="1" customFormat="1" ht="11.1" hidden="1" customHeight="1" x14ac:dyDescent="0.35">
      <c r="B2495" s="2"/>
      <c r="C2495" s="3"/>
      <c r="E2495" s="2"/>
    </row>
    <row r="2496" spans="2:12" s="4" customFormat="1" ht="15.9" hidden="1" customHeight="1" x14ac:dyDescent="0.4"/>
    <row r="2497" spans="2:12" s="4" customFormat="1" ht="15.9" hidden="1" customHeight="1" x14ac:dyDescent="0.4"/>
    <row r="2498" spans="2:12" s="4" customFormat="1" ht="15.9" hidden="1" customHeight="1" x14ac:dyDescent="0.4"/>
    <row r="2499" spans="2:12" s="4" customFormat="1" hidden="1" x14ac:dyDescent="0.4"/>
    <row r="2500" spans="2:12" s="4" customFormat="1" hidden="1" x14ac:dyDescent="0.4"/>
    <row r="2501" spans="2:12" s="4" customFormat="1" hidden="1" x14ac:dyDescent="0.4"/>
    <row r="2502" spans="2:12" s="4" customFormat="1" hidden="1" x14ac:dyDescent="0.4"/>
    <row r="2503" spans="2:12" s="4" customFormat="1" hidden="1" x14ac:dyDescent="0.4"/>
    <row r="2504" spans="2:12" s="4" customFormat="1" hidden="1" x14ac:dyDescent="0.4"/>
    <row r="2505" spans="2:12" s="4" customFormat="1" hidden="1" x14ac:dyDescent="0.4"/>
    <row r="2506" spans="2:12" s="4" customFormat="1" hidden="1" x14ac:dyDescent="0.4"/>
    <row r="2507" spans="2:12" s="4" customFormat="1" x14ac:dyDescent="0.4"/>
    <row r="2508" spans="2:12" s="4" customFormat="1" ht="19.2" x14ac:dyDescent="0.45">
      <c r="B2508" s="754" t="str">
        <f>"Transport to Plant"&amp;" - "&amp;Feedstocks!C70</f>
        <v xml:space="preserve">Transport to Plant - </v>
      </c>
      <c r="C2508" s="755"/>
      <c r="D2508" s="755"/>
      <c r="E2508" s="755"/>
      <c r="F2508" s="755"/>
      <c r="G2508" s="755"/>
      <c r="H2508" s="755"/>
      <c r="I2508" s="755"/>
      <c r="J2508" s="755"/>
      <c r="K2508" s="755"/>
      <c r="L2508" s="756"/>
    </row>
    <row r="2509" spans="2:12" s="4" customFormat="1" outlineLevel="1" x14ac:dyDescent="0.4">
      <c r="B2509" s="17"/>
      <c r="C2509" s="18"/>
      <c r="D2509" s="19"/>
      <c r="E2509" s="19"/>
      <c r="F2509" s="19"/>
      <c r="G2509" s="19"/>
      <c r="H2509" s="19"/>
      <c r="I2509" s="19"/>
      <c r="J2509" s="19"/>
      <c r="K2509" s="19"/>
      <c r="L2509" s="50"/>
    </row>
    <row r="2510" spans="2:12" s="4" customFormat="1" outlineLevel="1" x14ac:dyDescent="0.4">
      <c r="B2510" s="20"/>
      <c r="C2510" s="174" t="s">
        <v>87</v>
      </c>
      <c r="D2510" s="778" t="str">
        <f>IF(Feedstocks!$C$70&gt;0,Feedstocks!$C$70,"")</f>
        <v/>
      </c>
      <c r="E2510" s="778"/>
      <c r="F2510" s="778"/>
      <c r="G2510" s="1"/>
      <c r="H2510" s="303" t="s">
        <v>122</v>
      </c>
      <c r="I2510" s="47"/>
      <c r="J2510" s="47"/>
      <c r="K2510" s="61"/>
      <c r="L2510" s="35"/>
    </row>
    <row r="2511" spans="2:12" s="4" customFormat="1" outlineLevel="1" x14ac:dyDescent="0.4">
      <c r="B2511" s="20"/>
      <c r="C2511" s="1"/>
      <c r="D2511" s="1"/>
      <c r="E2511" s="1"/>
      <c r="F2511" s="1"/>
      <c r="G2511" s="76"/>
      <c r="H2511" s="43"/>
      <c r="I2511" s="36"/>
      <c r="J2511" s="164" t="s">
        <v>124</v>
      </c>
      <c r="K2511" s="44"/>
      <c r="L2511" s="35"/>
    </row>
    <row r="2512" spans="2:12" s="12" customFormat="1" ht="15" outlineLevel="1" x14ac:dyDescent="0.35">
      <c r="B2512" s="20"/>
      <c r="C2512" s="1"/>
      <c r="D2512" s="1"/>
      <c r="E2512" s="1"/>
      <c r="F2512" s="1"/>
      <c r="G2512" s="1"/>
      <c r="H2512" s="43"/>
      <c r="I2512" s="164" t="s">
        <v>125</v>
      </c>
      <c r="J2512" s="52" t="str">
        <f>IFERROR((J2515/(('Digestion &amp; outputs'!$G$69/1000)))*'Digestion &amp; outputs'!$K$23,"")</f>
        <v/>
      </c>
      <c r="K2512" s="44"/>
      <c r="L2512" s="54"/>
    </row>
    <row r="2513" spans="2:12" s="4" customFormat="1" outlineLevel="1" x14ac:dyDescent="0.4">
      <c r="B2513" s="20"/>
      <c r="C2513" s="164" t="s">
        <v>163</v>
      </c>
      <c r="D2513" s="134" t="s">
        <v>164</v>
      </c>
      <c r="E2513" s="1"/>
      <c r="F2513" s="1"/>
      <c r="G2513" s="1"/>
      <c r="H2513" s="41"/>
      <c r="I2513" s="34"/>
      <c r="J2513" s="34"/>
      <c r="K2513" s="37"/>
      <c r="L2513" s="35"/>
    </row>
    <row r="2514" spans="2:12" s="4" customFormat="1" outlineLevel="1" x14ac:dyDescent="0.4">
      <c r="B2514" s="20"/>
      <c r="C2514" s="164" t="s">
        <v>165</v>
      </c>
      <c r="D2514" s="143"/>
      <c r="E2514" s="1"/>
      <c r="F2514" s="1"/>
      <c r="G2514" s="1"/>
      <c r="H2514" s="41"/>
      <c r="I2514" s="36"/>
      <c r="J2514" s="164" t="s">
        <v>141</v>
      </c>
      <c r="K2514" s="37"/>
      <c r="L2514" s="35"/>
    </row>
    <row r="2515" spans="2:12" s="4" customFormat="1" outlineLevel="1" x14ac:dyDescent="0.4">
      <c r="B2515" s="20"/>
      <c r="C2515" s="164" t="s">
        <v>160</v>
      </c>
      <c r="D2515" s="134" t="s">
        <v>166</v>
      </c>
      <c r="E2515" s="1"/>
      <c r="F2515" s="1"/>
      <c r="G2515" s="1"/>
      <c r="H2515" s="42"/>
      <c r="I2515" s="164" t="s">
        <v>167</v>
      </c>
      <c r="J2515" s="52">
        <f>IFERROR(J2520,"Insert data")</f>
        <v>0</v>
      </c>
      <c r="K2515" s="62"/>
      <c r="L2515" s="35"/>
    </row>
    <row r="2516" spans="2:12" s="4" customFormat="1" outlineLevel="1" x14ac:dyDescent="0.4">
      <c r="B2516" s="20"/>
      <c r="C2516" s="21"/>
      <c r="D2516" s="21"/>
      <c r="E2516" s="21"/>
      <c r="F2516" s="21"/>
      <c r="G2516" s="21"/>
      <c r="H2516" s="46"/>
      <c r="I2516" s="58"/>
      <c r="J2516" s="58"/>
      <c r="K2516" s="59"/>
      <c r="L2516" s="35"/>
    </row>
    <row r="2517" spans="2:12" s="4" customFormat="1" outlineLevel="1" x14ac:dyDescent="0.4">
      <c r="B2517" s="20"/>
      <c r="C2517" s="25" t="s">
        <v>168</v>
      </c>
      <c r="D2517" s="21"/>
      <c r="E2517" s="21"/>
      <c r="F2517" s="21"/>
      <c r="G2517" s="21"/>
      <c r="H2517" s="21"/>
      <c r="I2517" s="21"/>
      <c r="J2517" s="21"/>
      <c r="K2517" s="21"/>
      <c r="L2517" s="35"/>
    </row>
    <row r="2518" spans="2:12" s="14" customFormat="1" ht="30.6" outlineLevel="1" x14ac:dyDescent="0.4">
      <c r="B2518" s="23"/>
      <c r="C2518" s="166" t="s">
        <v>131</v>
      </c>
      <c r="D2518" s="166" t="s">
        <v>169</v>
      </c>
      <c r="E2518" s="166" t="s">
        <v>170</v>
      </c>
      <c r="F2518" s="166" t="s">
        <v>171</v>
      </c>
      <c r="G2518" s="24"/>
      <c r="H2518" s="303" t="s">
        <v>136</v>
      </c>
      <c r="I2518" s="47"/>
      <c r="J2518" s="47"/>
      <c r="K2518" s="45"/>
      <c r="L2518" s="63"/>
    </row>
    <row r="2519" spans="2:12" s="4" customFormat="1" outlineLevel="1" x14ac:dyDescent="0.4">
      <c r="B2519" s="20"/>
      <c r="C2519" s="138" t="s">
        <v>96</v>
      </c>
      <c r="D2519" s="93">
        <v>1</v>
      </c>
      <c r="E2519" s="135"/>
      <c r="F2519" s="31">
        <f>IFERROR(IF(OR(C2519="Default",D2513="No transport required"),D2519,IF(ISBLANK(E2519),"Insert data",E2519)),"")</f>
        <v>1</v>
      </c>
      <c r="G2519" s="21"/>
      <c r="H2519" s="41"/>
      <c r="I2519" s="36"/>
      <c r="J2519" s="164" t="s">
        <v>141</v>
      </c>
      <c r="K2519" s="37"/>
      <c r="L2519" s="35"/>
    </row>
    <row r="2520" spans="2:12" s="4" customFormat="1" outlineLevel="1" x14ac:dyDescent="0.4">
      <c r="B2520" s="20"/>
      <c r="C2520" s="21"/>
      <c r="D2520" s="21"/>
      <c r="E2520" s="692" t="str">
        <f>IF(E2519&gt;1, "this should not be greater than 1", "")</f>
        <v/>
      </c>
      <c r="F2520" s="21"/>
      <c r="G2520" s="21"/>
      <c r="H2520" s="42"/>
      <c r="I2520" s="164" t="s">
        <v>172</v>
      </c>
      <c r="J2520" s="52">
        <f>IF(D2513="No transport required",0,IFERROR(E2523*INDEX(Fuel_EFs,MATCH(D2515,Fuels_for_EF,0))*D2514/1000,"Insert data"))</f>
        <v>0</v>
      </c>
      <c r="K2520" s="62"/>
      <c r="L2520" s="35"/>
    </row>
    <row r="2521" spans="2:12" s="4" customFormat="1" outlineLevel="1" x14ac:dyDescent="0.4">
      <c r="B2521" s="20"/>
      <c r="C2521" s="25" t="s">
        <v>173</v>
      </c>
      <c r="D2521" s="21"/>
      <c r="E2521" s="21"/>
      <c r="F2521" s="21"/>
      <c r="G2521" s="21"/>
      <c r="H2521" s="46"/>
      <c r="I2521" s="58"/>
      <c r="J2521" s="58"/>
      <c r="K2521" s="59"/>
      <c r="L2521" s="35"/>
    </row>
    <row r="2522" spans="2:12" s="14" customFormat="1" outlineLevel="1" x14ac:dyDescent="0.4">
      <c r="B2522" s="23"/>
      <c r="C2522" s="176" t="s">
        <v>174</v>
      </c>
      <c r="D2522" s="166" t="s">
        <v>175</v>
      </c>
      <c r="E2522" s="166" t="s">
        <v>176</v>
      </c>
      <c r="F2522" s="24"/>
      <c r="G2522" s="24"/>
      <c r="H2522" s="4"/>
      <c r="I2522" s="4"/>
      <c r="J2522" s="4"/>
      <c r="K2522" s="4"/>
      <c r="L2522" s="63"/>
    </row>
    <row r="2523" spans="2:12" s="4" customFormat="1" outlineLevel="1" x14ac:dyDescent="0.4">
      <c r="B2523" s="20"/>
      <c r="C2523" s="138" t="s">
        <v>96</v>
      </c>
      <c r="D2523" s="93">
        <f>IFERROR(INDEX(Transport_Fuel_Efficiencies,MATCH(D2513,Transport_Modes,0)),"Insert data")</f>
        <v>0</v>
      </c>
      <c r="E2523" s="31">
        <f>IFERROR(IF(C2523="Default",D2523,IF(OR(ISBLANK(E2525),ISBLANK(D2529),ISBLANK(D2533)),"Insert data",(IF(C2529="litres",(D2529*(INDEX(Fuel_Densities,MATCH(D2515,Fuels_for_Densities,0))/1000)*INDEX(Fuel_LHV,MATCH(D2515,Fuels_for_LHV,0)))/(D2533*D2514),(IF(C2529="m3",(D2529*(INDEX(Fuel_Densities,MATCH(D2515,Fuels_for_Densities,0)))*INDEX(Fuel_LHV,MATCH(D2515,Fuels_for_LHV,0)))/(D2533*D2514),IF(C2529="kg",(D2529*INDEX(Fuel_LHV,MATCH(D2515,Fuels_for_LHV,0)))/(D2533*D2514),IF(C2529="tonnes",(D2529*INDEX(Fuel_LHV,MATCH(D2515,Fuels_for_LHV,0))*1000)/(D2533*D2514),IF(C2529="MWh",(D2529*'Reference values'!$D$47)/(D2533*D2514),IF(C2529="kWh",(D2529*'Reference values'!$D$47/1000)/(D2533*D2514),"Insert unit")))))))))),"")</f>
        <v>0</v>
      </c>
      <c r="F2523" s="21"/>
      <c r="G2523" s="21"/>
      <c r="L2523" s="35"/>
    </row>
    <row r="2524" spans="2:12" s="4" customFormat="1" outlineLevel="1" x14ac:dyDescent="0.4">
      <c r="B2524" s="20"/>
      <c r="C2524" s="21"/>
      <c r="D2524" s="21"/>
      <c r="E2524" s="21"/>
      <c r="F2524" s="21"/>
      <c r="G2524" s="21"/>
      <c r="H2524" s="21"/>
      <c r="I2524" s="21"/>
      <c r="J2524" s="21"/>
      <c r="K2524" s="21"/>
      <c r="L2524" s="35"/>
    </row>
    <row r="2525" spans="2:12" s="4" customFormat="1" ht="16.5" customHeight="1" outlineLevel="1" x14ac:dyDescent="0.4">
      <c r="B2525" s="20"/>
      <c r="C2525" s="759" t="s">
        <v>177</v>
      </c>
      <c r="D2525" s="759"/>
      <c r="E2525" s="135" t="s">
        <v>178</v>
      </c>
      <c r="F2525" s="21"/>
      <c r="G2525" s="21"/>
      <c r="L2525" s="35"/>
    </row>
    <row r="2526" spans="2:12" s="4" customFormat="1" ht="12.75" customHeight="1" outlineLevel="1" x14ac:dyDescent="0.4">
      <c r="B2526" s="20"/>
      <c r="C2526" s="21"/>
      <c r="D2526" s="21"/>
      <c r="E2526" s="21"/>
      <c r="F2526" s="21"/>
      <c r="G2526" s="21"/>
      <c r="L2526" s="35"/>
    </row>
    <row r="2527" spans="2:12" s="4" customFormat="1" outlineLevel="1" x14ac:dyDescent="0.4">
      <c r="B2527" s="20"/>
      <c r="C2527" s="25" t="str">
        <f>IF(E2525="yes", "Fuel demand for outward journey",IF(E2525="No","Fuel demand for full journey (outward and return)",""))</f>
        <v>Fuel demand for full journey (outward and return)</v>
      </c>
      <c r="D2527" s="21"/>
      <c r="E2527" s="21"/>
      <c r="F2527" s="21"/>
      <c r="G2527" s="21"/>
      <c r="H2527" s="21"/>
      <c r="I2527" s="21"/>
      <c r="J2527" s="21"/>
      <c r="K2527" s="21"/>
      <c r="L2527" s="35"/>
    </row>
    <row r="2528" spans="2:12" s="4" customFormat="1" outlineLevel="1" x14ac:dyDescent="0.4">
      <c r="B2528" s="20"/>
      <c r="C2528" s="164" t="s">
        <v>151</v>
      </c>
      <c r="D2528" s="164" t="s">
        <v>140</v>
      </c>
      <c r="E2528" s="21"/>
      <c r="F2528" s="21"/>
      <c r="G2528" s="21"/>
      <c r="H2528" s="21"/>
      <c r="I2528" s="21"/>
      <c r="J2528" s="21"/>
      <c r="K2528" s="21"/>
      <c r="L2528" s="35"/>
    </row>
    <row r="2529" spans="2:12" s="4" customFormat="1" outlineLevel="1" x14ac:dyDescent="0.4">
      <c r="B2529" s="20"/>
      <c r="C2529" s="138"/>
      <c r="D2529" s="135"/>
      <c r="E2529" s="21"/>
      <c r="F2529" s="21"/>
      <c r="G2529" s="21"/>
      <c r="H2529" s="21"/>
      <c r="I2529" s="21"/>
      <c r="J2529" s="21"/>
      <c r="K2529" s="21"/>
      <c r="L2529" s="35"/>
    </row>
    <row r="2530" spans="2:12" s="4" customFormat="1" outlineLevel="1" x14ac:dyDescent="0.4">
      <c r="B2530" s="20"/>
      <c r="C2530" s="21"/>
      <c r="D2530" s="21"/>
      <c r="E2530" s="21"/>
      <c r="F2530" s="21"/>
      <c r="G2530" s="21"/>
      <c r="H2530" s="21"/>
      <c r="I2530" s="21"/>
      <c r="J2530" s="21"/>
      <c r="K2530" s="21"/>
      <c r="L2530" s="35"/>
    </row>
    <row r="2531" spans="2:12" s="4" customFormat="1" outlineLevel="1" x14ac:dyDescent="0.4">
      <c r="B2531" s="20"/>
      <c r="C2531" s="25" t="s">
        <v>180</v>
      </c>
      <c r="D2531" s="21"/>
      <c r="E2531" s="21"/>
      <c r="F2531" s="21"/>
      <c r="G2531" s="21"/>
      <c r="H2531" s="21"/>
      <c r="I2531" s="21"/>
      <c r="J2531" s="21"/>
      <c r="K2531" s="21"/>
      <c r="L2531" s="35"/>
    </row>
    <row r="2532" spans="2:12" s="4" customFormat="1" outlineLevel="1" x14ac:dyDescent="0.4">
      <c r="B2532" s="20"/>
      <c r="C2532" s="164" t="s">
        <v>151</v>
      </c>
      <c r="D2532" s="164" t="s">
        <v>140</v>
      </c>
      <c r="E2532" s="21"/>
      <c r="F2532" s="21"/>
      <c r="G2532" s="21"/>
      <c r="H2532" s="21"/>
      <c r="I2532" s="21"/>
      <c r="J2532" s="21"/>
      <c r="K2532" s="21"/>
      <c r="L2532" s="35"/>
    </row>
    <row r="2533" spans="2:12" s="4" customFormat="1" outlineLevel="1" x14ac:dyDescent="0.4">
      <c r="B2533" s="20"/>
      <c r="C2533" s="138"/>
      <c r="D2533" s="135"/>
      <c r="E2533" s="21"/>
      <c r="F2533" s="21"/>
      <c r="G2533" s="21"/>
      <c r="H2533" s="21"/>
      <c r="I2533" s="21"/>
      <c r="J2533" s="21"/>
      <c r="K2533" s="21"/>
      <c r="L2533" s="35"/>
    </row>
    <row r="2534" spans="2:12" s="4" customFormat="1" ht="12.75" customHeight="1" outlineLevel="1" x14ac:dyDescent="0.4">
      <c r="B2534" s="28"/>
      <c r="C2534" s="29"/>
      <c r="D2534" s="29"/>
      <c r="E2534" s="29"/>
      <c r="F2534" s="29"/>
      <c r="G2534" s="29"/>
      <c r="H2534" s="29"/>
      <c r="I2534" s="29"/>
      <c r="J2534" s="29"/>
      <c r="K2534" s="29"/>
      <c r="L2534" s="60"/>
    </row>
    <row r="2535" spans="2:12" s="4" customFormat="1" ht="3" customHeight="1" x14ac:dyDescent="0.4"/>
    <row r="2536" spans="2:12" s="4" customFormat="1" ht="8.4" hidden="1" customHeight="1" x14ac:dyDescent="0.4"/>
    <row r="2537" spans="2:12" s="1" customFormat="1" ht="11.1" hidden="1" customHeight="1" x14ac:dyDescent="0.35">
      <c r="B2537" s="2"/>
      <c r="C2537" s="3"/>
      <c r="E2537" s="2"/>
    </row>
    <row r="2538" spans="2:12" s="4" customFormat="1" ht="15.9" hidden="1" customHeight="1" x14ac:dyDescent="0.4"/>
    <row r="2539" spans="2:12" s="4" customFormat="1" ht="15.9" hidden="1" customHeight="1" x14ac:dyDescent="0.4"/>
    <row r="2540" spans="2:12" s="4" customFormat="1" ht="15.9" hidden="1" customHeight="1" x14ac:dyDescent="0.4"/>
    <row r="2541" spans="2:12" s="4" customFormat="1" hidden="1" x14ac:dyDescent="0.4"/>
    <row r="2542" spans="2:12" s="4" customFormat="1" ht="15.9" hidden="1" customHeight="1" x14ac:dyDescent="0.4"/>
    <row r="2543" spans="2:12" s="4" customFormat="1" ht="15.9" hidden="1" customHeight="1" x14ac:dyDescent="0.4"/>
    <row r="2544" spans="2:12" s="4" customFormat="1" hidden="1" x14ac:dyDescent="0.4"/>
    <row r="2545" spans="2:12" s="1" customFormat="1" ht="11.1" hidden="1" customHeight="1" x14ac:dyDescent="0.35">
      <c r="B2545" s="2"/>
      <c r="C2545" s="3"/>
      <c r="E2545" s="2"/>
    </row>
    <row r="2546" spans="2:12" s="4" customFormat="1" ht="15.9" hidden="1" customHeight="1" x14ac:dyDescent="0.4"/>
    <row r="2547" spans="2:12" s="4" customFormat="1" ht="15.9" hidden="1" customHeight="1" x14ac:dyDescent="0.4"/>
    <row r="2548" spans="2:12" s="4" customFormat="1" ht="15.9" hidden="1" customHeight="1" x14ac:dyDescent="0.4"/>
    <row r="2549" spans="2:12" s="4" customFormat="1" hidden="1" x14ac:dyDescent="0.4"/>
    <row r="2550" spans="2:12" s="4" customFormat="1" hidden="1" x14ac:dyDescent="0.4"/>
    <row r="2551" spans="2:12" s="4" customFormat="1" hidden="1" x14ac:dyDescent="0.4"/>
    <row r="2552" spans="2:12" s="4" customFormat="1" hidden="1" x14ac:dyDescent="0.4"/>
    <row r="2553" spans="2:12" s="4" customFormat="1" hidden="1" x14ac:dyDescent="0.4"/>
    <row r="2554" spans="2:12" s="4" customFormat="1" hidden="1" x14ac:dyDescent="0.4"/>
    <row r="2555" spans="2:12" s="4" customFormat="1" hidden="1" x14ac:dyDescent="0.4"/>
    <row r="2556" spans="2:12" s="4" customFormat="1" hidden="1" x14ac:dyDescent="0.4"/>
    <row r="2557" spans="2:12" s="4" customFormat="1" x14ac:dyDescent="0.4"/>
    <row r="2558" spans="2:12" s="4" customFormat="1" ht="19.2" x14ac:dyDescent="0.45">
      <c r="B2558" s="754" t="str">
        <f>"Transport to Plant"&amp;" - "&amp;Feedstocks!C71</f>
        <v xml:space="preserve">Transport to Plant - </v>
      </c>
      <c r="C2558" s="755"/>
      <c r="D2558" s="755"/>
      <c r="E2558" s="755"/>
      <c r="F2558" s="755"/>
      <c r="G2558" s="755"/>
      <c r="H2558" s="755"/>
      <c r="I2558" s="755"/>
      <c r="J2558" s="755"/>
      <c r="K2558" s="755"/>
      <c r="L2558" s="756"/>
    </row>
    <row r="2559" spans="2:12" s="4" customFormat="1" outlineLevel="1" x14ac:dyDescent="0.4">
      <c r="B2559" s="17"/>
      <c r="C2559" s="18"/>
      <c r="D2559" s="19"/>
      <c r="E2559" s="19"/>
      <c r="F2559" s="19"/>
      <c r="G2559" s="19"/>
      <c r="H2559" s="19"/>
      <c r="I2559" s="19"/>
      <c r="J2559" s="19"/>
      <c r="K2559" s="19"/>
      <c r="L2559" s="50"/>
    </row>
    <row r="2560" spans="2:12" s="4" customFormat="1" outlineLevel="1" x14ac:dyDescent="0.4">
      <c r="B2560" s="20"/>
      <c r="C2560" s="174" t="s">
        <v>87</v>
      </c>
      <c r="D2560" s="778" t="str">
        <f>IF(Feedstocks!$C$71&gt;0,Feedstocks!$C$71,"")</f>
        <v/>
      </c>
      <c r="E2560" s="778"/>
      <c r="F2560" s="778"/>
      <c r="G2560" s="1"/>
      <c r="H2560" s="303" t="s">
        <v>122</v>
      </c>
      <c r="I2560" s="47"/>
      <c r="J2560" s="47"/>
      <c r="K2560" s="61"/>
      <c r="L2560" s="35"/>
    </row>
    <row r="2561" spans="2:12" s="4" customFormat="1" outlineLevel="1" x14ac:dyDescent="0.4">
      <c r="B2561" s="20"/>
      <c r="C2561" s="1"/>
      <c r="D2561" s="1"/>
      <c r="E2561" s="1"/>
      <c r="F2561" s="1"/>
      <c r="G2561" s="76"/>
      <c r="H2561" s="43"/>
      <c r="I2561" s="36"/>
      <c r="J2561" s="164" t="s">
        <v>124</v>
      </c>
      <c r="K2561" s="44"/>
      <c r="L2561" s="35"/>
    </row>
    <row r="2562" spans="2:12" s="12" customFormat="1" ht="15" outlineLevel="1" x14ac:dyDescent="0.35">
      <c r="B2562" s="20"/>
      <c r="C2562" s="1"/>
      <c r="D2562" s="1"/>
      <c r="E2562" s="1"/>
      <c r="F2562" s="1"/>
      <c r="G2562" s="1"/>
      <c r="H2562" s="43"/>
      <c r="I2562" s="164" t="s">
        <v>125</v>
      </c>
      <c r="J2562" s="52" t="str">
        <f>IFERROR((J2565/(('Digestion &amp; outputs'!$G$70/1000)))*'Digestion &amp; outputs'!$K$23,"")</f>
        <v/>
      </c>
      <c r="K2562" s="44"/>
      <c r="L2562" s="54"/>
    </row>
    <row r="2563" spans="2:12" s="4" customFormat="1" outlineLevel="1" x14ac:dyDescent="0.4">
      <c r="B2563" s="20"/>
      <c r="C2563" s="164" t="s">
        <v>163</v>
      </c>
      <c r="D2563" s="134" t="s">
        <v>164</v>
      </c>
      <c r="E2563" s="1"/>
      <c r="F2563" s="1"/>
      <c r="G2563" s="1"/>
      <c r="H2563" s="41"/>
      <c r="I2563" s="34"/>
      <c r="J2563" s="34"/>
      <c r="K2563" s="37"/>
      <c r="L2563" s="35"/>
    </row>
    <row r="2564" spans="2:12" s="4" customFormat="1" outlineLevel="1" x14ac:dyDescent="0.4">
      <c r="B2564" s="20"/>
      <c r="C2564" s="164" t="s">
        <v>165</v>
      </c>
      <c r="D2564" s="143"/>
      <c r="E2564" s="1"/>
      <c r="F2564" s="1"/>
      <c r="G2564" s="1"/>
      <c r="H2564" s="41"/>
      <c r="I2564" s="36"/>
      <c r="J2564" s="164" t="s">
        <v>141</v>
      </c>
      <c r="K2564" s="37"/>
      <c r="L2564" s="35"/>
    </row>
    <row r="2565" spans="2:12" s="4" customFormat="1" outlineLevel="1" x14ac:dyDescent="0.4">
      <c r="B2565" s="20"/>
      <c r="C2565" s="164" t="s">
        <v>160</v>
      </c>
      <c r="D2565" s="134" t="s">
        <v>166</v>
      </c>
      <c r="E2565" s="1"/>
      <c r="F2565" s="1"/>
      <c r="G2565" s="1"/>
      <c r="H2565" s="42"/>
      <c r="I2565" s="164" t="s">
        <v>167</v>
      </c>
      <c r="J2565" s="52">
        <f>IFERROR(J2570,"Insert data")</f>
        <v>0</v>
      </c>
      <c r="K2565" s="62"/>
      <c r="L2565" s="35"/>
    </row>
    <row r="2566" spans="2:12" s="4" customFormat="1" outlineLevel="1" x14ac:dyDescent="0.4">
      <c r="B2566" s="20"/>
      <c r="C2566" s="21"/>
      <c r="D2566" s="21"/>
      <c r="E2566" s="21"/>
      <c r="F2566" s="21"/>
      <c r="G2566" s="21"/>
      <c r="H2566" s="46"/>
      <c r="I2566" s="58"/>
      <c r="J2566" s="58"/>
      <c r="K2566" s="59"/>
      <c r="L2566" s="35"/>
    </row>
    <row r="2567" spans="2:12" s="4" customFormat="1" outlineLevel="1" x14ac:dyDescent="0.4">
      <c r="B2567" s="20"/>
      <c r="C2567" s="25" t="s">
        <v>168</v>
      </c>
      <c r="D2567" s="21"/>
      <c r="E2567" s="21"/>
      <c r="F2567" s="21"/>
      <c r="G2567" s="21"/>
      <c r="H2567" s="21"/>
      <c r="I2567" s="21"/>
      <c r="J2567" s="21"/>
      <c r="K2567" s="21"/>
      <c r="L2567" s="35"/>
    </row>
    <row r="2568" spans="2:12" s="14" customFormat="1" ht="30.6" outlineLevel="1" x14ac:dyDescent="0.4">
      <c r="B2568" s="23"/>
      <c r="C2568" s="166" t="s">
        <v>131</v>
      </c>
      <c r="D2568" s="166" t="s">
        <v>169</v>
      </c>
      <c r="E2568" s="166" t="s">
        <v>170</v>
      </c>
      <c r="F2568" s="166" t="s">
        <v>171</v>
      </c>
      <c r="G2568" s="24"/>
      <c r="H2568" s="303" t="s">
        <v>136</v>
      </c>
      <c r="I2568" s="47"/>
      <c r="J2568" s="47"/>
      <c r="K2568" s="45"/>
      <c r="L2568" s="63"/>
    </row>
    <row r="2569" spans="2:12" s="4" customFormat="1" outlineLevel="1" x14ac:dyDescent="0.4">
      <c r="B2569" s="20"/>
      <c r="C2569" s="138" t="s">
        <v>96</v>
      </c>
      <c r="D2569" s="93">
        <v>1</v>
      </c>
      <c r="E2569" s="135"/>
      <c r="F2569" s="31">
        <f>IFERROR(IF(OR(C2569="Default",D2563="No transport required"),D2569,IF(ISBLANK(E2569),"Insert data",E2569)),"")</f>
        <v>1</v>
      </c>
      <c r="G2569" s="21"/>
      <c r="H2569" s="41"/>
      <c r="I2569" s="36"/>
      <c r="J2569" s="164" t="s">
        <v>141</v>
      </c>
      <c r="K2569" s="37"/>
      <c r="L2569" s="35"/>
    </row>
    <row r="2570" spans="2:12" s="4" customFormat="1" outlineLevel="1" x14ac:dyDescent="0.4">
      <c r="B2570" s="20"/>
      <c r="C2570" s="21"/>
      <c r="D2570" s="21"/>
      <c r="E2570" s="692" t="str">
        <f>IF(E2569&gt;1, "this should not be greater than 1", "")</f>
        <v/>
      </c>
      <c r="F2570" s="21"/>
      <c r="G2570" s="21"/>
      <c r="H2570" s="42"/>
      <c r="I2570" s="164" t="s">
        <v>172</v>
      </c>
      <c r="J2570" s="52">
        <f>IF(D2563="No transport required",0,IFERROR(E2573*INDEX(Fuel_EFs,MATCH(D2565,Fuels_for_EF,0))*D2564/1000,"Insert data"))</f>
        <v>0</v>
      </c>
      <c r="K2570" s="62"/>
      <c r="L2570" s="35"/>
    </row>
    <row r="2571" spans="2:12" s="4" customFormat="1" outlineLevel="1" x14ac:dyDescent="0.4">
      <c r="B2571" s="20"/>
      <c r="C2571" s="25" t="s">
        <v>173</v>
      </c>
      <c r="D2571" s="21"/>
      <c r="E2571" s="21"/>
      <c r="F2571" s="21"/>
      <c r="G2571" s="21"/>
      <c r="H2571" s="46"/>
      <c r="I2571" s="58"/>
      <c r="J2571" s="58"/>
      <c r="K2571" s="59"/>
      <c r="L2571" s="35"/>
    </row>
    <row r="2572" spans="2:12" s="14" customFormat="1" outlineLevel="1" x14ac:dyDescent="0.4">
      <c r="B2572" s="23"/>
      <c r="C2572" s="176" t="s">
        <v>174</v>
      </c>
      <c r="D2572" s="166" t="s">
        <v>175</v>
      </c>
      <c r="E2572" s="166" t="s">
        <v>176</v>
      </c>
      <c r="F2572" s="24"/>
      <c r="G2572" s="24"/>
      <c r="H2572" s="4"/>
      <c r="I2572" s="4"/>
      <c r="J2572" s="4"/>
      <c r="K2572" s="4"/>
      <c r="L2572" s="63"/>
    </row>
    <row r="2573" spans="2:12" s="4" customFormat="1" outlineLevel="1" x14ac:dyDescent="0.4">
      <c r="B2573" s="20"/>
      <c r="C2573" s="138" t="s">
        <v>96</v>
      </c>
      <c r="D2573" s="93">
        <f>IFERROR(INDEX(Transport_Fuel_Efficiencies,MATCH(D2563,Transport_Modes,0)),"Insert data")</f>
        <v>0</v>
      </c>
      <c r="E2573" s="31">
        <f>IFERROR(IF(C2573="Default",D2573,IF(OR(ISBLANK(E2575),ISBLANK(D2579),ISBLANK(D2583)),"Insert data",(IF(C2579="litres",(D2579*(INDEX(Fuel_Densities,MATCH(D2565,Fuels_for_Densities,0))/1000)*INDEX(Fuel_LHV,MATCH(D2565,Fuels_for_LHV,0)))/(D2583*D2564),(IF(C2579="m3",(D2579*(INDEX(Fuel_Densities,MATCH(D2565,Fuels_for_Densities,0)))*INDEX(Fuel_LHV,MATCH(D2565,Fuels_for_LHV,0)))/(D2583*D2564),IF(C2579="kg",(D2579*INDEX(Fuel_LHV,MATCH(D2565,Fuels_for_LHV,0)))/(D2583*D2564),IF(C2579="tonnes",(D2579*INDEX(Fuel_LHV,MATCH(D2565,Fuels_for_LHV,0))*1000)/(D2583*D2564),IF(C2579="MWh",(D2579*'Reference values'!$D$47)/(D2583*D2564),IF(C2579="kWh",(D2579*'Reference values'!$D$47/1000)/(D2583*D2564),"Insert unit")))))))))),"")</f>
        <v>0</v>
      </c>
      <c r="F2573" s="21"/>
      <c r="G2573" s="21"/>
      <c r="L2573" s="35"/>
    </row>
    <row r="2574" spans="2:12" s="4" customFormat="1" outlineLevel="1" x14ac:dyDescent="0.4">
      <c r="B2574" s="20"/>
      <c r="C2574" s="21"/>
      <c r="D2574" s="21"/>
      <c r="E2574" s="21"/>
      <c r="F2574" s="21"/>
      <c r="G2574" s="21"/>
      <c r="H2574" s="21"/>
      <c r="I2574" s="21"/>
      <c r="J2574" s="21"/>
      <c r="K2574" s="21"/>
      <c r="L2574" s="35"/>
    </row>
    <row r="2575" spans="2:12" s="4" customFormat="1" ht="16.5" customHeight="1" outlineLevel="1" x14ac:dyDescent="0.4">
      <c r="B2575" s="20"/>
      <c r="C2575" s="759" t="s">
        <v>177</v>
      </c>
      <c r="D2575" s="759"/>
      <c r="E2575" s="135" t="s">
        <v>178</v>
      </c>
      <c r="F2575" s="21"/>
      <c r="G2575" s="21"/>
      <c r="L2575" s="35"/>
    </row>
    <row r="2576" spans="2:12" s="4" customFormat="1" ht="12.75" customHeight="1" outlineLevel="1" x14ac:dyDescent="0.4">
      <c r="B2576" s="20"/>
      <c r="C2576" s="21"/>
      <c r="D2576" s="21"/>
      <c r="E2576" s="21"/>
      <c r="F2576" s="21"/>
      <c r="G2576" s="21"/>
      <c r="L2576" s="35"/>
    </row>
    <row r="2577" spans="2:12" s="4" customFormat="1" outlineLevel="1" x14ac:dyDescent="0.4">
      <c r="B2577" s="20"/>
      <c r="C2577" s="25" t="str">
        <f>IF(E2575="yes", "Fuel demand for outward journey",IF(E2575="No","Fuel demand for full journey (outward and return)",""))</f>
        <v>Fuel demand for full journey (outward and return)</v>
      </c>
      <c r="D2577" s="21"/>
      <c r="E2577" s="21"/>
      <c r="F2577" s="21"/>
      <c r="G2577" s="21"/>
      <c r="H2577" s="21"/>
      <c r="I2577" s="21"/>
      <c r="J2577" s="21"/>
      <c r="K2577" s="21"/>
      <c r="L2577" s="35"/>
    </row>
    <row r="2578" spans="2:12" s="4" customFormat="1" outlineLevel="1" x14ac:dyDescent="0.4">
      <c r="B2578" s="20"/>
      <c r="C2578" s="164" t="s">
        <v>151</v>
      </c>
      <c r="D2578" s="164" t="s">
        <v>140</v>
      </c>
      <c r="E2578" s="21"/>
      <c r="F2578" s="21"/>
      <c r="G2578" s="21"/>
      <c r="H2578" s="21"/>
      <c r="I2578" s="21"/>
      <c r="J2578" s="21"/>
      <c r="K2578" s="21"/>
      <c r="L2578" s="35"/>
    </row>
    <row r="2579" spans="2:12" s="4" customFormat="1" outlineLevel="1" x14ac:dyDescent="0.4">
      <c r="B2579" s="20"/>
      <c r="C2579" s="138"/>
      <c r="D2579" s="135"/>
      <c r="E2579" s="21"/>
      <c r="F2579" s="21"/>
      <c r="G2579" s="21"/>
      <c r="H2579" s="21"/>
      <c r="I2579" s="21"/>
      <c r="J2579" s="21"/>
      <c r="K2579" s="21"/>
      <c r="L2579" s="35"/>
    </row>
    <row r="2580" spans="2:12" s="4" customFormat="1" outlineLevel="1" x14ac:dyDescent="0.4">
      <c r="B2580" s="20"/>
      <c r="C2580" s="21"/>
      <c r="D2580" s="21"/>
      <c r="E2580" s="21"/>
      <c r="F2580" s="21"/>
      <c r="G2580" s="21"/>
      <c r="H2580" s="21"/>
      <c r="I2580" s="21"/>
      <c r="J2580" s="21"/>
      <c r="K2580" s="21"/>
      <c r="L2580" s="35"/>
    </row>
    <row r="2581" spans="2:12" s="4" customFormat="1" outlineLevel="1" x14ac:dyDescent="0.4">
      <c r="B2581" s="20"/>
      <c r="C2581" s="25" t="s">
        <v>180</v>
      </c>
      <c r="D2581" s="21"/>
      <c r="E2581" s="21"/>
      <c r="F2581" s="21"/>
      <c r="G2581" s="21"/>
      <c r="H2581" s="21"/>
      <c r="I2581" s="21"/>
      <c r="J2581" s="21"/>
      <c r="K2581" s="21"/>
      <c r="L2581" s="35"/>
    </row>
    <row r="2582" spans="2:12" s="4" customFormat="1" outlineLevel="1" x14ac:dyDescent="0.4">
      <c r="B2582" s="20"/>
      <c r="C2582" s="164" t="s">
        <v>151</v>
      </c>
      <c r="D2582" s="164" t="s">
        <v>140</v>
      </c>
      <c r="E2582" s="21"/>
      <c r="F2582" s="21"/>
      <c r="G2582" s="21"/>
      <c r="H2582" s="21"/>
      <c r="I2582" s="21"/>
      <c r="J2582" s="21"/>
      <c r="K2582" s="21"/>
      <c r="L2582" s="35"/>
    </row>
    <row r="2583" spans="2:12" s="4" customFormat="1" outlineLevel="1" x14ac:dyDescent="0.4">
      <c r="B2583" s="20"/>
      <c r="C2583" s="138"/>
      <c r="D2583" s="135"/>
      <c r="E2583" s="21"/>
      <c r="F2583" s="21"/>
      <c r="G2583" s="21"/>
      <c r="H2583" s="21"/>
      <c r="I2583" s="21"/>
      <c r="J2583" s="21"/>
      <c r="K2583" s="21"/>
      <c r="L2583" s="35"/>
    </row>
    <row r="2584" spans="2:12" s="4" customFormat="1" ht="12.75" customHeight="1" outlineLevel="1" x14ac:dyDescent="0.4">
      <c r="B2584" s="28"/>
      <c r="C2584" s="29"/>
      <c r="D2584" s="29"/>
      <c r="E2584" s="29"/>
      <c r="F2584" s="29"/>
      <c r="G2584" s="29"/>
      <c r="H2584" s="29"/>
      <c r="I2584" s="29"/>
      <c r="J2584" s="29"/>
      <c r="K2584" s="29"/>
      <c r="L2584" s="60"/>
    </row>
    <row r="2585" spans="2:12" s="4" customFormat="1" ht="3" customHeight="1" x14ac:dyDescent="0.4"/>
    <row r="2586" spans="2:12" s="4" customFormat="1" ht="8.4" hidden="1" customHeight="1" x14ac:dyDescent="0.4"/>
    <row r="2587" spans="2:12" s="1" customFormat="1" ht="11.1" hidden="1" customHeight="1" x14ac:dyDescent="0.35">
      <c r="B2587" s="2"/>
      <c r="C2587" s="3"/>
      <c r="E2587" s="2"/>
    </row>
    <row r="2588" spans="2:12" s="4" customFormat="1" ht="15.9" hidden="1" customHeight="1" x14ac:dyDescent="0.4"/>
    <row r="2589" spans="2:12" s="4" customFormat="1" ht="15.9" hidden="1" customHeight="1" x14ac:dyDescent="0.4"/>
    <row r="2590" spans="2:12" s="4" customFormat="1" ht="15.9" hidden="1" customHeight="1" x14ac:dyDescent="0.4"/>
    <row r="2591" spans="2:12" s="4" customFormat="1" hidden="1" x14ac:dyDescent="0.4"/>
    <row r="2592" spans="2:12" s="4" customFormat="1" ht="15.9" hidden="1" customHeight="1" x14ac:dyDescent="0.4"/>
    <row r="2593" spans="2:12" s="4" customFormat="1" ht="15.9" hidden="1" customHeight="1" x14ac:dyDescent="0.4"/>
    <row r="2594" spans="2:12" s="4" customFormat="1" hidden="1" x14ac:dyDescent="0.4"/>
    <row r="2595" spans="2:12" s="1" customFormat="1" ht="11.1" hidden="1" customHeight="1" x14ac:dyDescent="0.35">
      <c r="B2595" s="2"/>
      <c r="C2595" s="3"/>
      <c r="E2595" s="2"/>
    </row>
    <row r="2596" spans="2:12" s="4" customFormat="1" ht="15.9" hidden="1" customHeight="1" x14ac:dyDescent="0.4"/>
    <row r="2597" spans="2:12" s="4" customFormat="1" ht="15.9" hidden="1" customHeight="1" x14ac:dyDescent="0.4"/>
    <row r="2598" spans="2:12" s="4" customFormat="1" ht="15.9" hidden="1" customHeight="1" x14ac:dyDescent="0.4"/>
    <row r="2599" spans="2:12" s="4" customFormat="1" hidden="1" x14ac:dyDescent="0.4"/>
    <row r="2600" spans="2:12" s="4" customFormat="1" hidden="1" x14ac:dyDescent="0.4"/>
    <row r="2601" spans="2:12" s="4" customFormat="1" hidden="1" x14ac:dyDescent="0.4"/>
    <row r="2602" spans="2:12" s="4" customFormat="1" hidden="1" x14ac:dyDescent="0.4"/>
    <row r="2603" spans="2:12" s="4" customFormat="1" hidden="1" x14ac:dyDescent="0.4"/>
    <row r="2604" spans="2:12" s="4" customFormat="1" hidden="1" x14ac:dyDescent="0.4"/>
    <row r="2605" spans="2:12" s="4" customFormat="1" hidden="1" x14ac:dyDescent="0.4"/>
    <row r="2606" spans="2:12" s="4" customFormat="1" hidden="1" x14ac:dyDescent="0.4"/>
    <row r="2607" spans="2:12" s="4" customFormat="1" x14ac:dyDescent="0.4"/>
    <row r="2608" spans="2:12" s="4" customFormat="1" ht="19.2" x14ac:dyDescent="0.45">
      <c r="B2608" s="754" t="str">
        <f>"Transport to Plant"&amp;" - "&amp;Feedstocks!C72</f>
        <v xml:space="preserve">Transport to Plant - </v>
      </c>
      <c r="C2608" s="755"/>
      <c r="D2608" s="755"/>
      <c r="E2608" s="755"/>
      <c r="F2608" s="755"/>
      <c r="G2608" s="755"/>
      <c r="H2608" s="755"/>
      <c r="I2608" s="755"/>
      <c r="J2608" s="755"/>
      <c r="K2608" s="755"/>
      <c r="L2608" s="756"/>
    </row>
    <row r="2609" spans="2:12" s="4" customFormat="1" outlineLevel="1" x14ac:dyDescent="0.4">
      <c r="B2609" s="17"/>
      <c r="C2609" s="18"/>
      <c r="D2609" s="19"/>
      <c r="E2609" s="19"/>
      <c r="F2609" s="19"/>
      <c r="G2609" s="19"/>
      <c r="H2609" s="19"/>
      <c r="I2609" s="19"/>
      <c r="J2609" s="19"/>
      <c r="K2609" s="19"/>
      <c r="L2609" s="50"/>
    </row>
    <row r="2610" spans="2:12" s="4" customFormat="1" outlineLevel="1" x14ac:dyDescent="0.4">
      <c r="B2610" s="20"/>
      <c r="C2610" s="174" t="s">
        <v>87</v>
      </c>
      <c r="D2610" s="778" t="str">
        <f>IF(Feedstocks!$C$72&gt;0,Feedstocks!$C$72,"")</f>
        <v/>
      </c>
      <c r="E2610" s="778"/>
      <c r="F2610" s="778"/>
      <c r="G2610" s="1"/>
      <c r="H2610" s="303" t="s">
        <v>122</v>
      </c>
      <c r="I2610" s="47"/>
      <c r="J2610" s="47"/>
      <c r="K2610" s="61"/>
      <c r="L2610" s="35"/>
    </row>
    <row r="2611" spans="2:12" s="4" customFormat="1" outlineLevel="1" x14ac:dyDescent="0.4">
      <c r="B2611" s="20"/>
      <c r="C2611" s="1"/>
      <c r="D2611" s="1"/>
      <c r="E2611" s="1"/>
      <c r="F2611" s="1"/>
      <c r="G2611" s="76"/>
      <c r="H2611" s="43"/>
      <c r="I2611" s="36"/>
      <c r="J2611" s="164" t="s">
        <v>124</v>
      </c>
      <c r="K2611" s="44"/>
      <c r="L2611" s="35"/>
    </row>
    <row r="2612" spans="2:12" s="12" customFormat="1" ht="15" outlineLevel="1" x14ac:dyDescent="0.35">
      <c r="B2612" s="20"/>
      <c r="C2612" s="1"/>
      <c r="D2612" s="1"/>
      <c r="E2612" s="1"/>
      <c r="F2612" s="1"/>
      <c r="G2612" s="1"/>
      <c r="H2612" s="43"/>
      <c r="I2612" s="164" t="s">
        <v>125</v>
      </c>
      <c r="J2612" s="52" t="str">
        <f>IFERROR((J2615/(('Digestion &amp; outputs'!$G$71/1000)))*'Digestion &amp; outputs'!$K$23,"")</f>
        <v/>
      </c>
      <c r="K2612" s="44"/>
      <c r="L2612" s="54"/>
    </row>
    <row r="2613" spans="2:12" s="4" customFormat="1" outlineLevel="1" x14ac:dyDescent="0.4">
      <c r="B2613" s="20"/>
      <c r="C2613" s="164" t="s">
        <v>163</v>
      </c>
      <c r="D2613" s="134" t="s">
        <v>164</v>
      </c>
      <c r="E2613" s="1"/>
      <c r="F2613" s="1"/>
      <c r="G2613" s="1"/>
      <c r="H2613" s="41"/>
      <c r="I2613" s="34"/>
      <c r="J2613" s="34"/>
      <c r="K2613" s="37"/>
      <c r="L2613" s="35"/>
    </row>
    <row r="2614" spans="2:12" s="4" customFormat="1" outlineLevel="1" x14ac:dyDescent="0.4">
      <c r="B2614" s="20"/>
      <c r="C2614" s="164" t="s">
        <v>165</v>
      </c>
      <c r="D2614" s="143"/>
      <c r="E2614" s="1"/>
      <c r="F2614" s="1"/>
      <c r="G2614" s="1"/>
      <c r="H2614" s="41"/>
      <c r="I2614" s="36"/>
      <c r="J2614" s="164" t="s">
        <v>141</v>
      </c>
      <c r="K2614" s="37"/>
      <c r="L2614" s="35"/>
    </row>
    <row r="2615" spans="2:12" s="4" customFormat="1" outlineLevel="1" x14ac:dyDescent="0.4">
      <c r="B2615" s="20"/>
      <c r="C2615" s="164" t="s">
        <v>160</v>
      </c>
      <c r="D2615" s="134" t="s">
        <v>166</v>
      </c>
      <c r="E2615" s="1"/>
      <c r="F2615" s="1"/>
      <c r="G2615" s="1"/>
      <c r="H2615" s="42"/>
      <c r="I2615" s="164" t="s">
        <v>167</v>
      </c>
      <c r="J2615" s="52">
        <f>IFERROR(J2620,"Insert data")</f>
        <v>0</v>
      </c>
      <c r="K2615" s="62"/>
      <c r="L2615" s="35"/>
    </row>
    <row r="2616" spans="2:12" s="4" customFormat="1" outlineLevel="1" x14ac:dyDescent="0.4">
      <c r="B2616" s="20"/>
      <c r="C2616" s="21"/>
      <c r="D2616" s="21"/>
      <c r="E2616" s="21"/>
      <c r="F2616" s="21"/>
      <c r="G2616" s="21"/>
      <c r="H2616" s="46"/>
      <c r="I2616" s="58"/>
      <c r="J2616" s="58"/>
      <c r="K2616" s="59"/>
      <c r="L2616" s="35"/>
    </row>
    <row r="2617" spans="2:12" s="4" customFormat="1" outlineLevel="1" x14ac:dyDescent="0.4">
      <c r="B2617" s="20"/>
      <c r="C2617" s="25" t="s">
        <v>168</v>
      </c>
      <c r="D2617" s="21"/>
      <c r="E2617" s="21"/>
      <c r="F2617" s="21"/>
      <c r="G2617" s="21"/>
      <c r="H2617" s="21"/>
      <c r="I2617" s="21"/>
      <c r="J2617" s="21"/>
      <c r="K2617" s="21"/>
      <c r="L2617" s="35"/>
    </row>
    <row r="2618" spans="2:12" s="14" customFormat="1" ht="30.6" outlineLevel="1" x14ac:dyDescent="0.4">
      <c r="B2618" s="23"/>
      <c r="C2618" s="166" t="s">
        <v>131</v>
      </c>
      <c r="D2618" s="166" t="s">
        <v>169</v>
      </c>
      <c r="E2618" s="166" t="s">
        <v>170</v>
      </c>
      <c r="F2618" s="166" t="s">
        <v>171</v>
      </c>
      <c r="G2618" s="24"/>
      <c r="H2618" s="303" t="s">
        <v>136</v>
      </c>
      <c r="I2618" s="47"/>
      <c r="J2618" s="47"/>
      <c r="K2618" s="45"/>
      <c r="L2618" s="63"/>
    </row>
    <row r="2619" spans="2:12" s="4" customFormat="1" outlineLevel="1" x14ac:dyDescent="0.4">
      <c r="B2619" s="20"/>
      <c r="C2619" s="138" t="s">
        <v>96</v>
      </c>
      <c r="D2619" s="93">
        <v>1</v>
      </c>
      <c r="E2619" s="135"/>
      <c r="F2619" s="31">
        <f>IFERROR(IF(OR(C2619="Default",D2613="No transport required"),D2619,IF(ISBLANK(E2619),"Insert data",E2619)),"")</f>
        <v>1</v>
      </c>
      <c r="G2619" s="21"/>
      <c r="H2619" s="41"/>
      <c r="I2619" s="36"/>
      <c r="J2619" s="164" t="s">
        <v>141</v>
      </c>
      <c r="K2619" s="37"/>
      <c r="L2619" s="35"/>
    </row>
    <row r="2620" spans="2:12" s="4" customFormat="1" outlineLevel="1" x14ac:dyDescent="0.4">
      <c r="B2620" s="20"/>
      <c r="C2620" s="21"/>
      <c r="D2620" s="21"/>
      <c r="E2620" s="692" t="str">
        <f>IF(E2619&gt;1, "this should not be greater than 1", "")</f>
        <v/>
      </c>
      <c r="F2620" s="21"/>
      <c r="G2620" s="21"/>
      <c r="H2620" s="42"/>
      <c r="I2620" s="164" t="s">
        <v>172</v>
      </c>
      <c r="J2620" s="52">
        <f>IF(D2613="No transport required",0,IFERROR(E2623*INDEX(Fuel_EFs,MATCH(D2615,Fuels_for_EF,0))*D2614/1000,"Insert data"))</f>
        <v>0</v>
      </c>
      <c r="K2620" s="62"/>
      <c r="L2620" s="35"/>
    </row>
    <row r="2621" spans="2:12" s="4" customFormat="1" outlineLevel="1" x14ac:dyDescent="0.4">
      <c r="B2621" s="20"/>
      <c r="C2621" s="25" t="s">
        <v>173</v>
      </c>
      <c r="D2621" s="21"/>
      <c r="E2621" s="21"/>
      <c r="F2621" s="21"/>
      <c r="G2621" s="21"/>
      <c r="H2621" s="46"/>
      <c r="I2621" s="58"/>
      <c r="J2621" s="58"/>
      <c r="K2621" s="59"/>
      <c r="L2621" s="35"/>
    </row>
    <row r="2622" spans="2:12" s="14" customFormat="1" outlineLevel="1" x14ac:dyDescent="0.4">
      <c r="B2622" s="23"/>
      <c r="C2622" s="176" t="s">
        <v>174</v>
      </c>
      <c r="D2622" s="166" t="s">
        <v>175</v>
      </c>
      <c r="E2622" s="166" t="s">
        <v>176</v>
      </c>
      <c r="F2622" s="24"/>
      <c r="G2622" s="24"/>
      <c r="H2622" s="4"/>
      <c r="I2622" s="4"/>
      <c r="J2622" s="4"/>
      <c r="K2622" s="4"/>
      <c r="L2622" s="63"/>
    </row>
    <row r="2623" spans="2:12" s="4" customFormat="1" outlineLevel="1" x14ac:dyDescent="0.4">
      <c r="B2623" s="20"/>
      <c r="C2623" s="138" t="s">
        <v>96</v>
      </c>
      <c r="D2623" s="93">
        <f>IFERROR(INDEX(Transport_Fuel_Efficiencies,MATCH(D2613,Transport_Modes,0)),"Insert data")</f>
        <v>0</v>
      </c>
      <c r="E2623" s="31">
        <f>IFERROR(IF(C2623="Default",D2623,IF(OR(ISBLANK(E2625),ISBLANK(D2629),ISBLANK(D2633)),"Insert data",(IF(C2629="litres",(D2629*(INDEX(Fuel_Densities,MATCH(D2615,Fuels_for_Densities,0))/1000)*INDEX(Fuel_LHV,MATCH(D2615,Fuels_for_LHV,0)))/(D2633*D2614),(IF(C2629="m3",(D2629*(INDEX(Fuel_Densities,MATCH(D2615,Fuels_for_Densities,0)))*INDEX(Fuel_LHV,MATCH(D2615,Fuels_for_LHV,0)))/(D2633*D2614),IF(C2629="kg",(D2629*INDEX(Fuel_LHV,MATCH(D2615,Fuels_for_LHV,0)))/(D2633*D2614),IF(C2629="tonnes",(D2629*INDEX(Fuel_LHV,MATCH(D2615,Fuels_for_LHV,0))*1000)/(D2633*D2614),IF(C2629="MWh",(D2629*'Reference values'!$D$47)/(D2633*D2614),IF(C2629="kWh",(D2629*'Reference values'!$D$47/1000)/(D2633*D2614),"Insert unit")))))))))),"")</f>
        <v>0</v>
      </c>
      <c r="F2623" s="21"/>
      <c r="G2623" s="21"/>
      <c r="L2623" s="35"/>
    </row>
    <row r="2624" spans="2:12" s="4" customFormat="1" outlineLevel="1" x14ac:dyDescent="0.4">
      <c r="B2624" s="20"/>
      <c r="C2624" s="21"/>
      <c r="D2624" s="21"/>
      <c r="E2624" s="21"/>
      <c r="F2624" s="21"/>
      <c r="G2624" s="21"/>
      <c r="H2624" s="21"/>
      <c r="I2624" s="21"/>
      <c r="J2624" s="21"/>
      <c r="K2624" s="21"/>
      <c r="L2624" s="35"/>
    </row>
    <row r="2625" spans="2:12" s="4" customFormat="1" ht="16.5" customHeight="1" outlineLevel="1" x14ac:dyDescent="0.4">
      <c r="B2625" s="20"/>
      <c r="C2625" s="759" t="s">
        <v>177</v>
      </c>
      <c r="D2625" s="759"/>
      <c r="E2625" s="135" t="s">
        <v>178</v>
      </c>
      <c r="F2625" s="21"/>
      <c r="G2625" s="21"/>
      <c r="H2625" s="21"/>
      <c r="I2625" s="21"/>
      <c r="J2625" s="21"/>
      <c r="K2625" s="21"/>
      <c r="L2625" s="35"/>
    </row>
    <row r="2626" spans="2:12" s="4" customFormat="1" ht="12.75" customHeight="1" outlineLevel="1" x14ac:dyDescent="0.4">
      <c r="B2626" s="20"/>
      <c r="C2626" s="21"/>
      <c r="D2626" s="21"/>
      <c r="E2626" s="21"/>
      <c r="F2626" s="21"/>
      <c r="G2626" s="21"/>
      <c r="L2626" s="35"/>
    </row>
    <row r="2627" spans="2:12" s="4" customFormat="1" outlineLevel="1" x14ac:dyDescent="0.4">
      <c r="B2627" s="20"/>
      <c r="C2627" s="25" t="str">
        <f>IF(E2625="yes", "Fuel demand for outward journey",IF(E2625="No","Fuel demand for full journey (outward and return)",""))</f>
        <v>Fuel demand for full journey (outward and return)</v>
      </c>
      <c r="D2627" s="21"/>
      <c r="E2627" s="21"/>
      <c r="F2627" s="21"/>
      <c r="G2627" s="21"/>
      <c r="H2627" s="21"/>
      <c r="I2627" s="21"/>
      <c r="J2627" s="21"/>
      <c r="K2627" s="21"/>
      <c r="L2627" s="35"/>
    </row>
    <row r="2628" spans="2:12" s="4" customFormat="1" outlineLevel="1" x14ac:dyDescent="0.4">
      <c r="B2628" s="20"/>
      <c r="C2628" s="164" t="s">
        <v>151</v>
      </c>
      <c r="D2628" s="164" t="s">
        <v>140</v>
      </c>
      <c r="E2628" s="21"/>
      <c r="F2628" s="21"/>
      <c r="G2628" s="21"/>
      <c r="H2628" s="21"/>
      <c r="I2628" s="21"/>
      <c r="J2628" s="21"/>
      <c r="K2628" s="21"/>
      <c r="L2628" s="35"/>
    </row>
    <row r="2629" spans="2:12" s="4" customFormat="1" outlineLevel="1" x14ac:dyDescent="0.4">
      <c r="B2629" s="20"/>
      <c r="C2629" s="138"/>
      <c r="D2629" s="135"/>
      <c r="E2629" s="21"/>
      <c r="F2629" s="21"/>
      <c r="G2629" s="21"/>
      <c r="H2629" s="21"/>
      <c r="I2629" s="21"/>
      <c r="J2629" s="21"/>
      <c r="K2629" s="21"/>
      <c r="L2629" s="35"/>
    </row>
    <row r="2630" spans="2:12" s="4" customFormat="1" outlineLevel="1" x14ac:dyDescent="0.4">
      <c r="B2630" s="20"/>
      <c r="C2630" s="21"/>
      <c r="D2630" s="21"/>
      <c r="E2630" s="21"/>
      <c r="F2630" s="21"/>
      <c r="G2630" s="21"/>
      <c r="H2630" s="21"/>
      <c r="I2630" s="21"/>
      <c r="J2630" s="21"/>
      <c r="K2630" s="21"/>
      <c r="L2630" s="35"/>
    </row>
    <row r="2631" spans="2:12" s="4" customFormat="1" outlineLevel="1" x14ac:dyDescent="0.4">
      <c r="B2631" s="20"/>
      <c r="C2631" s="25" t="s">
        <v>180</v>
      </c>
      <c r="D2631" s="21"/>
      <c r="E2631" s="21"/>
      <c r="F2631" s="21"/>
      <c r="G2631" s="21"/>
      <c r="H2631" s="21"/>
      <c r="I2631" s="21"/>
      <c r="J2631" s="21"/>
      <c r="K2631" s="21"/>
      <c r="L2631" s="35"/>
    </row>
    <row r="2632" spans="2:12" s="4" customFormat="1" outlineLevel="1" x14ac:dyDescent="0.4">
      <c r="B2632" s="20"/>
      <c r="C2632" s="164" t="s">
        <v>151</v>
      </c>
      <c r="D2632" s="164" t="s">
        <v>140</v>
      </c>
      <c r="E2632" s="21"/>
      <c r="F2632" s="21"/>
      <c r="G2632" s="21"/>
      <c r="H2632" s="21"/>
      <c r="I2632" s="21"/>
      <c r="J2632" s="21"/>
      <c r="K2632" s="21"/>
      <c r="L2632" s="35"/>
    </row>
    <row r="2633" spans="2:12" s="4" customFormat="1" outlineLevel="1" x14ac:dyDescent="0.4">
      <c r="B2633" s="20"/>
      <c r="C2633" s="138"/>
      <c r="D2633" s="135"/>
      <c r="E2633" s="21"/>
      <c r="F2633" s="21"/>
      <c r="G2633" s="21"/>
      <c r="H2633" s="21"/>
      <c r="I2633" s="21"/>
      <c r="J2633" s="21"/>
      <c r="K2633" s="21"/>
      <c r="L2633" s="35"/>
    </row>
    <row r="2634" spans="2:12" s="4" customFormat="1" ht="12.75" customHeight="1" outlineLevel="1" x14ac:dyDescent="0.4">
      <c r="B2634" s="28"/>
      <c r="C2634" s="29"/>
      <c r="D2634" s="29"/>
      <c r="E2634" s="29"/>
      <c r="F2634" s="29"/>
      <c r="G2634" s="29"/>
      <c r="H2634" s="29"/>
      <c r="I2634" s="29"/>
      <c r="J2634" s="29"/>
      <c r="K2634" s="29"/>
      <c r="L2634" s="60"/>
    </row>
    <row r="2635" spans="2:12" s="4" customFormat="1" ht="3" customHeight="1" x14ac:dyDescent="0.4"/>
    <row r="2636" spans="2:12" s="4" customFormat="1" ht="8.4" hidden="1" customHeight="1" x14ac:dyDescent="0.4"/>
    <row r="2637" spans="2:12" s="1" customFormat="1" ht="11.1" hidden="1" customHeight="1" x14ac:dyDescent="0.35">
      <c r="B2637" s="2"/>
      <c r="C2637" s="3"/>
      <c r="E2637" s="2"/>
    </row>
    <row r="2638" spans="2:12" s="4" customFormat="1" ht="15.9" hidden="1" customHeight="1" x14ac:dyDescent="0.4"/>
    <row r="2639" spans="2:12" s="4" customFormat="1" ht="15.9" hidden="1" customHeight="1" x14ac:dyDescent="0.4"/>
    <row r="2640" spans="2:12" s="4" customFormat="1" ht="15.9" hidden="1" customHeight="1" x14ac:dyDescent="0.4"/>
    <row r="2641" spans="2:5" s="4" customFormat="1" hidden="1" x14ac:dyDescent="0.4"/>
    <row r="2642" spans="2:5" s="4" customFormat="1" ht="15.9" hidden="1" customHeight="1" x14ac:dyDescent="0.4"/>
    <row r="2643" spans="2:5" s="4" customFormat="1" ht="15.9" hidden="1" customHeight="1" x14ac:dyDescent="0.4"/>
    <row r="2644" spans="2:5" s="4" customFormat="1" hidden="1" x14ac:dyDescent="0.4"/>
    <row r="2645" spans="2:5" s="1" customFormat="1" ht="11.1" hidden="1" customHeight="1" x14ac:dyDescent="0.35">
      <c r="B2645" s="2"/>
      <c r="C2645" s="3"/>
      <c r="E2645" s="2"/>
    </row>
    <row r="2646" spans="2:5" s="4" customFormat="1" ht="15.9" hidden="1" customHeight="1" x14ac:dyDescent="0.4"/>
    <row r="2647" spans="2:5" s="4" customFormat="1" ht="15.9" hidden="1" customHeight="1" x14ac:dyDescent="0.4"/>
    <row r="2648" spans="2:5" s="4" customFormat="1" ht="15.9" hidden="1" customHeight="1" x14ac:dyDescent="0.4"/>
    <row r="2649" spans="2:5" s="4" customFormat="1" hidden="1" x14ac:dyDescent="0.4"/>
    <row r="2650" spans="2:5" s="4" customFormat="1" hidden="1" x14ac:dyDescent="0.4"/>
    <row r="2651" spans="2:5" s="4" customFormat="1" hidden="1" x14ac:dyDescent="0.4"/>
    <row r="2652" spans="2:5" s="4" customFormat="1" hidden="1" x14ac:dyDescent="0.4"/>
    <row r="2653" spans="2:5" s="4" customFormat="1" hidden="1" x14ac:dyDescent="0.4"/>
    <row r="2654" spans="2:5" s="4" customFormat="1" hidden="1" x14ac:dyDescent="0.4"/>
    <row r="2655" spans="2:5" s="4" customFormat="1" hidden="1" x14ac:dyDescent="0.4"/>
    <row r="2656" spans="2:5" s="4" customFormat="1" hidden="1" x14ac:dyDescent="0.4"/>
    <row r="2657" spans="2:12" s="4" customFormat="1" x14ac:dyDescent="0.4"/>
    <row r="2658" spans="2:12" s="4" customFormat="1" ht="19.2" x14ac:dyDescent="0.45">
      <c r="B2658" s="754" t="str">
        <f>"Transport to Plant"&amp;" - "&amp;Feedstocks!C73</f>
        <v xml:space="preserve">Transport to Plant - </v>
      </c>
      <c r="C2658" s="755"/>
      <c r="D2658" s="755"/>
      <c r="E2658" s="755"/>
      <c r="F2658" s="755"/>
      <c r="G2658" s="755"/>
      <c r="H2658" s="755"/>
      <c r="I2658" s="755"/>
      <c r="J2658" s="755"/>
      <c r="K2658" s="755"/>
      <c r="L2658" s="756"/>
    </row>
    <row r="2659" spans="2:12" s="4" customFormat="1" outlineLevel="1" x14ac:dyDescent="0.4">
      <c r="B2659" s="17"/>
      <c r="C2659" s="18"/>
      <c r="D2659" s="19"/>
      <c r="E2659" s="19"/>
      <c r="F2659" s="19"/>
      <c r="G2659" s="19"/>
      <c r="H2659" s="19"/>
      <c r="I2659" s="19"/>
      <c r="J2659" s="19"/>
      <c r="K2659" s="19"/>
      <c r="L2659" s="50"/>
    </row>
    <row r="2660" spans="2:12" s="4" customFormat="1" outlineLevel="1" x14ac:dyDescent="0.4">
      <c r="B2660" s="20"/>
      <c r="C2660" s="174" t="s">
        <v>87</v>
      </c>
      <c r="D2660" s="778" t="str">
        <f>IF(Feedstocks!$C$73&gt;0,Feedstocks!$C$73,"")</f>
        <v/>
      </c>
      <c r="E2660" s="778"/>
      <c r="F2660" s="778"/>
      <c r="G2660" s="1"/>
      <c r="H2660" s="303" t="s">
        <v>122</v>
      </c>
      <c r="I2660" s="47"/>
      <c r="J2660" s="47"/>
      <c r="K2660" s="61"/>
      <c r="L2660" s="35"/>
    </row>
    <row r="2661" spans="2:12" s="4" customFormat="1" outlineLevel="1" x14ac:dyDescent="0.4">
      <c r="B2661" s="20"/>
      <c r="C2661" s="1"/>
      <c r="D2661" s="1"/>
      <c r="E2661" s="1"/>
      <c r="F2661" s="1"/>
      <c r="G2661" s="76"/>
      <c r="H2661" s="43"/>
      <c r="I2661" s="36"/>
      <c r="J2661" s="164" t="s">
        <v>124</v>
      </c>
      <c r="K2661" s="44"/>
      <c r="L2661" s="35"/>
    </row>
    <row r="2662" spans="2:12" s="12" customFormat="1" ht="15" outlineLevel="1" x14ac:dyDescent="0.35">
      <c r="B2662" s="20"/>
      <c r="C2662" s="1"/>
      <c r="D2662" s="1"/>
      <c r="E2662" s="1"/>
      <c r="F2662" s="1"/>
      <c r="G2662" s="1"/>
      <c r="H2662" s="43"/>
      <c r="I2662" s="164" t="s">
        <v>125</v>
      </c>
      <c r="J2662" s="52" t="str">
        <f>IFERROR((J2665/(('Digestion &amp; outputs'!$G$72/1000)))*'Digestion &amp; outputs'!$K$23,"")</f>
        <v/>
      </c>
      <c r="K2662" s="44"/>
      <c r="L2662" s="54"/>
    </row>
    <row r="2663" spans="2:12" s="4" customFormat="1" outlineLevel="1" x14ac:dyDescent="0.4">
      <c r="B2663" s="20"/>
      <c r="C2663" s="164" t="s">
        <v>163</v>
      </c>
      <c r="D2663" s="134" t="s">
        <v>164</v>
      </c>
      <c r="E2663" s="1"/>
      <c r="F2663" s="1"/>
      <c r="G2663" s="1"/>
      <c r="H2663" s="41"/>
      <c r="I2663" s="34"/>
      <c r="J2663" s="34"/>
      <c r="K2663" s="37"/>
      <c r="L2663" s="35"/>
    </row>
    <row r="2664" spans="2:12" s="4" customFormat="1" outlineLevel="1" x14ac:dyDescent="0.4">
      <c r="B2664" s="20"/>
      <c r="C2664" s="164" t="s">
        <v>165</v>
      </c>
      <c r="D2664" s="143"/>
      <c r="E2664" s="1"/>
      <c r="F2664" s="1"/>
      <c r="G2664" s="1"/>
      <c r="H2664" s="41"/>
      <c r="I2664" s="36"/>
      <c r="J2664" s="164" t="s">
        <v>141</v>
      </c>
      <c r="K2664" s="37"/>
      <c r="L2664" s="35"/>
    </row>
    <row r="2665" spans="2:12" s="4" customFormat="1" outlineLevel="1" x14ac:dyDescent="0.4">
      <c r="B2665" s="20"/>
      <c r="C2665" s="164" t="s">
        <v>160</v>
      </c>
      <c r="D2665" s="134" t="s">
        <v>166</v>
      </c>
      <c r="E2665" s="1"/>
      <c r="F2665" s="1"/>
      <c r="G2665" s="1"/>
      <c r="H2665" s="42"/>
      <c r="I2665" s="164" t="s">
        <v>167</v>
      </c>
      <c r="J2665" s="52">
        <f>IFERROR(J2670,"Insert data")</f>
        <v>0</v>
      </c>
      <c r="K2665" s="62"/>
      <c r="L2665" s="35"/>
    </row>
    <row r="2666" spans="2:12" s="4" customFormat="1" outlineLevel="1" x14ac:dyDescent="0.4">
      <c r="B2666" s="20"/>
      <c r="C2666" s="21"/>
      <c r="D2666" s="21"/>
      <c r="E2666" s="21"/>
      <c r="F2666" s="21"/>
      <c r="G2666" s="21"/>
      <c r="H2666" s="46"/>
      <c r="I2666" s="58"/>
      <c r="J2666" s="58"/>
      <c r="K2666" s="59"/>
      <c r="L2666" s="35"/>
    </row>
    <row r="2667" spans="2:12" s="4" customFormat="1" outlineLevel="1" x14ac:dyDescent="0.4">
      <c r="B2667" s="20"/>
      <c r="C2667" s="25" t="s">
        <v>168</v>
      </c>
      <c r="D2667" s="21"/>
      <c r="E2667" s="21"/>
      <c r="F2667" s="21"/>
      <c r="G2667" s="21"/>
      <c r="H2667" s="21"/>
      <c r="I2667" s="21"/>
      <c r="J2667" s="21"/>
      <c r="K2667" s="21"/>
      <c r="L2667" s="35"/>
    </row>
    <row r="2668" spans="2:12" s="14" customFormat="1" ht="30.6" outlineLevel="1" x14ac:dyDescent="0.4">
      <c r="B2668" s="23"/>
      <c r="C2668" s="166" t="s">
        <v>131</v>
      </c>
      <c r="D2668" s="166" t="s">
        <v>169</v>
      </c>
      <c r="E2668" s="166" t="s">
        <v>170</v>
      </c>
      <c r="F2668" s="166" t="s">
        <v>171</v>
      </c>
      <c r="G2668" s="24"/>
      <c r="H2668" s="303" t="s">
        <v>136</v>
      </c>
      <c r="I2668" s="47"/>
      <c r="J2668" s="47"/>
      <c r="K2668" s="45"/>
      <c r="L2668" s="63"/>
    </row>
    <row r="2669" spans="2:12" s="4" customFormat="1" outlineLevel="1" x14ac:dyDescent="0.4">
      <c r="B2669" s="20"/>
      <c r="C2669" s="138" t="s">
        <v>96</v>
      </c>
      <c r="D2669" s="93">
        <v>1</v>
      </c>
      <c r="E2669" s="135"/>
      <c r="F2669" s="31">
        <f>IFERROR(IF(OR(C2669="Default",D2663="No transport required"),D2669,IF(ISBLANK(E2669),"Insert data",E2669)),"")</f>
        <v>1</v>
      </c>
      <c r="G2669" s="21"/>
      <c r="H2669" s="41"/>
      <c r="I2669" s="36"/>
      <c r="J2669" s="164" t="s">
        <v>141</v>
      </c>
      <c r="K2669" s="37"/>
      <c r="L2669" s="35"/>
    </row>
    <row r="2670" spans="2:12" s="4" customFormat="1" outlineLevel="1" x14ac:dyDescent="0.4">
      <c r="B2670" s="20"/>
      <c r="C2670" s="21"/>
      <c r="D2670" s="21"/>
      <c r="E2670" s="692" t="str">
        <f>IF(E2669&gt;1, "this should not be greater than 1", "")</f>
        <v/>
      </c>
      <c r="F2670" s="21"/>
      <c r="G2670" s="21"/>
      <c r="H2670" s="42"/>
      <c r="I2670" s="164" t="s">
        <v>172</v>
      </c>
      <c r="J2670" s="52">
        <f>IF(D2663="No transport required",0,IFERROR(E2673*INDEX(Fuel_EFs,MATCH(D2665,Fuels_for_EF,0))*D2664/1000,"Insert data"))</f>
        <v>0</v>
      </c>
      <c r="K2670" s="62"/>
      <c r="L2670" s="35"/>
    </row>
    <row r="2671" spans="2:12" s="4" customFormat="1" outlineLevel="1" x14ac:dyDescent="0.4">
      <c r="B2671" s="20"/>
      <c r="C2671" s="25" t="s">
        <v>173</v>
      </c>
      <c r="D2671" s="21"/>
      <c r="E2671" s="21"/>
      <c r="F2671" s="21"/>
      <c r="G2671" s="21"/>
      <c r="H2671" s="46"/>
      <c r="I2671" s="58"/>
      <c r="J2671" s="58"/>
      <c r="K2671" s="59"/>
      <c r="L2671" s="35"/>
    </row>
    <row r="2672" spans="2:12" s="14" customFormat="1" outlineLevel="1" x14ac:dyDescent="0.4">
      <c r="B2672" s="23"/>
      <c r="C2672" s="176" t="s">
        <v>174</v>
      </c>
      <c r="D2672" s="166" t="s">
        <v>175</v>
      </c>
      <c r="E2672" s="166" t="s">
        <v>176</v>
      </c>
      <c r="F2672" s="24"/>
      <c r="G2672" s="24"/>
      <c r="H2672" s="4"/>
      <c r="I2672" s="4"/>
      <c r="J2672" s="4"/>
      <c r="K2672" s="4"/>
      <c r="L2672" s="63"/>
    </row>
    <row r="2673" spans="2:12" s="4" customFormat="1" outlineLevel="1" x14ac:dyDescent="0.4">
      <c r="B2673" s="20"/>
      <c r="C2673" s="138" t="s">
        <v>96</v>
      </c>
      <c r="D2673" s="93">
        <f>IFERROR(INDEX(Transport_Fuel_Efficiencies,MATCH(D2663,Transport_Modes,0)),"Insert data")</f>
        <v>0</v>
      </c>
      <c r="E2673" s="31">
        <f>IFERROR(IF(C2673="Default",D2673,IF(OR(ISBLANK(E2675),ISBLANK(D2679),ISBLANK(D2683)),"Insert data",(IF(C2679="litres",(D2679*(INDEX(Fuel_Densities,MATCH(D2665,Fuels_for_Densities,0))/1000)*INDEX(Fuel_LHV,MATCH(D2665,Fuels_for_LHV,0)))/(D2683*D2664),(IF(C2679="m3",(D2679*(INDEX(Fuel_Densities,MATCH(D2665,Fuels_for_Densities,0)))*INDEX(Fuel_LHV,MATCH(D2665,Fuels_for_LHV,0)))/(D2683*D2664),IF(C2679="kg",(D2679*INDEX(Fuel_LHV,MATCH(D2665,Fuels_for_LHV,0)))/(D2683*D2664),IF(C2679="tonnes",(D2679*INDEX(Fuel_LHV,MATCH(D2665,Fuels_for_LHV,0))*1000)/(D2683*D2664),IF(C2679="MWh",(D2679*'Reference values'!$D$47)/(D2683*D2664),IF(C2679="kWh",(D2679*'Reference values'!$D$47/1000)/(D2683*D2664),"Insert unit")))))))))),"")</f>
        <v>0</v>
      </c>
      <c r="F2673" s="21"/>
      <c r="G2673" s="21"/>
      <c r="L2673" s="35"/>
    </row>
    <row r="2674" spans="2:12" s="4" customFormat="1" outlineLevel="1" x14ac:dyDescent="0.4">
      <c r="B2674" s="20"/>
      <c r="C2674" s="21"/>
      <c r="D2674" s="21"/>
      <c r="E2674" s="21"/>
      <c r="F2674" s="21"/>
      <c r="G2674" s="21"/>
      <c r="H2674" s="21"/>
      <c r="I2674" s="21"/>
      <c r="J2674" s="21"/>
      <c r="K2674" s="21"/>
      <c r="L2674" s="35"/>
    </row>
    <row r="2675" spans="2:12" s="4" customFormat="1" ht="16.5" customHeight="1" outlineLevel="1" x14ac:dyDescent="0.4">
      <c r="B2675" s="20"/>
      <c r="C2675" s="759" t="s">
        <v>177</v>
      </c>
      <c r="D2675" s="759"/>
      <c r="E2675" s="135" t="s">
        <v>178</v>
      </c>
      <c r="F2675" s="21"/>
      <c r="G2675" s="21"/>
      <c r="H2675" s="21"/>
      <c r="I2675" s="21"/>
      <c r="J2675" s="21"/>
      <c r="K2675" s="21"/>
      <c r="L2675" s="35"/>
    </row>
    <row r="2676" spans="2:12" s="4" customFormat="1" ht="12.75" customHeight="1" outlineLevel="1" x14ac:dyDescent="0.4">
      <c r="B2676" s="20"/>
      <c r="C2676" s="21"/>
      <c r="D2676" s="21"/>
      <c r="E2676" s="21"/>
      <c r="F2676" s="21"/>
      <c r="G2676" s="21"/>
      <c r="L2676" s="35"/>
    </row>
    <row r="2677" spans="2:12" s="4" customFormat="1" outlineLevel="1" x14ac:dyDescent="0.4">
      <c r="B2677" s="20"/>
      <c r="C2677" s="25" t="str">
        <f>IF(E2675="yes", "Fuel demand for outward journey",IF(E2675="No","Fuel demand for full journey (outward and return)",""))</f>
        <v>Fuel demand for full journey (outward and return)</v>
      </c>
      <c r="D2677" s="21"/>
      <c r="E2677" s="21"/>
      <c r="F2677" s="21"/>
      <c r="G2677" s="21"/>
      <c r="H2677" s="21"/>
      <c r="I2677" s="21"/>
      <c r="J2677" s="21"/>
      <c r="K2677" s="21"/>
      <c r="L2677" s="35"/>
    </row>
    <row r="2678" spans="2:12" s="4" customFormat="1" outlineLevel="1" x14ac:dyDescent="0.4">
      <c r="B2678" s="20"/>
      <c r="C2678" s="164" t="s">
        <v>151</v>
      </c>
      <c r="D2678" s="164" t="s">
        <v>140</v>
      </c>
      <c r="E2678" s="21"/>
      <c r="F2678" s="21"/>
      <c r="G2678" s="21"/>
      <c r="H2678" s="21"/>
      <c r="I2678" s="21"/>
      <c r="J2678" s="21"/>
      <c r="K2678" s="21"/>
      <c r="L2678" s="35"/>
    </row>
    <row r="2679" spans="2:12" s="4" customFormat="1" outlineLevel="1" x14ac:dyDescent="0.4">
      <c r="B2679" s="20"/>
      <c r="C2679" s="138"/>
      <c r="D2679" s="135"/>
      <c r="E2679" s="21"/>
      <c r="F2679" s="21"/>
      <c r="G2679" s="21"/>
      <c r="H2679" s="21"/>
      <c r="I2679" s="21"/>
      <c r="J2679" s="21"/>
      <c r="K2679" s="21"/>
      <c r="L2679" s="35"/>
    </row>
    <row r="2680" spans="2:12" s="4" customFormat="1" outlineLevel="1" x14ac:dyDescent="0.4">
      <c r="B2680" s="20"/>
      <c r="C2680" s="21"/>
      <c r="D2680" s="21"/>
      <c r="E2680" s="21"/>
      <c r="F2680" s="21"/>
      <c r="G2680" s="21"/>
      <c r="H2680" s="21"/>
      <c r="I2680" s="21"/>
      <c r="J2680" s="21"/>
      <c r="K2680" s="21"/>
      <c r="L2680" s="35"/>
    </row>
    <row r="2681" spans="2:12" s="4" customFormat="1" outlineLevel="1" x14ac:dyDescent="0.4">
      <c r="B2681" s="20"/>
      <c r="C2681" s="25" t="s">
        <v>180</v>
      </c>
      <c r="D2681" s="21"/>
      <c r="E2681" s="21"/>
      <c r="F2681" s="21"/>
      <c r="G2681" s="21"/>
      <c r="H2681" s="21"/>
      <c r="I2681" s="21"/>
      <c r="J2681" s="21"/>
      <c r="K2681" s="21"/>
      <c r="L2681" s="35"/>
    </row>
    <row r="2682" spans="2:12" s="4" customFormat="1" outlineLevel="1" x14ac:dyDescent="0.4">
      <c r="B2682" s="20"/>
      <c r="C2682" s="164" t="s">
        <v>151</v>
      </c>
      <c r="D2682" s="164" t="s">
        <v>140</v>
      </c>
      <c r="E2682" s="21"/>
      <c r="F2682" s="21"/>
      <c r="G2682" s="21"/>
      <c r="H2682" s="21"/>
      <c r="I2682" s="21"/>
      <c r="J2682" s="21"/>
      <c r="K2682" s="21"/>
      <c r="L2682" s="35"/>
    </row>
    <row r="2683" spans="2:12" s="4" customFormat="1" outlineLevel="1" x14ac:dyDescent="0.4">
      <c r="B2683" s="20"/>
      <c r="C2683" s="138"/>
      <c r="D2683" s="135"/>
      <c r="E2683" s="21"/>
      <c r="F2683" s="21"/>
      <c r="G2683" s="21"/>
      <c r="H2683" s="21"/>
      <c r="I2683" s="21"/>
      <c r="J2683" s="21"/>
      <c r="K2683" s="21"/>
      <c r="L2683" s="35"/>
    </row>
    <row r="2684" spans="2:12" s="4" customFormat="1" ht="12.75" customHeight="1" outlineLevel="1" x14ac:dyDescent="0.4">
      <c r="B2684" s="28"/>
      <c r="C2684" s="29"/>
      <c r="D2684" s="29"/>
      <c r="E2684" s="29"/>
      <c r="F2684" s="29"/>
      <c r="G2684" s="29"/>
      <c r="H2684" s="29"/>
      <c r="I2684" s="29"/>
      <c r="J2684" s="29"/>
      <c r="K2684" s="29"/>
      <c r="L2684" s="60"/>
    </row>
    <row r="2685" spans="2:12" s="4" customFormat="1" ht="3" customHeight="1" x14ac:dyDescent="0.4"/>
    <row r="2686" spans="2:12" s="4" customFormat="1" ht="8.4" hidden="1" customHeight="1" x14ac:dyDescent="0.4"/>
    <row r="2687" spans="2:12" s="1" customFormat="1" ht="11.1" hidden="1" customHeight="1" x14ac:dyDescent="0.35">
      <c r="B2687" s="2"/>
      <c r="C2687" s="3"/>
      <c r="E2687" s="2"/>
    </row>
    <row r="2688" spans="2:12" s="4" customFormat="1" ht="15.9" hidden="1" customHeight="1" x14ac:dyDescent="0.4"/>
    <row r="2689" spans="2:5" s="4" customFormat="1" ht="15.9" hidden="1" customHeight="1" x14ac:dyDescent="0.4"/>
    <row r="2690" spans="2:5" s="4" customFormat="1" ht="15.9" hidden="1" customHeight="1" x14ac:dyDescent="0.4"/>
    <row r="2691" spans="2:5" s="4" customFormat="1" hidden="1" x14ac:dyDescent="0.4"/>
    <row r="2692" spans="2:5" s="4" customFormat="1" ht="15.9" hidden="1" customHeight="1" x14ac:dyDescent="0.4"/>
    <row r="2693" spans="2:5" s="4" customFormat="1" ht="15.9" hidden="1" customHeight="1" x14ac:dyDescent="0.4"/>
    <row r="2694" spans="2:5" s="4" customFormat="1" hidden="1" x14ac:dyDescent="0.4"/>
    <row r="2695" spans="2:5" s="1" customFormat="1" ht="11.1" hidden="1" customHeight="1" x14ac:dyDescent="0.35">
      <c r="B2695" s="2"/>
      <c r="C2695" s="3"/>
      <c r="E2695" s="2"/>
    </row>
    <row r="2696" spans="2:5" s="4" customFormat="1" ht="15.9" hidden="1" customHeight="1" x14ac:dyDescent="0.4"/>
    <row r="2697" spans="2:5" s="4" customFormat="1" ht="15.9" hidden="1" customHeight="1" x14ac:dyDescent="0.4"/>
    <row r="2698" spans="2:5" s="4" customFormat="1" ht="15.9" hidden="1" customHeight="1" x14ac:dyDescent="0.4"/>
    <row r="2699" spans="2:5" s="4" customFormat="1" hidden="1" x14ac:dyDescent="0.4"/>
    <row r="2700" spans="2:5" s="4" customFormat="1" hidden="1" x14ac:dyDescent="0.4"/>
    <row r="2701" spans="2:5" s="4" customFormat="1" hidden="1" x14ac:dyDescent="0.4"/>
    <row r="2702" spans="2:5" s="4" customFormat="1" hidden="1" x14ac:dyDescent="0.4"/>
    <row r="2703" spans="2:5" s="4" customFormat="1" hidden="1" x14ac:dyDescent="0.4"/>
    <row r="2704" spans="2:5" s="4" customFormat="1" hidden="1" x14ac:dyDescent="0.4"/>
    <row r="2705" spans="2:12" s="4" customFormat="1" hidden="1" x14ac:dyDescent="0.4"/>
    <row r="2706" spans="2:12" s="4" customFormat="1" hidden="1" x14ac:dyDescent="0.4"/>
    <row r="2707" spans="2:12" s="4" customFormat="1" x14ac:dyDescent="0.4"/>
    <row r="2708" spans="2:12" s="4" customFormat="1" ht="19.2" x14ac:dyDescent="0.45">
      <c r="B2708" s="754" t="str">
        <f>"Transport to Plant"&amp;" - "&amp;Feedstocks!C74</f>
        <v xml:space="preserve">Transport to Plant - </v>
      </c>
      <c r="C2708" s="755"/>
      <c r="D2708" s="755"/>
      <c r="E2708" s="755"/>
      <c r="F2708" s="755"/>
      <c r="G2708" s="755"/>
      <c r="H2708" s="755"/>
      <c r="I2708" s="755"/>
      <c r="J2708" s="755"/>
      <c r="K2708" s="755"/>
      <c r="L2708" s="756"/>
    </row>
    <row r="2709" spans="2:12" s="4" customFormat="1" outlineLevel="1" x14ac:dyDescent="0.4">
      <c r="B2709" s="17"/>
      <c r="C2709" s="18"/>
      <c r="D2709" s="19"/>
      <c r="E2709" s="19"/>
      <c r="F2709" s="19"/>
      <c r="G2709" s="19"/>
      <c r="H2709" s="19"/>
      <c r="I2709" s="19"/>
      <c r="J2709" s="19"/>
      <c r="K2709" s="19"/>
      <c r="L2709" s="50"/>
    </row>
    <row r="2710" spans="2:12" s="4" customFormat="1" outlineLevel="1" x14ac:dyDescent="0.4">
      <c r="B2710" s="20"/>
      <c r="C2710" s="174" t="s">
        <v>87</v>
      </c>
      <c r="D2710" s="778" t="str">
        <f>IF(Feedstocks!$C$74&gt;0,Feedstocks!$C$74,"")</f>
        <v/>
      </c>
      <c r="E2710" s="778"/>
      <c r="F2710" s="778"/>
      <c r="G2710" s="1"/>
      <c r="H2710" s="303" t="s">
        <v>122</v>
      </c>
      <c r="I2710" s="47"/>
      <c r="J2710" s="47"/>
      <c r="K2710" s="61"/>
      <c r="L2710" s="35"/>
    </row>
    <row r="2711" spans="2:12" s="4" customFormat="1" outlineLevel="1" x14ac:dyDescent="0.4">
      <c r="B2711" s="20"/>
      <c r="C2711" s="1"/>
      <c r="D2711" s="1"/>
      <c r="E2711" s="1"/>
      <c r="F2711" s="1"/>
      <c r="G2711" s="76"/>
      <c r="H2711" s="43"/>
      <c r="I2711" s="36"/>
      <c r="J2711" s="164" t="s">
        <v>124</v>
      </c>
      <c r="K2711" s="44"/>
      <c r="L2711" s="35"/>
    </row>
    <row r="2712" spans="2:12" s="12" customFormat="1" ht="15" outlineLevel="1" x14ac:dyDescent="0.35">
      <c r="B2712" s="20"/>
      <c r="C2712" s="1"/>
      <c r="D2712" s="1"/>
      <c r="E2712" s="1"/>
      <c r="F2712" s="1"/>
      <c r="G2712" s="1"/>
      <c r="H2712" s="43"/>
      <c r="I2712" s="164" t="s">
        <v>125</v>
      </c>
      <c r="J2712" s="52" t="str">
        <f>IFERROR((J2715/(('Digestion &amp; outputs'!$G$73/1000)))*'Digestion &amp; outputs'!$K$23,"")</f>
        <v/>
      </c>
      <c r="K2712" s="44"/>
      <c r="L2712" s="54"/>
    </row>
    <row r="2713" spans="2:12" s="4" customFormat="1" outlineLevel="1" x14ac:dyDescent="0.4">
      <c r="B2713" s="20"/>
      <c r="C2713" s="164" t="s">
        <v>163</v>
      </c>
      <c r="D2713" s="134" t="s">
        <v>164</v>
      </c>
      <c r="E2713" s="1"/>
      <c r="F2713" s="1"/>
      <c r="G2713" s="1"/>
      <c r="H2713" s="41"/>
      <c r="I2713" s="34"/>
      <c r="J2713" s="34"/>
      <c r="K2713" s="37"/>
      <c r="L2713" s="35"/>
    </row>
    <row r="2714" spans="2:12" s="4" customFormat="1" outlineLevel="1" x14ac:dyDescent="0.4">
      <c r="B2714" s="20"/>
      <c r="C2714" s="164" t="s">
        <v>165</v>
      </c>
      <c r="D2714" s="143"/>
      <c r="E2714" s="1"/>
      <c r="F2714" s="1"/>
      <c r="G2714" s="1"/>
      <c r="H2714" s="41"/>
      <c r="I2714" s="36"/>
      <c r="J2714" s="164" t="s">
        <v>141</v>
      </c>
      <c r="K2714" s="37"/>
      <c r="L2714" s="35"/>
    </row>
    <row r="2715" spans="2:12" s="4" customFormat="1" outlineLevel="1" x14ac:dyDescent="0.4">
      <c r="B2715" s="20"/>
      <c r="C2715" s="164" t="s">
        <v>160</v>
      </c>
      <c r="D2715" s="134" t="s">
        <v>166</v>
      </c>
      <c r="E2715" s="1"/>
      <c r="F2715" s="1"/>
      <c r="G2715" s="1"/>
      <c r="H2715" s="42"/>
      <c r="I2715" s="164" t="s">
        <v>167</v>
      </c>
      <c r="J2715" s="52">
        <f>IFERROR(J2720,"Insert data")</f>
        <v>0</v>
      </c>
      <c r="K2715" s="62"/>
      <c r="L2715" s="35"/>
    </row>
    <row r="2716" spans="2:12" s="4" customFormat="1" outlineLevel="1" x14ac:dyDescent="0.4">
      <c r="B2716" s="20"/>
      <c r="C2716" s="21"/>
      <c r="D2716" s="21"/>
      <c r="E2716" s="21"/>
      <c r="F2716" s="21"/>
      <c r="G2716" s="21"/>
      <c r="H2716" s="46"/>
      <c r="I2716" s="58"/>
      <c r="J2716" s="58"/>
      <c r="K2716" s="59"/>
      <c r="L2716" s="35"/>
    </row>
    <row r="2717" spans="2:12" s="4" customFormat="1" outlineLevel="1" x14ac:dyDescent="0.4">
      <c r="B2717" s="20"/>
      <c r="C2717" s="25" t="s">
        <v>168</v>
      </c>
      <c r="D2717" s="21"/>
      <c r="E2717" s="21"/>
      <c r="F2717" s="21"/>
      <c r="G2717" s="21"/>
      <c r="H2717" s="21"/>
      <c r="I2717" s="21"/>
      <c r="J2717" s="21"/>
      <c r="K2717" s="21"/>
      <c r="L2717" s="35"/>
    </row>
    <row r="2718" spans="2:12" s="14" customFormat="1" ht="30.6" outlineLevel="1" x14ac:dyDescent="0.4">
      <c r="B2718" s="23"/>
      <c r="C2718" s="166" t="s">
        <v>131</v>
      </c>
      <c r="D2718" s="166" t="s">
        <v>169</v>
      </c>
      <c r="E2718" s="166" t="s">
        <v>170</v>
      </c>
      <c r="F2718" s="166" t="s">
        <v>171</v>
      </c>
      <c r="G2718" s="24"/>
      <c r="H2718" s="303" t="s">
        <v>136</v>
      </c>
      <c r="I2718" s="47"/>
      <c r="J2718" s="47"/>
      <c r="K2718" s="45"/>
      <c r="L2718" s="63"/>
    </row>
    <row r="2719" spans="2:12" s="4" customFormat="1" outlineLevel="1" x14ac:dyDescent="0.4">
      <c r="B2719" s="20"/>
      <c r="C2719" s="138" t="s">
        <v>96</v>
      </c>
      <c r="D2719" s="93">
        <v>1</v>
      </c>
      <c r="E2719" s="135"/>
      <c r="F2719" s="31">
        <f>IFERROR(IF(OR(C2719="Default",D2713="No transport required"),D2719,IF(ISBLANK(E2719),"Insert data",E2719)),"")</f>
        <v>1</v>
      </c>
      <c r="G2719" s="21"/>
      <c r="H2719" s="41"/>
      <c r="I2719" s="36"/>
      <c r="J2719" s="164" t="s">
        <v>141</v>
      </c>
      <c r="K2719" s="37"/>
      <c r="L2719" s="35"/>
    </row>
    <row r="2720" spans="2:12" s="4" customFormat="1" outlineLevel="1" x14ac:dyDescent="0.4">
      <c r="B2720" s="20"/>
      <c r="C2720" s="21"/>
      <c r="D2720" s="21"/>
      <c r="E2720" s="692" t="str">
        <f>IF(E2719&gt;1, "this should not be greater than 1", "")</f>
        <v/>
      </c>
      <c r="F2720" s="21"/>
      <c r="G2720" s="21"/>
      <c r="H2720" s="42"/>
      <c r="I2720" s="164" t="s">
        <v>172</v>
      </c>
      <c r="J2720" s="52">
        <f>IF(D2713="No transport required",0,IFERROR(E2723*INDEX(Fuel_EFs,MATCH(D2715,Fuels_for_EF,0))*D2714/1000,"Insert data"))</f>
        <v>0</v>
      </c>
      <c r="K2720" s="62"/>
      <c r="L2720" s="35"/>
    </row>
    <row r="2721" spans="2:12" s="4" customFormat="1" outlineLevel="1" x14ac:dyDescent="0.4">
      <c r="B2721" s="20"/>
      <c r="C2721" s="25" t="s">
        <v>173</v>
      </c>
      <c r="D2721" s="21"/>
      <c r="E2721" s="21"/>
      <c r="F2721" s="21"/>
      <c r="G2721" s="21"/>
      <c r="H2721" s="46"/>
      <c r="I2721" s="58"/>
      <c r="J2721" s="58"/>
      <c r="K2721" s="59"/>
      <c r="L2721" s="35"/>
    </row>
    <row r="2722" spans="2:12" s="14" customFormat="1" outlineLevel="1" x14ac:dyDescent="0.4">
      <c r="B2722" s="23"/>
      <c r="C2722" s="176" t="s">
        <v>174</v>
      </c>
      <c r="D2722" s="166" t="s">
        <v>175</v>
      </c>
      <c r="E2722" s="166" t="s">
        <v>176</v>
      </c>
      <c r="F2722" s="24"/>
      <c r="G2722" s="24"/>
      <c r="H2722" s="4"/>
      <c r="I2722" s="4"/>
      <c r="J2722" s="4"/>
      <c r="K2722" s="4"/>
      <c r="L2722" s="63"/>
    </row>
    <row r="2723" spans="2:12" s="4" customFormat="1" outlineLevel="1" x14ac:dyDescent="0.4">
      <c r="B2723" s="20"/>
      <c r="C2723" s="138" t="s">
        <v>96</v>
      </c>
      <c r="D2723" s="93">
        <f>IFERROR(INDEX(Transport_Fuel_Efficiencies,MATCH(D2713,Transport_Modes,0)),"Insert data")</f>
        <v>0</v>
      </c>
      <c r="E2723" s="31">
        <f>IFERROR(IF(C2723="Default",D2723,IF(OR(ISBLANK(E2725),ISBLANK(D2729),ISBLANK(D2733)),"Insert data",(IF(C2729="litres",(D2729*(INDEX(Fuel_Densities,MATCH(D2715,Fuels_for_Densities,0))/1000)*INDEX(Fuel_LHV,MATCH(D2715,Fuels_for_LHV,0)))/(D2733*D2714),(IF(C2729="m3",(D2729*(INDEX(Fuel_Densities,MATCH(D2715,Fuels_for_Densities,0)))*INDEX(Fuel_LHV,MATCH(D2715,Fuels_for_LHV,0)))/(D2733*D2714),IF(C2729="kg",(D2729*INDEX(Fuel_LHV,MATCH(D2715,Fuels_for_LHV,0)))/(D2733*D2714),IF(C2729="tonnes",(D2729*INDEX(Fuel_LHV,MATCH(D2715,Fuels_for_LHV,0))*1000)/(D2733*D2714),IF(C2729="MWh",(D2729*'Reference values'!$D$47)/(D2733*D2714),IF(C2729="kWh",(D2729*'Reference values'!$D$47/1000)/(D2733*D2714),"Insert unit")))))))))),"")</f>
        <v>0</v>
      </c>
      <c r="F2723" s="21"/>
      <c r="G2723" s="21"/>
      <c r="L2723" s="35"/>
    </row>
    <row r="2724" spans="2:12" s="4" customFormat="1" outlineLevel="1" x14ac:dyDescent="0.4">
      <c r="B2724" s="20"/>
      <c r="C2724" s="21"/>
      <c r="D2724" s="21"/>
      <c r="E2724" s="21"/>
      <c r="F2724" s="21"/>
      <c r="G2724" s="21"/>
      <c r="H2724" s="21"/>
      <c r="I2724" s="21"/>
      <c r="J2724" s="21"/>
      <c r="K2724" s="21"/>
      <c r="L2724" s="35"/>
    </row>
    <row r="2725" spans="2:12" s="4" customFormat="1" ht="16.5" customHeight="1" outlineLevel="1" x14ac:dyDescent="0.4">
      <c r="B2725" s="20"/>
      <c r="C2725" s="759" t="s">
        <v>177</v>
      </c>
      <c r="D2725" s="759"/>
      <c r="E2725" s="135" t="s">
        <v>178</v>
      </c>
      <c r="F2725" s="21"/>
      <c r="G2725" s="21"/>
      <c r="H2725" s="21"/>
      <c r="I2725" s="21"/>
      <c r="J2725" s="21"/>
      <c r="K2725" s="21"/>
      <c r="L2725" s="35"/>
    </row>
    <row r="2726" spans="2:12" s="4" customFormat="1" ht="12.75" customHeight="1" outlineLevel="1" x14ac:dyDescent="0.4">
      <c r="B2726" s="20"/>
      <c r="C2726" s="21"/>
      <c r="D2726" s="21"/>
      <c r="E2726" s="21"/>
      <c r="F2726" s="21"/>
      <c r="G2726" s="21"/>
      <c r="L2726" s="35"/>
    </row>
    <row r="2727" spans="2:12" s="4" customFormat="1" outlineLevel="1" x14ac:dyDescent="0.4">
      <c r="B2727" s="20"/>
      <c r="C2727" s="25" t="str">
        <f>IF(E2725="yes", "Fuel demand for outward journey",IF(E2725="No","Fuel demand for full journey (outward and return)",""))</f>
        <v>Fuel demand for full journey (outward and return)</v>
      </c>
      <c r="D2727" s="21"/>
      <c r="E2727" s="21"/>
      <c r="F2727" s="21"/>
      <c r="G2727" s="21"/>
      <c r="H2727" s="21"/>
      <c r="I2727" s="21"/>
      <c r="J2727" s="21"/>
      <c r="K2727" s="21"/>
      <c r="L2727" s="35"/>
    </row>
    <row r="2728" spans="2:12" s="4" customFormat="1" outlineLevel="1" x14ac:dyDescent="0.4">
      <c r="B2728" s="20"/>
      <c r="C2728" s="164" t="s">
        <v>151</v>
      </c>
      <c r="D2728" s="164" t="s">
        <v>140</v>
      </c>
      <c r="E2728" s="21"/>
      <c r="F2728" s="21"/>
      <c r="G2728" s="21"/>
      <c r="H2728" s="21"/>
      <c r="I2728" s="21"/>
      <c r="J2728" s="21"/>
      <c r="K2728" s="21"/>
      <c r="L2728" s="35"/>
    </row>
    <row r="2729" spans="2:12" s="4" customFormat="1" outlineLevel="1" x14ac:dyDescent="0.4">
      <c r="B2729" s="20"/>
      <c r="C2729" s="138"/>
      <c r="D2729" s="135"/>
      <c r="E2729" s="21"/>
      <c r="F2729" s="21"/>
      <c r="G2729" s="21"/>
      <c r="H2729" s="21"/>
      <c r="I2729" s="21"/>
      <c r="J2729" s="21"/>
      <c r="K2729" s="21"/>
      <c r="L2729" s="35"/>
    </row>
    <row r="2730" spans="2:12" s="4" customFormat="1" outlineLevel="1" x14ac:dyDescent="0.4">
      <c r="B2730" s="20"/>
      <c r="C2730" s="21"/>
      <c r="D2730" s="21"/>
      <c r="E2730" s="21"/>
      <c r="F2730" s="21"/>
      <c r="G2730" s="21"/>
      <c r="H2730" s="21"/>
      <c r="I2730" s="21"/>
      <c r="J2730" s="21"/>
      <c r="K2730" s="21"/>
      <c r="L2730" s="35"/>
    </row>
    <row r="2731" spans="2:12" s="4" customFormat="1" outlineLevel="1" x14ac:dyDescent="0.4">
      <c r="B2731" s="20"/>
      <c r="C2731" s="25" t="s">
        <v>180</v>
      </c>
      <c r="D2731" s="21"/>
      <c r="E2731" s="21"/>
      <c r="F2731" s="21"/>
      <c r="G2731" s="21"/>
      <c r="H2731" s="21"/>
      <c r="I2731" s="21"/>
      <c r="J2731" s="21"/>
      <c r="K2731" s="21"/>
      <c r="L2731" s="35"/>
    </row>
    <row r="2732" spans="2:12" s="4" customFormat="1" outlineLevel="1" x14ac:dyDescent="0.4">
      <c r="B2732" s="20"/>
      <c r="C2732" s="164" t="s">
        <v>151</v>
      </c>
      <c r="D2732" s="164" t="s">
        <v>140</v>
      </c>
      <c r="E2732" s="21"/>
      <c r="F2732" s="21"/>
      <c r="G2732" s="21"/>
      <c r="H2732" s="21"/>
      <c r="I2732" s="21"/>
      <c r="J2732" s="21"/>
      <c r="K2732" s="21"/>
      <c r="L2732" s="35"/>
    </row>
    <row r="2733" spans="2:12" s="4" customFormat="1" outlineLevel="1" x14ac:dyDescent="0.4">
      <c r="B2733" s="20"/>
      <c r="C2733" s="138"/>
      <c r="D2733" s="135"/>
      <c r="E2733" s="21"/>
      <c r="F2733" s="21"/>
      <c r="G2733" s="21"/>
      <c r="H2733" s="21"/>
      <c r="I2733" s="21"/>
      <c r="J2733" s="21"/>
      <c r="K2733" s="21"/>
      <c r="L2733" s="35"/>
    </row>
    <row r="2734" spans="2:12" s="4" customFormat="1" ht="12.75" customHeight="1" outlineLevel="1" x14ac:dyDescent="0.4">
      <c r="B2734" s="28"/>
      <c r="C2734" s="29"/>
      <c r="D2734" s="29"/>
      <c r="E2734" s="29"/>
      <c r="F2734" s="29"/>
      <c r="G2734" s="29"/>
      <c r="H2734" s="29"/>
      <c r="I2734" s="29"/>
      <c r="J2734" s="29"/>
      <c r="K2734" s="29"/>
      <c r="L2734" s="60"/>
    </row>
    <row r="2735" spans="2:12" s="4" customFormat="1" ht="3" customHeight="1" x14ac:dyDescent="0.4"/>
    <row r="2736" spans="2:12" s="4" customFormat="1" ht="8.4" hidden="1" customHeight="1" x14ac:dyDescent="0.4"/>
    <row r="2737" spans="2:5" s="1" customFormat="1" ht="11.1" hidden="1" customHeight="1" x14ac:dyDescent="0.35">
      <c r="B2737" s="2"/>
      <c r="C2737" s="3"/>
      <c r="E2737" s="2"/>
    </row>
    <row r="2738" spans="2:5" s="4" customFormat="1" ht="15.9" hidden="1" customHeight="1" x14ac:dyDescent="0.4"/>
    <row r="2739" spans="2:5" s="4" customFormat="1" ht="15.9" hidden="1" customHeight="1" x14ac:dyDescent="0.4"/>
    <row r="2740" spans="2:5" s="4" customFormat="1" ht="15.9" hidden="1" customHeight="1" x14ac:dyDescent="0.4"/>
    <row r="2741" spans="2:5" s="4" customFormat="1" hidden="1" x14ac:dyDescent="0.4"/>
    <row r="2742" spans="2:5" s="4" customFormat="1" ht="15.9" hidden="1" customHeight="1" x14ac:dyDescent="0.4"/>
    <row r="2743" spans="2:5" s="4" customFormat="1" ht="15.9" hidden="1" customHeight="1" x14ac:dyDescent="0.4"/>
    <row r="2744" spans="2:5" s="4" customFormat="1" hidden="1" x14ac:dyDescent="0.4"/>
    <row r="2745" spans="2:5" s="1" customFormat="1" ht="11.1" hidden="1" customHeight="1" x14ac:dyDescent="0.35">
      <c r="B2745" s="2"/>
      <c r="C2745" s="3"/>
      <c r="E2745" s="2"/>
    </row>
    <row r="2746" spans="2:5" s="4" customFormat="1" ht="15.9" hidden="1" customHeight="1" x14ac:dyDescent="0.4"/>
    <row r="2747" spans="2:5" s="4" customFormat="1" ht="15.9" hidden="1" customHeight="1" x14ac:dyDescent="0.4"/>
    <row r="2748" spans="2:5" s="4" customFormat="1" ht="15.9" hidden="1" customHeight="1" x14ac:dyDescent="0.4"/>
    <row r="2749" spans="2:5" s="4" customFormat="1" hidden="1" x14ac:dyDescent="0.4"/>
    <row r="2750" spans="2:5" s="4" customFormat="1" hidden="1" x14ac:dyDescent="0.4"/>
    <row r="2751" spans="2:5" s="4" customFormat="1" hidden="1" x14ac:dyDescent="0.4"/>
    <row r="2752" spans="2:5" s="4" customFormat="1" hidden="1" x14ac:dyDescent="0.4"/>
    <row r="2753" s="4" customFormat="1" hidden="1" x14ac:dyDescent="0.4"/>
    <row r="2754" s="4" customFormat="1" hidden="1" x14ac:dyDescent="0.4"/>
    <row r="2755" s="4" customFormat="1" hidden="1" x14ac:dyDescent="0.4"/>
    <row r="2756" s="4" customFormat="1" hidden="1" x14ac:dyDescent="0.4"/>
    <row r="2757" s="4" customFormat="1" x14ac:dyDescent="0.4"/>
    <row r="2758" s="4" customFormat="1" x14ac:dyDescent="0.4"/>
    <row r="2759" s="4" customFormat="1" x14ac:dyDescent="0.4"/>
    <row r="2760" s="200" customFormat="1" ht="3.75" customHeight="1" thickBot="1" x14ac:dyDescent="0.45"/>
  </sheetData>
  <sheetProtection algorithmName="SHA-512" hashValue="KAZaacrdbelyZB8PPyo4rlskcfOdUnWySYI2qLYZo8ZzVsmqLErDJXkNx+TLKLHA8clrD4x6BpsZgh9SScUQzw==" saltValue="5JkvxbNpKrdYsEdyicPnqw==" spinCount="100000" sheet="1" objects="1" scenarios="1"/>
  <mergeCells count="176">
    <mergeCell ref="B6:L6"/>
    <mergeCell ref="D1060:F1060"/>
    <mergeCell ref="C1225:D1225"/>
    <mergeCell ref="D1160:F1160"/>
    <mergeCell ref="C1175:D1175"/>
    <mergeCell ref="C1075:D1075"/>
    <mergeCell ref="B1158:L1158"/>
    <mergeCell ref="B1208:L1208"/>
    <mergeCell ref="B1108:L1108"/>
    <mergeCell ref="D1110:F1110"/>
    <mergeCell ref="C1125:D1125"/>
    <mergeCell ref="D1210:F1210"/>
    <mergeCell ref="D910:F910"/>
    <mergeCell ref="D1010:F1010"/>
    <mergeCell ref="B1008:L1008"/>
    <mergeCell ref="C925:D925"/>
    <mergeCell ref="B958:L958"/>
    <mergeCell ref="D960:F960"/>
    <mergeCell ref="C975:D975"/>
    <mergeCell ref="C1025:D1025"/>
    <mergeCell ref="B1058:L1058"/>
    <mergeCell ref="D760:F760"/>
    <mergeCell ref="C775:D775"/>
    <mergeCell ref="B808:L808"/>
    <mergeCell ref="D810:F810"/>
    <mergeCell ref="C825:D825"/>
    <mergeCell ref="B858:L858"/>
    <mergeCell ref="D860:F860"/>
    <mergeCell ref="C875:D875"/>
    <mergeCell ref="B908:L908"/>
    <mergeCell ref="D610:F610"/>
    <mergeCell ref="C625:D625"/>
    <mergeCell ref="B658:L658"/>
    <mergeCell ref="D660:F660"/>
    <mergeCell ref="C675:D675"/>
    <mergeCell ref="B708:L708"/>
    <mergeCell ref="D710:F710"/>
    <mergeCell ref="C725:D725"/>
    <mergeCell ref="B758:L758"/>
    <mergeCell ref="B508:L508"/>
    <mergeCell ref="D510:F510"/>
    <mergeCell ref="C525:D525"/>
    <mergeCell ref="B558:L558"/>
    <mergeCell ref="D560:F560"/>
    <mergeCell ref="C575:D575"/>
    <mergeCell ref="B608:L608"/>
    <mergeCell ref="D60:F60"/>
    <mergeCell ref="D61:F61"/>
    <mergeCell ref="C75:D75"/>
    <mergeCell ref="B108:L108"/>
    <mergeCell ref="D110:F110"/>
    <mergeCell ref="C225:D225"/>
    <mergeCell ref="D310:F310"/>
    <mergeCell ref="D311:F311"/>
    <mergeCell ref="C325:D325"/>
    <mergeCell ref="B358:L358"/>
    <mergeCell ref="D360:F360"/>
    <mergeCell ref="B258:L258"/>
    <mergeCell ref="D260:F260"/>
    <mergeCell ref="D261:F261"/>
    <mergeCell ref="C275:D275"/>
    <mergeCell ref="B308:L308"/>
    <mergeCell ref="C425:D425"/>
    <mergeCell ref="B8:L8"/>
    <mergeCell ref="C25:D25"/>
    <mergeCell ref="D10:F10"/>
    <mergeCell ref="D11:F11"/>
    <mergeCell ref="B58:L58"/>
    <mergeCell ref="C175:D175"/>
    <mergeCell ref="B208:L208"/>
    <mergeCell ref="D210:F210"/>
    <mergeCell ref="D211:F211"/>
    <mergeCell ref="D111:F111"/>
    <mergeCell ref="C125:D125"/>
    <mergeCell ref="B158:L158"/>
    <mergeCell ref="D160:F160"/>
    <mergeCell ref="D161:F161"/>
    <mergeCell ref="B458:L458"/>
    <mergeCell ref="D460:F460"/>
    <mergeCell ref="D461:F461"/>
    <mergeCell ref="C475:D475"/>
    <mergeCell ref="D361:F361"/>
    <mergeCell ref="C375:D375"/>
    <mergeCell ref="B408:L408"/>
    <mergeCell ref="D410:F410"/>
    <mergeCell ref="D411:F411"/>
    <mergeCell ref="C1375:D1375"/>
    <mergeCell ref="B1408:L1408"/>
    <mergeCell ref="D1410:F1410"/>
    <mergeCell ref="D1310:F1310"/>
    <mergeCell ref="C1325:D1325"/>
    <mergeCell ref="B1358:L1358"/>
    <mergeCell ref="D1360:F1360"/>
    <mergeCell ref="B1258:L1258"/>
    <mergeCell ref="D1260:F1260"/>
    <mergeCell ref="C1275:D1275"/>
    <mergeCell ref="B1308:L1308"/>
    <mergeCell ref="D1560:F1560"/>
    <mergeCell ref="C1575:D1575"/>
    <mergeCell ref="B1608:L1608"/>
    <mergeCell ref="D1610:F1610"/>
    <mergeCell ref="B1508:L1508"/>
    <mergeCell ref="D1510:F1510"/>
    <mergeCell ref="C1525:D1525"/>
    <mergeCell ref="B1558:L1558"/>
    <mergeCell ref="C1425:D1425"/>
    <mergeCell ref="B1458:L1458"/>
    <mergeCell ref="D1460:F1460"/>
    <mergeCell ref="C1475:D1475"/>
    <mergeCell ref="B1758:L1758"/>
    <mergeCell ref="D1760:F1760"/>
    <mergeCell ref="C1775:D1775"/>
    <mergeCell ref="B1808:L1808"/>
    <mergeCell ref="C1675:D1675"/>
    <mergeCell ref="B1708:L1708"/>
    <mergeCell ref="D1710:F1710"/>
    <mergeCell ref="C1725:D1725"/>
    <mergeCell ref="C1625:D1625"/>
    <mergeCell ref="B1658:L1658"/>
    <mergeCell ref="D1660:F1660"/>
    <mergeCell ref="C1925:D1925"/>
    <mergeCell ref="B1958:L1958"/>
    <mergeCell ref="D1960:F1960"/>
    <mergeCell ref="C1975:D1975"/>
    <mergeCell ref="C1875:D1875"/>
    <mergeCell ref="B1908:L1908"/>
    <mergeCell ref="D1910:F1910"/>
    <mergeCell ref="D1810:F1810"/>
    <mergeCell ref="C1825:D1825"/>
    <mergeCell ref="B1858:L1858"/>
    <mergeCell ref="D1860:F1860"/>
    <mergeCell ref="C2125:D2125"/>
    <mergeCell ref="B2158:L2158"/>
    <mergeCell ref="D2160:F2160"/>
    <mergeCell ref="D2060:F2060"/>
    <mergeCell ref="C2075:D2075"/>
    <mergeCell ref="B2108:L2108"/>
    <mergeCell ref="D2110:F2110"/>
    <mergeCell ref="B2008:L2008"/>
    <mergeCell ref="D2010:F2010"/>
    <mergeCell ref="C2025:D2025"/>
    <mergeCell ref="B2058:L2058"/>
    <mergeCell ref="D2310:F2310"/>
    <mergeCell ref="C2325:D2325"/>
    <mergeCell ref="B2358:L2358"/>
    <mergeCell ref="D2360:F2360"/>
    <mergeCell ref="B2258:L2258"/>
    <mergeCell ref="D2260:F2260"/>
    <mergeCell ref="C2275:D2275"/>
    <mergeCell ref="B2308:L2308"/>
    <mergeCell ref="C2175:D2175"/>
    <mergeCell ref="B2208:L2208"/>
    <mergeCell ref="D2210:F2210"/>
    <mergeCell ref="C2225:D2225"/>
    <mergeCell ref="B2508:L2508"/>
    <mergeCell ref="D2510:F2510"/>
    <mergeCell ref="C2525:D2525"/>
    <mergeCell ref="B2558:L2558"/>
    <mergeCell ref="C2425:D2425"/>
    <mergeCell ref="B2458:L2458"/>
    <mergeCell ref="D2460:F2460"/>
    <mergeCell ref="C2475:D2475"/>
    <mergeCell ref="C2375:D2375"/>
    <mergeCell ref="B2408:L2408"/>
    <mergeCell ref="D2410:F2410"/>
    <mergeCell ref="B2658:L2658"/>
    <mergeCell ref="D2660:F2660"/>
    <mergeCell ref="C2675:D2675"/>
    <mergeCell ref="B2708:L2708"/>
    <mergeCell ref="D2710:F2710"/>
    <mergeCell ref="C2725:D2725"/>
    <mergeCell ref="C2625:D2625"/>
    <mergeCell ref="D2560:F2560"/>
    <mergeCell ref="C2575:D2575"/>
    <mergeCell ref="B2608:L2608"/>
    <mergeCell ref="D2610:F2610"/>
  </mergeCells>
  <conditionalFormatting sqref="A6:B6">
    <cfRule type="cellIs" dxfId="1401" priority="1" operator="equal">
      <formula>"Insert unit"</formula>
    </cfRule>
    <cfRule type="cellIs" dxfId="1400" priority="2" operator="equal">
      <formula>"Insert data"</formula>
    </cfRule>
  </conditionalFormatting>
  <conditionalFormatting sqref="A3:XFD5 M6:XFD6 A7:XFD21">
    <cfRule type="cellIs" dxfId="1399" priority="1913" operator="equal">
      <formula>"Insert unit"</formula>
    </cfRule>
  </conditionalFormatting>
  <conditionalFormatting sqref="A12:XFD60 A61:I61 A62:XFD62 A63:C65 E63:XFD65 A111:I111 A112:XFD112 A113:C115 E113:XFD115 A166:XFD210 A161:I161 A162:XFD162 A163:C165 E163:XFD165 A211:I211 A212:XFD212 A213:C215 E213:XFD215 A262:XFD310 A261:I261 A312:XFD360 A311:I311 A362:XFD410 A361:I361 A412:XFD460 A411:I411 A462:XFD507 A461:I461 A2762:XFD1048576">
    <cfRule type="cellIs" dxfId="1398" priority="2073" operator="equal">
      <formula>"Insert data"</formula>
    </cfRule>
  </conditionalFormatting>
  <conditionalFormatting sqref="A66:XFD71 A23:XFD60 A61:I61 A62:XFD62 A63:C65 E63:XFD65 A72:B72 D72:G72 L72:XFD72 A116:XFD121 A111:I111 A112:XFD112 A113:C115 E113:XFD115 A122:B122 D122:G122 L122:XFD122 A166:XFD171 A173:XFD210 A161:I161 A162:XFD162 A163:C165 E163:XFD165 A172:B172 D172:XFD172 H172:K174 A216:XFD221 A211:I211 A212:XFD212 A213:C215 E213:XFD215 A222:B222 D222:G222 L222:XFD222 A262:XFD271 A273:XFD310 A261:I261 H271:K274 A272:B272 D272:XFD272 A312:XFD321 A323:XFD360 A311:I311 H321:K325 A322:B322 D322:XFD322 A362:XFD371 A373:XFD410 A361:I361 H371:K375 A372:B372 D372:XFD372 A412:XFD421 A423:XFD460 A411:I411 H421:K424 A422:B422 D422:XFD422 A462:XFD471 A473:XFD507 A461:I461 H471:K475 A472:B472 D472:XFD472 R1:XFD2 A22:B22 D22:XFD22 A2762:XFD1048576">
    <cfRule type="cellIs" dxfId="1397" priority="2072" operator="equal">
      <formula>"Insert unit"</formula>
    </cfRule>
  </conditionalFormatting>
  <conditionalFormatting sqref="A66:XFD110 A116:XFD160 A216:XFD260 A7:XFD11 A1:XFD5 M6:XFD6">
    <cfRule type="cellIs" dxfId="1396" priority="1914" operator="equal">
      <formula>"Insert data"</formula>
    </cfRule>
  </conditionalFormatting>
  <conditionalFormatting sqref="A508:XFD511">
    <cfRule type="cellIs" dxfId="1395" priority="74" operator="equal">
      <formula>"Insert data"</formula>
    </cfRule>
  </conditionalFormatting>
  <conditionalFormatting sqref="A508:XFD521">
    <cfRule type="cellIs" dxfId="1394" priority="73" operator="equal">
      <formula>"Insert unit"</formula>
    </cfRule>
  </conditionalFormatting>
  <conditionalFormatting sqref="A566:XFD571 A573:XFD609 A523:XFD559 D560:XFD560 A560:B561 C561:I561 K561:XFD561 A562:XFD562 A563:C565 E563:XFD565 H571:K575 A572:B572 D572:XFD572 A616:XFD621 A623:XFD659 D610:XFD610 A610:B611 C611:I611 K611:XFD611 A612:XFD612 A613:C615 E613:XFD615 H621:K625 A622:B622 D622:XFD622 A666:XFD671 A673:XFD709 D660:XFD660 A660:B661 C661:I661 K661:XFD661 A662:XFD662 A663:C665 E663:XFD665 H671:K674 A672:B672 D672:XFD672 A716:XFD721 A723:XFD759 D710:XFD710 A710:B711 C711:I711 K711:XFD711 A712:XFD712 A713:C715 E713:XFD715 H721:K725 A722:B722 D722:XFD722 A762:XFD771 A773:XFD809 D760:XFD760 A760:B761 C761:I761 K761:XFD761 H771:K775 A772:B772 D772:XFD772 A812:XFD821 A823:XFD859 D810:XFD810 A810:B811 C811:I811 K811:XFD811 H821:K825 A822:B822 D822:XFD822 A862:XFD871 A873:XFD909 D860:XFD860 A860:B861 C861:I861 K861:XFD861 H871:K875 A872:B872 D872:XFD872 A912:XFD921 A923:XFD959 D910:XFD910 A910:B911 C911:I911 K911:XFD911 H921:K924 A922:B922 D922:XFD922 A962:XFD971 A973:XFD984 D960:XFD960 A960:B961 C961:I961 K961:XFD961 H971:K974 A972:B972 D972:XFD972 H521:K524">
    <cfRule type="cellIs" dxfId="1393" priority="1846" operator="equal">
      <formula>"Insert unit"</formula>
    </cfRule>
  </conditionalFormatting>
  <conditionalFormatting sqref="A566:XFD609 A512:XFD559 D560:XFD560 A560:B561 C561:I561 K561:XFD561 A562:XFD562 A563:C565 E563:XFD565 A616:XFD659 D610:XFD610 A610:B611 C611:I611 K611:XFD611 A612:XFD612 A613:C615 E613:XFD615 A666:XFD709 D660:XFD660 A660:B661 C661:I661 K661:XFD661 A662:XFD662 A663:C665 E663:XFD665 A716:XFD759 D710:XFD710 A710:B711 C711:I711 K711:XFD711 A712:XFD712 A713:C715 E713:XFD715 A762:XFD809 D760:XFD760 A760:B761 C761:I761 K761:XFD761 A812:XFD859 D810:XFD810 A810:B811 C811:I811 K811:XFD811 A862:XFD909 D860:XFD860 A860:B861 C861:I861 K861:XFD861 A912:XFD959 D910:XFD910 A910:B911 C911:I911 K911:XFD911 A962:XFD984 D960:XFD960 A960:B961 C961:I961 K961:XFD961">
    <cfRule type="cellIs" dxfId="1392" priority="1847" operator="equal">
      <formula>"Insert data"</formula>
    </cfRule>
  </conditionalFormatting>
  <conditionalFormatting sqref="A985:XFD986">
    <cfRule type="cellIs" dxfId="1391" priority="1624" operator="equal">
      <formula>"Insert unit"</formula>
    </cfRule>
    <cfRule type="cellIs" dxfId="1390" priority="1625" operator="equal">
      <formula>"Insert data"</formula>
    </cfRule>
  </conditionalFormatting>
  <conditionalFormatting sqref="A988:XFD994">
    <cfRule type="cellIs" dxfId="1389" priority="1629" operator="equal">
      <formula>"Insert data"</formula>
    </cfRule>
    <cfRule type="cellIs" dxfId="1388" priority="1628" operator="equal">
      <formula>"Insert unit"</formula>
    </cfRule>
  </conditionalFormatting>
  <conditionalFormatting sqref="A1012:XFD1021 A1023:XFD1034 A996:XFD1009 D1010:XFD1010 A1010:B1011 C1011:I1011 K1011:XFD1011 H1021:K1024 A1022:B1022 D1022:XFD1022">
    <cfRule type="cellIs" dxfId="1387" priority="1620" operator="equal">
      <formula>"Insert unit"</formula>
    </cfRule>
  </conditionalFormatting>
  <conditionalFormatting sqref="A1012:XFD1034 A996:XFD1009 D1010:XFD1010 A1010:B1011 C1011:I1011 K1011:XFD1011">
    <cfRule type="cellIs" dxfId="1386" priority="1621" operator="equal">
      <formula>"Insert data"</formula>
    </cfRule>
  </conditionalFormatting>
  <conditionalFormatting sqref="A1035:XFD1036">
    <cfRule type="cellIs" dxfId="1385" priority="1587" operator="equal">
      <formula>"Insert data"</formula>
    </cfRule>
    <cfRule type="cellIs" dxfId="1384" priority="1586" operator="equal">
      <formula>"Insert unit"</formula>
    </cfRule>
  </conditionalFormatting>
  <conditionalFormatting sqref="A1038:XFD1044">
    <cfRule type="cellIs" dxfId="1383" priority="1590" operator="equal">
      <formula>"Insert unit"</formula>
    </cfRule>
    <cfRule type="cellIs" dxfId="1382" priority="1591" operator="equal">
      <formula>"Insert data"</formula>
    </cfRule>
  </conditionalFormatting>
  <conditionalFormatting sqref="A1062:XFD1071 A1073:XFD1084 A1046:XFD1059 D1060:XFD1060 A1060:B1061 C1061:I1061 K1061:XFD1061 H1071:K1075 A1072:B1072 D1072:XFD1072">
    <cfRule type="cellIs" dxfId="1381" priority="1582" operator="equal">
      <formula>"Insert unit"</formula>
    </cfRule>
  </conditionalFormatting>
  <conditionalFormatting sqref="A1062:XFD1084 A1046:XFD1059 D1060:XFD1060 A1060:B1061 C1061:I1061 K1061:XFD1061">
    <cfRule type="cellIs" dxfId="1380" priority="1583" operator="equal">
      <formula>"Insert data"</formula>
    </cfRule>
  </conditionalFormatting>
  <conditionalFormatting sqref="A1085:XFD1086">
    <cfRule type="cellIs" dxfId="1379" priority="1548" operator="equal">
      <formula>"Insert unit"</formula>
    </cfRule>
    <cfRule type="cellIs" dxfId="1378" priority="1549" operator="equal">
      <formula>"Insert data"</formula>
    </cfRule>
  </conditionalFormatting>
  <conditionalFormatting sqref="A1088:XFD1094">
    <cfRule type="cellIs" dxfId="1377" priority="1553" operator="equal">
      <formula>"Insert data"</formula>
    </cfRule>
    <cfRule type="cellIs" dxfId="1376" priority="1552" operator="equal">
      <formula>"Insert unit"</formula>
    </cfRule>
  </conditionalFormatting>
  <conditionalFormatting sqref="A1112:XFD1121 A1123:XFD1134 A1096:XFD1109 D1110:XFD1110 A1110:B1111 C1111:I1111 K1111:XFD1111 H1121:K1124 A1122:B1122 D1122:XFD1122">
    <cfRule type="cellIs" dxfId="1375" priority="1542" operator="equal">
      <formula>"Insert unit"</formula>
    </cfRule>
  </conditionalFormatting>
  <conditionalFormatting sqref="A1112:XFD1134 A1096:XFD1109 D1110:XFD1110 A1110:B1111 C1111:I1111 K1111:XFD1111">
    <cfRule type="cellIs" dxfId="1374" priority="1543" operator="equal">
      <formula>"Insert data"</formula>
    </cfRule>
  </conditionalFormatting>
  <conditionalFormatting sqref="A1135:XFD1136">
    <cfRule type="cellIs" dxfId="1373" priority="1509" operator="equal">
      <formula>"Insert data"</formula>
    </cfRule>
    <cfRule type="cellIs" dxfId="1372" priority="1508" operator="equal">
      <formula>"Insert unit"</formula>
    </cfRule>
  </conditionalFormatting>
  <conditionalFormatting sqref="A1138:XFD1144">
    <cfRule type="cellIs" dxfId="1371" priority="1513" operator="equal">
      <formula>"Insert data"</formula>
    </cfRule>
    <cfRule type="cellIs" dxfId="1370" priority="1512" operator="equal">
      <formula>"Insert unit"</formula>
    </cfRule>
  </conditionalFormatting>
  <conditionalFormatting sqref="A1162:XFD1171 A1173:XFD1184 A1146:XFD1159 D1160:XFD1160 A1160:B1161 C1161:I1161 K1161:XFD1161 H1171:K1174 A1172:B1172 D1172:XFD1172">
    <cfRule type="cellIs" dxfId="1369" priority="1502" operator="equal">
      <formula>"Insert unit"</formula>
    </cfRule>
  </conditionalFormatting>
  <conditionalFormatting sqref="A1162:XFD1184 A1146:XFD1159 D1160:XFD1160 A1160:B1161 C1161:I1161 K1161:XFD1161">
    <cfRule type="cellIs" dxfId="1368" priority="1503" operator="equal">
      <formula>"Insert data"</formula>
    </cfRule>
  </conditionalFormatting>
  <conditionalFormatting sqref="A1185:XFD1186">
    <cfRule type="cellIs" dxfId="1367" priority="1468" operator="equal">
      <formula>"Insert unit"</formula>
    </cfRule>
    <cfRule type="cellIs" dxfId="1366" priority="1469" operator="equal">
      <formula>"Insert data"</formula>
    </cfRule>
  </conditionalFormatting>
  <conditionalFormatting sqref="A1188:XFD1194">
    <cfRule type="cellIs" dxfId="1365" priority="1473" operator="equal">
      <formula>"Insert data"</formula>
    </cfRule>
    <cfRule type="cellIs" dxfId="1364" priority="1472" operator="equal">
      <formula>"Insert unit"</formula>
    </cfRule>
  </conditionalFormatting>
  <conditionalFormatting sqref="A1212:XFD1221 A1223:XFD1234 A1196:XFD1209 D1210:XFD1210 A1210:B1211 C1211:I1211 K1211:XFD1211 H1221:K1224 A1222:B1222 D1222:XFD1222">
    <cfRule type="cellIs" dxfId="1363" priority="1462" operator="equal">
      <formula>"Insert unit"</formula>
    </cfRule>
  </conditionalFormatting>
  <conditionalFormatting sqref="A1212:XFD1234 A1196:XFD1209 D1210:XFD1210 A1210:B1211 C1211:I1211 K1211:XFD1211">
    <cfRule type="cellIs" dxfId="1362" priority="1463" operator="equal">
      <formula>"Insert data"</formula>
    </cfRule>
  </conditionalFormatting>
  <conditionalFormatting sqref="A1235:XFD1236">
    <cfRule type="cellIs" dxfId="1361" priority="1429" operator="equal">
      <formula>"Insert data"</formula>
    </cfRule>
    <cfRule type="cellIs" dxfId="1360" priority="1428" operator="equal">
      <formula>"Insert unit"</formula>
    </cfRule>
  </conditionalFormatting>
  <conditionalFormatting sqref="A1238:XFD1244">
    <cfRule type="cellIs" dxfId="1359" priority="1432" operator="equal">
      <formula>"Insert unit"</formula>
    </cfRule>
    <cfRule type="cellIs" dxfId="1358" priority="1433" operator="equal">
      <formula>"Insert data"</formula>
    </cfRule>
  </conditionalFormatting>
  <conditionalFormatting sqref="A1262:XFD1271 A1273:XFD1284 A1246:XFD1259 D1260:XFD1260 A1260:B1261 C1261:I1261 K1261:XFD1261 H1271:K1275 A1272:B1272 D1272:XFD1272">
    <cfRule type="cellIs" dxfId="1357" priority="1420" operator="equal">
      <formula>"Insert unit"</formula>
    </cfRule>
  </conditionalFormatting>
  <conditionalFormatting sqref="A1262:XFD1284 A1246:XFD1259 D1260:XFD1260 A1260:B1261 C1261:I1261 K1261:XFD1261">
    <cfRule type="cellIs" dxfId="1356" priority="1421" operator="equal">
      <formula>"Insert data"</formula>
    </cfRule>
  </conditionalFormatting>
  <conditionalFormatting sqref="A1285:XFD1286">
    <cfRule type="cellIs" dxfId="1355" priority="1386" operator="equal">
      <formula>"Insert unit"</formula>
    </cfRule>
    <cfRule type="cellIs" dxfId="1354" priority="1387" operator="equal">
      <formula>"Insert data"</formula>
    </cfRule>
  </conditionalFormatting>
  <conditionalFormatting sqref="A1288:XFD1294">
    <cfRule type="cellIs" dxfId="1353" priority="1391" operator="equal">
      <formula>"Insert data"</formula>
    </cfRule>
    <cfRule type="cellIs" dxfId="1352" priority="1390" operator="equal">
      <formula>"Insert unit"</formula>
    </cfRule>
  </conditionalFormatting>
  <conditionalFormatting sqref="A1312:XFD1321 A1323:XFD1334 A1296:XFD1309 D1310:XFD1310 A1310:B1311 C1311:I1311 K1311:XFD1311 H1321:K1324 A1322:B1322 D1322:XFD1322">
    <cfRule type="cellIs" dxfId="1351" priority="1380" operator="equal">
      <formula>"Insert unit"</formula>
    </cfRule>
  </conditionalFormatting>
  <conditionalFormatting sqref="A1312:XFD1334 A1296:XFD1309 D1310:XFD1310 A1310:B1311 C1311:I1311 K1311:XFD1311">
    <cfRule type="cellIs" dxfId="1350" priority="1381" operator="equal">
      <formula>"Insert data"</formula>
    </cfRule>
  </conditionalFormatting>
  <conditionalFormatting sqref="A1335:XFD1336">
    <cfRule type="cellIs" dxfId="1349" priority="1346" operator="equal">
      <formula>"Insert unit"</formula>
    </cfRule>
    <cfRule type="cellIs" dxfId="1348" priority="1347" operator="equal">
      <formula>"Insert data"</formula>
    </cfRule>
  </conditionalFormatting>
  <conditionalFormatting sqref="A1338:XFD1344">
    <cfRule type="cellIs" dxfId="1347" priority="1350" operator="equal">
      <formula>"Insert unit"</formula>
    </cfRule>
    <cfRule type="cellIs" dxfId="1346" priority="1351" operator="equal">
      <formula>"Insert data"</formula>
    </cfRule>
  </conditionalFormatting>
  <conditionalFormatting sqref="A1362:XFD1371 A1373:XFD1384 A1346:XFD1359 D1360:XFD1360 A1360:B1361 C1361:I1361 K1361:XFD1361 H1371:K1374 A1372:B1372 D1372:XFD1372">
    <cfRule type="cellIs" dxfId="1345" priority="1340" operator="equal">
      <formula>"Insert unit"</formula>
    </cfRule>
  </conditionalFormatting>
  <conditionalFormatting sqref="A1362:XFD1384 A1346:XFD1359 D1360:XFD1360 A1360:B1361 C1361:I1361 K1361:XFD1361">
    <cfRule type="cellIs" dxfId="1344" priority="1341" operator="equal">
      <formula>"Insert data"</formula>
    </cfRule>
  </conditionalFormatting>
  <conditionalFormatting sqref="A1385:XFD1386">
    <cfRule type="cellIs" dxfId="1343" priority="1307" operator="equal">
      <formula>"Insert data"</formula>
    </cfRule>
    <cfRule type="cellIs" dxfId="1342" priority="1306" operator="equal">
      <formula>"Insert unit"</formula>
    </cfRule>
  </conditionalFormatting>
  <conditionalFormatting sqref="A1388:XFD1394">
    <cfRule type="cellIs" dxfId="1341" priority="1310" operator="equal">
      <formula>"Insert unit"</formula>
    </cfRule>
    <cfRule type="cellIs" dxfId="1340" priority="1311" operator="equal">
      <formula>"Insert data"</formula>
    </cfRule>
  </conditionalFormatting>
  <conditionalFormatting sqref="A1412:XFD1421 A1423:XFD1434 A1396:XFD1409 D1410:XFD1410 A1410:B1411 C1411:I1411 K1411:XFD1411 H1421:K1424 A1422:B1422 D1422:XFD1422">
    <cfRule type="cellIs" dxfId="1339" priority="1300" operator="equal">
      <formula>"Insert unit"</formula>
    </cfRule>
  </conditionalFormatting>
  <conditionalFormatting sqref="A1412:XFD1434 A1396:XFD1409 D1410:XFD1410 A1410:B1411 C1411:I1411 K1411:XFD1411">
    <cfRule type="cellIs" dxfId="1338" priority="1301" operator="equal">
      <formula>"Insert data"</formula>
    </cfRule>
  </conditionalFormatting>
  <conditionalFormatting sqref="A1435:XFD1436">
    <cfRule type="cellIs" dxfId="1337" priority="1266" operator="equal">
      <formula>"Insert unit"</formula>
    </cfRule>
    <cfRule type="cellIs" dxfId="1336" priority="1267" operator="equal">
      <formula>"Insert data"</formula>
    </cfRule>
  </conditionalFormatting>
  <conditionalFormatting sqref="A1438:XFD1444">
    <cfRule type="cellIs" dxfId="1335" priority="1270" operator="equal">
      <formula>"Insert unit"</formula>
    </cfRule>
    <cfRule type="cellIs" dxfId="1334" priority="1271" operator="equal">
      <formula>"Insert data"</formula>
    </cfRule>
  </conditionalFormatting>
  <conditionalFormatting sqref="A1462:XFD1471 A1473:XFD1484 A1446:XFD1459 D1460:XFD1460 A1460:B1461 C1461:I1461 K1461:XFD1461 H1471:K1474 A1472:B1472 D1472:XFD1472">
    <cfRule type="cellIs" dxfId="1333" priority="1260" operator="equal">
      <formula>"Insert unit"</formula>
    </cfRule>
  </conditionalFormatting>
  <conditionalFormatting sqref="A1462:XFD1484 A1446:XFD1459 D1460:XFD1460 A1460:B1461 C1461:I1461 K1461:XFD1461">
    <cfRule type="cellIs" dxfId="1332" priority="1261" operator="equal">
      <formula>"Insert data"</formula>
    </cfRule>
  </conditionalFormatting>
  <conditionalFormatting sqref="A1485:XFD1486">
    <cfRule type="cellIs" dxfId="1331" priority="1226" operator="equal">
      <formula>"Insert unit"</formula>
    </cfRule>
    <cfRule type="cellIs" dxfId="1330" priority="1227" operator="equal">
      <formula>"Insert data"</formula>
    </cfRule>
  </conditionalFormatting>
  <conditionalFormatting sqref="A1488:XFD1494">
    <cfRule type="cellIs" dxfId="1329" priority="1231" operator="equal">
      <formula>"Insert data"</formula>
    </cfRule>
    <cfRule type="cellIs" dxfId="1328" priority="1230" operator="equal">
      <formula>"Insert unit"</formula>
    </cfRule>
  </conditionalFormatting>
  <conditionalFormatting sqref="A1512:XFD1521 A1523:XFD1534 A1496:XFD1509 D1510:XFD1510 A1510:B1511 C1511:I1511 K1511:XFD1511 H1521:K1524 A1522:B1522 D1522:XFD1522">
    <cfRule type="cellIs" dxfId="1327" priority="1220" operator="equal">
      <formula>"Insert unit"</formula>
    </cfRule>
  </conditionalFormatting>
  <conditionalFormatting sqref="A1512:XFD1534 A1496:XFD1509 D1510:XFD1510 A1510:B1511 C1511:I1511 K1511:XFD1511">
    <cfRule type="cellIs" dxfId="1326" priority="1221" operator="equal">
      <formula>"Insert data"</formula>
    </cfRule>
  </conditionalFormatting>
  <conditionalFormatting sqref="A1535:XFD1536">
    <cfRule type="cellIs" dxfId="1325" priority="1186" operator="equal">
      <formula>"Insert unit"</formula>
    </cfRule>
    <cfRule type="cellIs" dxfId="1324" priority="1187" operator="equal">
      <formula>"Insert data"</formula>
    </cfRule>
  </conditionalFormatting>
  <conditionalFormatting sqref="A1538:XFD1544">
    <cfRule type="cellIs" dxfId="1323" priority="1190" operator="equal">
      <formula>"Insert unit"</formula>
    </cfRule>
    <cfRule type="cellIs" dxfId="1322" priority="1191" operator="equal">
      <formula>"Insert data"</formula>
    </cfRule>
  </conditionalFormatting>
  <conditionalFormatting sqref="A1562:XFD1571 A1573:XFD1584 A1546:XFD1559 D1560:XFD1560 A1560:B1561 C1561:I1561 K1561:XFD1561 H1571:K1574 A1572:B1572 D1572:XFD1572">
    <cfRule type="cellIs" dxfId="1321" priority="1180" operator="equal">
      <formula>"Insert unit"</formula>
    </cfRule>
  </conditionalFormatting>
  <conditionalFormatting sqref="A1562:XFD1584 A1546:XFD1559 D1560:XFD1560 A1560:B1561 C1561:I1561 K1561:XFD1561">
    <cfRule type="cellIs" dxfId="1320" priority="1181" operator="equal">
      <formula>"Insert data"</formula>
    </cfRule>
  </conditionalFormatting>
  <conditionalFormatting sqref="A1585:XFD1586">
    <cfRule type="cellIs" dxfId="1319" priority="1147" operator="equal">
      <formula>"Insert data"</formula>
    </cfRule>
    <cfRule type="cellIs" dxfId="1318" priority="1146" operator="equal">
      <formula>"Insert unit"</formula>
    </cfRule>
  </conditionalFormatting>
  <conditionalFormatting sqref="A1588:XFD1594">
    <cfRule type="cellIs" dxfId="1317" priority="1151" operator="equal">
      <formula>"Insert data"</formula>
    </cfRule>
    <cfRule type="cellIs" dxfId="1316" priority="1150" operator="equal">
      <formula>"Insert unit"</formula>
    </cfRule>
  </conditionalFormatting>
  <conditionalFormatting sqref="A1612:XFD1621 A1623:XFD1634 A1596:XFD1609 D1610:XFD1610 A1610:B1611 C1611:I1611 K1611:XFD1611 H1621:K1624 A1622:B1622 D1622:XFD1622">
    <cfRule type="cellIs" dxfId="1315" priority="1140" operator="equal">
      <formula>"Insert unit"</formula>
    </cfRule>
  </conditionalFormatting>
  <conditionalFormatting sqref="A1612:XFD1634 A1596:XFD1609 D1610:XFD1610 A1610:B1611 C1611:I1611 K1611:XFD1611">
    <cfRule type="cellIs" dxfId="1314" priority="1141" operator="equal">
      <formula>"Insert data"</formula>
    </cfRule>
  </conditionalFormatting>
  <conditionalFormatting sqref="A1635:XFD1636">
    <cfRule type="cellIs" dxfId="1313" priority="1107" operator="equal">
      <formula>"Insert data"</formula>
    </cfRule>
    <cfRule type="cellIs" dxfId="1312" priority="1106" operator="equal">
      <formula>"Insert unit"</formula>
    </cfRule>
  </conditionalFormatting>
  <conditionalFormatting sqref="A1638:XFD1644">
    <cfRule type="cellIs" dxfId="1311" priority="1111" operator="equal">
      <formula>"Insert data"</formula>
    </cfRule>
    <cfRule type="cellIs" dxfId="1310" priority="1110" operator="equal">
      <formula>"Insert unit"</formula>
    </cfRule>
  </conditionalFormatting>
  <conditionalFormatting sqref="A1662:XFD1671 A1673:XFD1684 A1646:XFD1659 D1660:XFD1660 A1660:B1661 C1661:I1661 K1661:XFD1661 H1671:K1674 A1672:B1672 D1672:XFD1672">
    <cfRule type="cellIs" dxfId="1309" priority="1100" operator="equal">
      <formula>"Insert unit"</formula>
    </cfRule>
  </conditionalFormatting>
  <conditionalFormatting sqref="A1662:XFD1684 A1646:XFD1659 D1660:XFD1660 A1660:B1661 C1661:I1661 K1661:XFD1661">
    <cfRule type="cellIs" dxfId="1308" priority="1101" operator="equal">
      <formula>"Insert data"</formula>
    </cfRule>
  </conditionalFormatting>
  <conditionalFormatting sqref="A1685:XFD1686">
    <cfRule type="cellIs" dxfId="1307" priority="1066" operator="equal">
      <formula>"Insert unit"</formula>
    </cfRule>
    <cfRule type="cellIs" dxfId="1306" priority="1067" operator="equal">
      <formula>"Insert data"</formula>
    </cfRule>
  </conditionalFormatting>
  <conditionalFormatting sqref="A1688:XFD1694">
    <cfRule type="cellIs" dxfId="1305" priority="1070" operator="equal">
      <formula>"Insert unit"</formula>
    </cfRule>
    <cfRule type="cellIs" dxfId="1304" priority="1071" operator="equal">
      <formula>"Insert data"</formula>
    </cfRule>
  </conditionalFormatting>
  <conditionalFormatting sqref="A1712:XFD1721 A1723:XFD1734 A1696:XFD1709 D1710:XFD1710 A1710:B1711 C1711:I1711 K1711:XFD1711 H1721:K1725 A1722:B1722 D1722:XFD1722">
    <cfRule type="cellIs" dxfId="1303" priority="1060" operator="equal">
      <formula>"Insert unit"</formula>
    </cfRule>
  </conditionalFormatting>
  <conditionalFormatting sqref="A1712:XFD1734 A1696:XFD1709 D1710:XFD1710 A1710:B1711 C1711:I1711 K1711:XFD1711">
    <cfRule type="cellIs" dxfId="1302" priority="1061" operator="equal">
      <formula>"Insert data"</formula>
    </cfRule>
  </conditionalFormatting>
  <conditionalFormatting sqref="A1735:XFD1736">
    <cfRule type="cellIs" dxfId="1301" priority="1027" operator="equal">
      <formula>"Insert data"</formula>
    </cfRule>
    <cfRule type="cellIs" dxfId="1300" priority="1026" operator="equal">
      <formula>"Insert unit"</formula>
    </cfRule>
  </conditionalFormatting>
  <conditionalFormatting sqref="A1738:XFD1744">
    <cfRule type="cellIs" dxfId="1299" priority="1031" operator="equal">
      <formula>"Insert data"</formula>
    </cfRule>
    <cfRule type="cellIs" dxfId="1298" priority="1030" operator="equal">
      <formula>"Insert unit"</formula>
    </cfRule>
  </conditionalFormatting>
  <conditionalFormatting sqref="A1762:XFD1771 A1773:XFD1784 A1746:XFD1759 D1760:XFD1760 A1760:B1761 C1761:I1761 K1761:XFD1761 H1771:K1774 A1772:B1772 D1772:XFD1772">
    <cfRule type="cellIs" dxfId="1297" priority="1020" operator="equal">
      <formula>"Insert unit"</formula>
    </cfRule>
  </conditionalFormatting>
  <conditionalFormatting sqref="A1762:XFD1784 A1746:XFD1759 D1760:XFD1760 A1760:B1761 C1761:I1761 K1761:XFD1761">
    <cfRule type="cellIs" dxfId="1296" priority="1021" operator="equal">
      <formula>"Insert data"</formula>
    </cfRule>
  </conditionalFormatting>
  <conditionalFormatting sqref="A1785:XFD1786">
    <cfRule type="cellIs" dxfId="1295" priority="986" operator="equal">
      <formula>"Insert unit"</formula>
    </cfRule>
    <cfRule type="cellIs" dxfId="1294" priority="987" operator="equal">
      <formula>"Insert data"</formula>
    </cfRule>
  </conditionalFormatting>
  <conditionalFormatting sqref="A1788:XFD1794">
    <cfRule type="cellIs" dxfId="1293" priority="990" operator="equal">
      <formula>"Insert unit"</formula>
    </cfRule>
    <cfRule type="cellIs" dxfId="1292" priority="991" operator="equal">
      <formula>"Insert data"</formula>
    </cfRule>
  </conditionalFormatting>
  <conditionalFormatting sqref="A1812:XFD1821 A1823:XFD1834 A1796:XFD1809 D1810:XFD1810 A1810:B1811 C1811:I1811 K1811:XFD1811 H1821:K1824 A1822:B1822 D1822:XFD1822">
    <cfRule type="cellIs" dxfId="1291" priority="980" operator="equal">
      <formula>"Insert unit"</formula>
    </cfRule>
  </conditionalFormatting>
  <conditionalFormatting sqref="A1812:XFD1834 A1796:XFD1809 D1810:XFD1810 A1810:B1811 C1811:I1811 K1811:XFD1811">
    <cfRule type="cellIs" dxfId="1290" priority="981" operator="equal">
      <formula>"Insert data"</formula>
    </cfRule>
  </conditionalFormatting>
  <conditionalFormatting sqref="A1835:XFD1836">
    <cfRule type="cellIs" dxfId="1289" priority="946" operator="equal">
      <formula>"Insert unit"</formula>
    </cfRule>
    <cfRule type="cellIs" dxfId="1288" priority="947" operator="equal">
      <formula>"Insert data"</formula>
    </cfRule>
  </conditionalFormatting>
  <conditionalFormatting sqref="A1838:XFD1844">
    <cfRule type="cellIs" dxfId="1287" priority="950" operator="equal">
      <formula>"Insert unit"</formula>
    </cfRule>
    <cfRule type="cellIs" dxfId="1286" priority="951" operator="equal">
      <formula>"Insert data"</formula>
    </cfRule>
  </conditionalFormatting>
  <conditionalFormatting sqref="A1862:XFD1871 A1873:XFD1884 A1846:XFD1859 D1860:XFD1860 A1860:B1861 C1861:I1861 K1861:XFD1861 H1871:K1874 A1872:B1872 D1872:XFD1872">
    <cfRule type="cellIs" dxfId="1285" priority="940" operator="equal">
      <formula>"Insert unit"</formula>
    </cfRule>
  </conditionalFormatting>
  <conditionalFormatting sqref="A1862:XFD1884 A1846:XFD1859 D1860:XFD1860 A1860:B1861 C1861:I1861 K1861:XFD1861">
    <cfRule type="cellIs" dxfId="1284" priority="941" operator="equal">
      <formula>"Insert data"</formula>
    </cfRule>
  </conditionalFormatting>
  <conditionalFormatting sqref="A1885:XFD1886">
    <cfRule type="cellIs" dxfId="1283" priority="906" operator="equal">
      <formula>"Insert unit"</formula>
    </cfRule>
    <cfRule type="cellIs" dxfId="1282" priority="907" operator="equal">
      <formula>"Insert data"</formula>
    </cfRule>
  </conditionalFormatting>
  <conditionalFormatting sqref="A1888:XFD1894">
    <cfRule type="cellIs" dxfId="1281" priority="911" operator="equal">
      <formula>"Insert data"</formula>
    </cfRule>
    <cfRule type="cellIs" dxfId="1280" priority="910" operator="equal">
      <formula>"Insert unit"</formula>
    </cfRule>
  </conditionalFormatting>
  <conditionalFormatting sqref="A1912:XFD1921 A1923:XFD1934 A1896:XFD1909 D1910:XFD1910 A1910:B1911 C1911:I1911 K1911:XFD1911 H1921:K1924 A1922:B1922 D1922:XFD1922">
    <cfRule type="cellIs" dxfId="1279" priority="900" operator="equal">
      <formula>"Insert unit"</formula>
    </cfRule>
  </conditionalFormatting>
  <conditionalFormatting sqref="A1912:XFD1934 A1896:XFD1909 D1910:XFD1910 A1910:B1911 C1911:I1911 K1911:XFD1911">
    <cfRule type="cellIs" dxfId="1278" priority="901" operator="equal">
      <formula>"Insert data"</formula>
    </cfRule>
  </conditionalFormatting>
  <conditionalFormatting sqref="A1935:XFD1936">
    <cfRule type="cellIs" dxfId="1277" priority="867" operator="equal">
      <formula>"Insert data"</formula>
    </cfRule>
    <cfRule type="cellIs" dxfId="1276" priority="866" operator="equal">
      <formula>"Insert unit"</formula>
    </cfRule>
  </conditionalFormatting>
  <conditionalFormatting sqref="A1938:XFD1944">
    <cfRule type="cellIs" dxfId="1275" priority="870" operator="equal">
      <formula>"Insert unit"</formula>
    </cfRule>
    <cfRule type="cellIs" dxfId="1274" priority="871" operator="equal">
      <formula>"Insert data"</formula>
    </cfRule>
  </conditionalFormatting>
  <conditionalFormatting sqref="A1962:XFD1971 A1973:XFD1984 A1946:XFD1959 D1960:XFD1960 A1960:B1961 C1961:I1961 K1961:XFD1961 H1971:K1974 A1972:B1972 D1972:XFD1972">
    <cfRule type="cellIs" dxfId="1273" priority="860" operator="equal">
      <formula>"Insert unit"</formula>
    </cfRule>
  </conditionalFormatting>
  <conditionalFormatting sqref="A1962:XFD1984 A1946:XFD1959 D1960:XFD1960 A1960:B1961 C1961:I1961 K1961:XFD1961">
    <cfRule type="cellIs" dxfId="1272" priority="861" operator="equal">
      <formula>"Insert data"</formula>
    </cfRule>
  </conditionalFormatting>
  <conditionalFormatting sqref="A1985:XFD1986">
    <cfRule type="cellIs" dxfId="1271" priority="827" operator="equal">
      <formula>"Insert data"</formula>
    </cfRule>
    <cfRule type="cellIs" dxfId="1270" priority="826" operator="equal">
      <formula>"Insert unit"</formula>
    </cfRule>
  </conditionalFormatting>
  <conditionalFormatting sqref="A1988:XFD1994">
    <cfRule type="cellIs" dxfId="1269" priority="831" operator="equal">
      <formula>"Insert data"</formula>
    </cfRule>
    <cfRule type="cellIs" dxfId="1268" priority="830" operator="equal">
      <formula>"Insert unit"</formula>
    </cfRule>
  </conditionalFormatting>
  <conditionalFormatting sqref="A2012:XFD2021 A2023:XFD2034 A1996:XFD2009 D2010:XFD2010 A2010:B2011 C2011:I2011 K2011:XFD2011 H2021:K2024 A2022:B2022 D2022:XFD2022">
    <cfRule type="cellIs" dxfId="1267" priority="820" operator="equal">
      <formula>"Insert unit"</formula>
    </cfRule>
  </conditionalFormatting>
  <conditionalFormatting sqref="A2012:XFD2034 A1996:XFD2009 D2010:XFD2010 A2010:B2011 C2011:I2011 K2011:XFD2011">
    <cfRule type="cellIs" dxfId="1266" priority="821" operator="equal">
      <formula>"Insert data"</formula>
    </cfRule>
  </conditionalFormatting>
  <conditionalFormatting sqref="A2035:XFD2036">
    <cfRule type="cellIs" dxfId="1265" priority="787" operator="equal">
      <formula>"Insert data"</formula>
    </cfRule>
    <cfRule type="cellIs" dxfId="1264" priority="786" operator="equal">
      <formula>"Insert unit"</formula>
    </cfRule>
  </conditionalFormatting>
  <conditionalFormatting sqref="A2038:XFD2044">
    <cfRule type="cellIs" dxfId="1263" priority="790" operator="equal">
      <formula>"Insert unit"</formula>
    </cfRule>
    <cfRule type="cellIs" dxfId="1262" priority="791" operator="equal">
      <formula>"Insert data"</formula>
    </cfRule>
  </conditionalFormatting>
  <conditionalFormatting sqref="A2062:XFD2071 A2073:XFD2084 A2046:XFD2059 D2060:XFD2060 A2060:B2061 C2061:I2061 K2061:XFD2061 H2071:K2074 A2072:B2072 D2072:XFD2072">
    <cfRule type="cellIs" dxfId="1261" priority="780" operator="equal">
      <formula>"Insert unit"</formula>
    </cfRule>
  </conditionalFormatting>
  <conditionalFormatting sqref="A2062:XFD2084 A2046:XFD2059 D2060:XFD2060 A2060:B2061 C2061:I2061 K2061:XFD2061">
    <cfRule type="cellIs" dxfId="1260" priority="781" operator="equal">
      <formula>"Insert data"</formula>
    </cfRule>
  </conditionalFormatting>
  <conditionalFormatting sqref="A2085:XFD2086">
    <cfRule type="cellIs" dxfId="1259" priority="746" operator="equal">
      <formula>"Insert unit"</formula>
    </cfRule>
    <cfRule type="cellIs" dxfId="1258" priority="747" operator="equal">
      <formula>"Insert data"</formula>
    </cfRule>
  </conditionalFormatting>
  <conditionalFormatting sqref="A2088:XFD2094">
    <cfRule type="cellIs" dxfId="1257" priority="750" operator="equal">
      <formula>"Insert unit"</formula>
    </cfRule>
    <cfRule type="cellIs" dxfId="1256" priority="751" operator="equal">
      <formula>"Insert data"</formula>
    </cfRule>
  </conditionalFormatting>
  <conditionalFormatting sqref="A2112:XFD2121 A2123:XFD2134 A2096:XFD2109 D2110:XFD2110 A2110:B2111 C2111:I2111 K2111:XFD2111 H2121:K2124 A2122:B2122 D2122:XFD2122">
    <cfRule type="cellIs" dxfId="1255" priority="740" operator="equal">
      <formula>"Insert unit"</formula>
    </cfRule>
  </conditionalFormatting>
  <conditionalFormatting sqref="A2112:XFD2134 A2096:XFD2109 D2110:XFD2110 A2110:B2111 C2111:I2111 K2111:XFD2111">
    <cfRule type="cellIs" dxfId="1254" priority="741" operator="equal">
      <formula>"Insert data"</formula>
    </cfRule>
  </conditionalFormatting>
  <conditionalFormatting sqref="A2135:XFD2136">
    <cfRule type="cellIs" dxfId="1253" priority="707" operator="equal">
      <formula>"Insert data"</formula>
    </cfRule>
    <cfRule type="cellIs" dxfId="1252" priority="706" operator="equal">
      <formula>"Insert unit"</formula>
    </cfRule>
  </conditionalFormatting>
  <conditionalFormatting sqref="A2138:XFD2144">
    <cfRule type="cellIs" dxfId="1251" priority="711" operator="equal">
      <formula>"Insert data"</formula>
    </cfRule>
    <cfRule type="cellIs" dxfId="1250" priority="710" operator="equal">
      <formula>"Insert unit"</formula>
    </cfRule>
  </conditionalFormatting>
  <conditionalFormatting sqref="A2162:XFD2171 A2173:XFD2184 A2146:XFD2159 D2160:XFD2160 A2160:B2161 C2161:I2161 K2161:XFD2161 H2171:K2174 A2172:B2172 D2172:XFD2172">
    <cfRule type="cellIs" dxfId="1249" priority="700" operator="equal">
      <formula>"Insert unit"</formula>
    </cfRule>
  </conditionalFormatting>
  <conditionalFormatting sqref="A2162:XFD2184 A2146:XFD2159 D2160:XFD2160 A2160:B2161 C2161:I2161 K2161:XFD2161">
    <cfRule type="cellIs" dxfId="1248" priority="701" operator="equal">
      <formula>"Insert data"</formula>
    </cfRule>
  </conditionalFormatting>
  <conditionalFormatting sqref="A2185:XFD2186">
    <cfRule type="cellIs" dxfId="1247" priority="666" operator="equal">
      <formula>"Insert unit"</formula>
    </cfRule>
    <cfRule type="cellIs" dxfId="1246" priority="667" operator="equal">
      <formula>"Insert data"</formula>
    </cfRule>
  </conditionalFormatting>
  <conditionalFormatting sqref="A2188:XFD2194">
    <cfRule type="cellIs" dxfId="1245" priority="670" operator="equal">
      <formula>"Insert unit"</formula>
    </cfRule>
    <cfRule type="cellIs" dxfId="1244" priority="671" operator="equal">
      <formula>"Insert data"</formula>
    </cfRule>
  </conditionalFormatting>
  <conditionalFormatting sqref="A2212:XFD2221 A2223:XFD2234 A2196:XFD2209 D2210:XFD2210 A2210:B2211 C2211:I2211 K2211:XFD2211 H2221:K2224 A2222:B2222 D2222:XFD2222">
    <cfRule type="cellIs" dxfId="1243" priority="660" operator="equal">
      <formula>"Insert unit"</formula>
    </cfRule>
  </conditionalFormatting>
  <conditionalFormatting sqref="A2212:XFD2234 A2196:XFD2209 D2210:XFD2210 A2210:B2211 C2211:I2211 K2211:XFD2211">
    <cfRule type="cellIs" dxfId="1242" priority="661" operator="equal">
      <formula>"Insert data"</formula>
    </cfRule>
  </conditionalFormatting>
  <conditionalFormatting sqref="A2235:XFD2236">
    <cfRule type="cellIs" dxfId="1241" priority="627" operator="equal">
      <formula>"Insert data"</formula>
    </cfRule>
    <cfRule type="cellIs" dxfId="1240" priority="626" operator="equal">
      <formula>"Insert unit"</formula>
    </cfRule>
  </conditionalFormatting>
  <conditionalFormatting sqref="A2238:XFD2244">
    <cfRule type="cellIs" dxfId="1239" priority="630" operator="equal">
      <formula>"Insert unit"</formula>
    </cfRule>
    <cfRule type="cellIs" dxfId="1238" priority="631" operator="equal">
      <formula>"Insert data"</formula>
    </cfRule>
  </conditionalFormatting>
  <conditionalFormatting sqref="A2262:XFD2271 A2273:XFD2284 A2246:XFD2259 D2260:XFD2260 A2260:B2261 C2261:I2261 K2261:XFD2261 H2271:K2274 A2272:B2272 D2272:XFD2272">
    <cfRule type="cellIs" dxfId="1237" priority="620" operator="equal">
      <formula>"Insert unit"</formula>
    </cfRule>
  </conditionalFormatting>
  <conditionalFormatting sqref="A2262:XFD2284 A2246:XFD2259 D2260:XFD2260 A2260:B2261 C2261:I2261 K2261:XFD2261">
    <cfRule type="cellIs" dxfId="1236" priority="621" operator="equal">
      <formula>"Insert data"</formula>
    </cfRule>
  </conditionalFormatting>
  <conditionalFormatting sqref="A2285:XFD2286">
    <cfRule type="cellIs" dxfId="1235" priority="586" operator="equal">
      <formula>"Insert unit"</formula>
    </cfRule>
    <cfRule type="cellIs" dxfId="1234" priority="587" operator="equal">
      <formula>"Insert data"</formula>
    </cfRule>
  </conditionalFormatting>
  <conditionalFormatting sqref="A2288:XFD2294">
    <cfRule type="cellIs" dxfId="1233" priority="590" operator="equal">
      <formula>"Insert unit"</formula>
    </cfRule>
    <cfRule type="cellIs" dxfId="1232" priority="591" operator="equal">
      <formula>"Insert data"</formula>
    </cfRule>
  </conditionalFormatting>
  <conditionalFormatting sqref="A2312:XFD2321 A2323:XFD2334 A2296:XFD2309 D2310:XFD2310 A2310:B2311 C2311:I2311 K2311:XFD2311 H2321:K2324 A2322:B2322 D2322:XFD2322">
    <cfRule type="cellIs" dxfId="1231" priority="580" operator="equal">
      <formula>"Insert unit"</formula>
    </cfRule>
  </conditionalFormatting>
  <conditionalFormatting sqref="A2312:XFD2334 A2296:XFD2309 D2310:XFD2310 A2310:B2311 C2311:I2311 K2311:XFD2311">
    <cfRule type="cellIs" dxfId="1230" priority="581" operator="equal">
      <formula>"Insert data"</formula>
    </cfRule>
  </conditionalFormatting>
  <conditionalFormatting sqref="A2335:XFD2336">
    <cfRule type="cellIs" dxfId="1229" priority="547" operator="equal">
      <formula>"Insert data"</formula>
    </cfRule>
    <cfRule type="cellIs" dxfId="1228" priority="546" operator="equal">
      <formula>"Insert unit"</formula>
    </cfRule>
  </conditionalFormatting>
  <conditionalFormatting sqref="A2338:XFD2344">
    <cfRule type="cellIs" dxfId="1227" priority="551" operator="equal">
      <formula>"Insert data"</formula>
    </cfRule>
    <cfRule type="cellIs" dxfId="1226" priority="550" operator="equal">
      <formula>"Insert unit"</formula>
    </cfRule>
  </conditionalFormatting>
  <conditionalFormatting sqref="A2362:XFD2371 A2373:XFD2384 A2346:XFD2359 D2360:XFD2360 A2360:B2361 C2361:I2361 K2361:XFD2361 H2371:K2374 A2372:B2372 D2372:XFD2372">
    <cfRule type="cellIs" dxfId="1225" priority="540" operator="equal">
      <formula>"Insert unit"</formula>
    </cfRule>
  </conditionalFormatting>
  <conditionalFormatting sqref="A2362:XFD2384 A2346:XFD2359 D2360:XFD2360 A2360:B2361 C2361:I2361 K2361:XFD2361">
    <cfRule type="cellIs" dxfId="1224" priority="541" operator="equal">
      <formula>"Insert data"</formula>
    </cfRule>
  </conditionalFormatting>
  <conditionalFormatting sqref="A2385:XFD2386">
    <cfRule type="cellIs" dxfId="1223" priority="507" operator="equal">
      <formula>"Insert data"</formula>
    </cfRule>
    <cfRule type="cellIs" dxfId="1222" priority="506" operator="equal">
      <formula>"Insert unit"</formula>
    </cfRule>
  </conditionalFormatting>
  <conditionalFormatting sqref="A2388:XFD2394">
    <cfRule type="cellIs" dxfId="1221" priority="511" operator="equal">
      <formula>"Insert data"</formula>
    </cfRule>
    <cfRule type="cellIs" dxfId="1220" priority="510" operator="equal">
      <formula>"Insert unit"</formula>
    </cfRule>
  </conditionalFormatting>
  <conditionalFormatting sqref="A2412:XFD2421 A2423:XFD2434 A2396:XFD2409 D2410:XFD2410 A2410:B2411 C2411:I2411 K2411:XFD2411 H2421:K2424 A2422:B2422 D2422:XFD2422">
    <cfRule type="cellIs" dxfId="1219" priority="500" operator="equal">
      <formula>"Insert unit"</formula>
    </cfRule>
  </conditionalFormatting>
  <conditionalFormatting sqref="A2412:XFD2434 A2396:XFD2409 D2410:XFD2410 A2410:B2411 C2411:I2411 K2411:XFD2411">
    <cfRule type="cellIs" dxfId="1218" priority="501" operator="equal">
      <formula>"Insert data"</formula>
    </cfRule>
  </conditionalFormatting>
  <conditionalFormatting sqref="A2435:XFD2436">
    <cfRule type="cellIs" dxfId="1217" priority="467" operator="equal">
      <formula>"Insert data"</formula>
    </cfRule>
    <cfRule type="cellIs" dxfId="1216" priority="466" operator="equal">
      <formula>"Insert unit"</formula>
    </cfRule>
  </conditionalFormatting>
  <conditionalFormatting sqref="A2438:XFD2444">
    <cfRule type="cellIs" dxfId="1215" priority="470" operator="equal">
      <formula>"Insert unit"</formula>
    </cfRule>
    <cfRule type="cellIs" dxfId="1214" priority="471" operator="equal">
      <formula>"Insert data"</formula>
    </cfRule>
  </conditionalFormatting>
  <conditionalFormatting sqref="A2462:XFD2471 A2473:XFD2484 A2446:XFD2459 D2460:XFD2460 A2460:B2461 C2461:I2461 K2461:XFD2461 H2471:K2474 A2472:B2472 D2472:XFD2472">
    <cfRule type="cellIs" dxfId="1213" priority="460" operator="equal">
      <formula>"Insert unit"</formula>
    </cfRule>
  </conditionalFormatting>
  <conditionalFormatting sqref="A2462:XFD2484 A2446:XFD2459 D2460:XFD2460 A2460:B2461 C2461:I2461 K2461:XFD2461">
    <cfRule type="cellIs" dxfId="1212" priority="461" operator="equal">
      <formula>"Insert data"</formula>
    </cfRule>
  </conditionalFormatting>
  <conditionalFormatting sqref="A2485:XFD2486">
    <cfRule type="cellIs" dxfId="1211" priority="427" operator="equal">
      <formula>"Insert data"</formula>
    </cfRule>
    <cfRule type="cellIs" dxfId="1210" priority="426" operator="equal">
      <formula>"Insert unit"</formula>
    </cfRule>
  </conditionalFormatting>
  <conditionalFormatting sqref="A2488:XFD2494">
    <cfRule type="cellIs" dxfId="1209" priority="431" operator="equal">
      <formula>"Insert data"</formula>
    </cfRule>
    <cfRule type="cellIs" dxfId="1208" priority="430" operator="equal">
      <formula>"Insert unit"</formula>
    </cfRule>
  </conditionalFormatting>
  <conditionalFormatting sqref="A2512:XFD2521 A2523:XFD2534 A2496:XFD2509 D2510:XFD2510 A2510:B2511 C2511:I2511 K2511:XFD2511 H2521:K2524 A2522:B2522 D2522:XFD2522">
    <cfRule type="cellIs" dxfId="1207" priority="420" operator="equal">
      <formula>"Insert unit"</formula>
    </cfRule>
  </conditionalFormatting>
  <conditionalFormatting sqref="A2512:XFD2534 A2496:XFD2509 D2510:XFD2510 A2510:B2511 C2511:I2511 K2511:XFD2511">
    <cfRule type="cellIs" dxfId="1206" priority="421" operator="equal">
      <formula>"Insert data"</formula>
    </cfRule>
  </conditionalFormatting>
  <conditionalFormatting sqref="A2535:XFD2536">
    <cfRule type="cellIs" dxfId="1205" priority="386" operator="equal">
      <formula>"Insert unit"</formula>
    </cfRule>
    <cfRule type="cellIs" dxfId="1204" priority="387" operator="equal">
      <formula>"Insert data"</formula>
    </cfRule>
  </conditionalFormatting>
  <conditionalFormatting sqref="A2538:XFD2544">
    <cfRule type="cellIs" dxfId="1203" priority="391" operator="equal">
      <formula>"Insert data"</formula>
    </cfRule>
    <cfRule type="cellIs" dxfId="1202" priority="390" operator="equal">
      <formula>"Insert unit"</formula>
    </cfRule>
  </conditionalFormatting>
  <conditionalFormatting sqref="A2562:XFD2571 A2573:XFD2584 A2546:XFD2559 D2560:XFD2560 A2560:B2561 C2561:I2561 K2561:XFD2561 H2571:K2574 A2572:B2572 D2572:XFD2572">
    <cfRule type="cellIs" dxfId="1201" priority="380" operator="equal">
      <formula>"Insert unit"</formula>
    </cfRule>
  </conditionalFormatting>
  <conditionalFormatting sqref="A2562:XFD2584 A2546:XFD2559 D2560:XFD2560 A2560:B2561 C2561:I2561 K2561:XFD2561">
    <cfRule type="cellIs" dxfId="1200" priority="381" operator="equal">
      <formula>"Insert data"</formula>
    </cfRule>
  </conditionalFormatting>
  <conditionalFormatting sqref="A2585:XFD2586">
    <cfRule type="cellIs" dxfId="1199" priority="347" operator="equal">
      <formula>"Insert data"</formula>
    </cfRule>
    <cfRule type="cellIs" dxfId="1198" priority="346" operator="equal">
      <formula>"Insert unit"</formula>
    </cfRule>
  </conditionalFormatting>
  <conditionalFormatting sqref="A2588:XFD2594">
    <cfRule type="cellIs" dxfId="1197" priority="350" operator="equal">
      <formula>"Insert unit"</formula>
    </cfRule>
    <cfRule type="cellIs" dxfId="1196" priority="351" operator="equal">
      <formula>"Insert data"</formula>
    </cfRule>
  </conditionalFormatting>
  <conditionalFormatting sqref="A2612:XFD2621 A2623:XFD2634 A2596:XFD2609 D2610:XFD2610 A2610:B2611 C2611:I2611 K2611:XFD2611 H2621:K2625 A2622:B2622 D2622:XFD2622">
    <cfRule type="cellIs" dxfId="1195" priority="340" operator="equal">
      <formula>"Insert unit"</formula>
    </cfRule>
  </conditionalFormatting>
  <conditionalFormatting sqref="A2612:XFD2634 A2596:XFD2609 D2610:XFD2610 A2610:B2611 C2611:I2611 K2611:XFD2611">
    <cfRule type="cellIs" dxfId="1194" priority="341" operator="equal">
      <formula>"Insert data"</formula>
    </cfRule>
  </conditionalFormatting>
  <conditionalFormatting sqref="A2635:XFD2636">
    <cfRule type="cellIs" dxfId="1193" priority="306" operator="equal">
      <formula>"Insert unit"</formula>
    </cfRule>
    <cfRule type="cellIs" dxfId="1192" priority="307" operator="equal">
      <formula>"Insert data"</formula>
    </cfRule>
  </conditionalFormatting>
  <conditionalFormatting sqref="A2638:XFD2644">
    <cfRule type="cellIs" dxfId="1191" priority="310" operator="equal">
      <formula>"Insert unit"</formula>
    </cfRule>
    <cfRule type="cellIs" dxfId="1190" priority="311" operator="equal">
      <formula>"Insert data"</formula>
    </cfRule>
  </conditionalFormatting>
  <conditionalFormatting sqref="A2662:XFD2671 A2673:XFD2684 A2646:XFD2659 D2660:XFD2660 A2660:B2661 H2671:K2675 A2672:B2672 D2672:XFD2672">
    <cfRule type="cellIs" dxfId="1189" priority="302" operator="equal">
      <formula>"Insert unit"</formula>
    </cfRule>
  </conditionalFormatting>
  <conditionalFormatting sqref="A2662:XFD2684 A2646:XFD2659 D2660:XFD2660 A2660:B2661">
    <cfRule type="cellIs" dxfId="1188" priority="303" operator="equal">
      <formula>"Insert data"</formula>
    </cfRule>
  </conditionalFormatting>
  <conditionalFormatting sqref="A2685:XFD2686">
    <cfRule type="cellIs" dxfId="1187" priority="269" operator="equal">
      <formula>"Insert data"</formula>
    </cfRule>
    <cfRule type="cellIs" dxfId="1186" priority="268" operator="equal">
      <formula>"Insert unit"</formula>
    </cfRule>
  </conditionalFormatting>
  <conditionalFormatting sqref="A2688:XFD2694">
    <cfRule type="cellIs" dxfId="1185" priority="273" operator="equal">
      <formula>"Insert data"</formula>
    </cfRule>
    <cfRule type="cellIs" dxfId="1184" priority="272" operator="equal">
      <formula>"Insert unit"</formula>
    </cfRule>
  </conditionalFormatting>
  <conditionalFormatting sqref="A2712:XFD2721 A2723:XFD2734 A2696:XFD2709 D2710:XFD2710 A2710:B2711 H2721:K2725 A2722:B2722 D2722:XFD2722 A2746:XFD2759">
    <cfRule type="cellIs" dxfId="1183" priority="264" operator="equal">
      <formula>"Insert unit"</formula>
    </cfRule>
  </conditionalFormatting>
  <conditionalFormatting sqref="A2712:XFD2734 A2696:XFD2709 D2710:XFD2710 A2710:B2711 A2746:XFD2759">
    <cfRule type="cellIs" dxfId="1182" priority="265" operator="equal">
      <formula>"Insert data"</formula>
    </cfRule>
  </conditionalFormatting>
  <conditionalFormatting sqref="A2735:XFD2736">
    <cfRule type="cellIs" dxfId="1181" priority="230" operator="equal">
      <formula>"Insert unit"</formula>
    </cfRule>
    <cfRule type="cellIs" dxfId="1180" priority="231" operator="equal">
      <formula>"Insert data"</formula>
    </cfRule>
  </conditionalFormatting>
  <conditionalFormatting sqref="A2738:XFD2744">
    <cfRule type="cellIs" dxfId="1179" priority="235" operator="equal">
      <formula>"Insert data"</formula>
    </cfRule>
    <cfRule type="cellIs" dxfId="1178" priority="234" operator="equal">
      <formula>"Insert unit"</formula>
    </cfRule>
  </conditionalFormatting>
  <conditionalFormatting sqref="B12:L12 E13:L13 B13:B15 D14:L15 B16:L16 B17:G17 H17:L24 B18 G18 B19:G21 B22 F22:G22 H22:K25 B23:G24 B25 E25:L25 B26:L27 B28 E28:L28 B29:L31 B32 E32:L32 B33:L34 B9:L9 B10:B11">
    <cfRule type="expression" dxfId="1177" priority="2074">
      <formula>$D$13="No transport required"</formula>
    </cfRule>
  </conditionalFormatting>
  <conditionalFormatting sqref="B66:L66 B67:G67 H67:L74 B68 G68 B69:G71 B72 F72:G72 B73:G74 B75 E75:L75 B76:L77 B78 E78:L78 B79:L81 B82 E82:L82 B83:L84 B59:L59 B60:B61 B62:L62 B63:B65 E63:L65">
    <cfRule type="expression" dxfId="1176" priority="2055">
      <formula>$D$63="No transport required"</formula>
    </cfRule>
  </conditionalFormatting>
  <conditionalFormatting sqref="B109:L109 B110:B111 B116:L116 B117:G117 H117:L124 B118 G118 B119:G121 B122 F122:G122 B123:G124 B125 E125:L125 B126:L127 B128 E128:L128 B129:L131 B132 E132:L132 B133:L134 B112:L112 B113:B115 E113:L115">
    <cfRule type="expression" dxfId="1175" priority="2038">
      <formula>$D$113="No transport required"</formula>
    </cfRule>
  </conditionalFormatting>
  <conditionalFormatting sqref="B159:L159 B160:B161 B162:L162 B163:B165 E163:L165 B166:L166 B167:G167 H167:L174 B168 G168 B169:G171 B172 F172:G172 B173:G174 B175 E175:L175 B176:L177 B178 E178:L178 B179:L181 B182 E182:L182 B183:L184">
    <cfRule type="expression" dxfId="1174" priority="2021">
      <formula>$D$163="No transport required"</formula>
    </cfRule>
  </conditionalFormatting>
  <conditionalFormatting sqref="B216:L216 B217:G217 H217:L225 B218 G218 B219:G221 B222 F222:G222 B223:G224 B225 E225:G225 B226:L227 B228 E228:L228 B229:L231 B232 E232:L232 B233:L234 B209:L209 B210:B211 B212:L212 B213:B215 E213:L215">
    <cfRule type="expression" dxfId="1173" priority="2004">
      <formula>$D$213="No transport required"</formula>
    </cfRule>
  </conditionalFormatting>
  <conditionalFormatting sqref="B259:L259 B260:B261 B262:L262 E263:L263 B263:B265 D264:L265 B266:L266 B267:G267 H267:L274 B268 G268 B269:G271 B272 F272:G272 B273:G274 B275 E275:L275 B276:L277 B278 E278:L278 B279:L281 B282 E282:L282 B283:L284">
    <cfRule type="expression" dxfId="1172" priority="1987">
      <formula>$D$263="No transport required"</formula>
    </cfRule>
  </conditionalFormatting>
  <conditionalFormatting sqref="B309:L309 B310:B311 B312:L312 E313:L313 B313:B315 D314:L315 B316:L316 B317:G317 H317:L324 B318 G318 B319:G321 H321:K325 B322 F322:G322 B323:G324 B325 E325:L325 B326:L327 B328 E328:L328 B329:L331 B332 E332:L332 B333:L334">
    <cfRule type="expression" dxfId="1171" priority="1970">
      <formula>$D$313="No transport required"</formula>
    </cfRule>
  </conditionalFormatting>
  <conditionalFormatting sqref="B359:L359 B360:B361 B362:L362 E363:L363 B363:B365 D364:L365 B366:L366 B367:G367 H367:L374 B368 G368 B369:G371 H371:K375 B372 F372:G372 B373:G374 B375 E375:L375 B376:L377 B378 E378:L378 B379:L381 B382 E382:L382 B383:L384">
    <cfRule type="expression" dxfId="1170" priority="1953">
      <formula>$D$363="No transport required"</formula>
    </cfRule>
  </conditionalFormatting>
  <conditionalFormatting sqref="B409:L409 B410:B411 B412:L412 E413:L413 B413:B415 D414:L415 B416:L416 B417:G417 H417:L424 B418 G418 B419:G421 B422 F422:G422 B423:G424 B425 E425:L425 B426:L427 B428 E428:L428 B429:L431 B432 E432:L432 B433:L434">
    <cfRule type="expression" dxfId="1169" priority="1936">
      <formula>$D$413="No transport required"</formula>
    </cfRule>
  </conditionalFormatting>
  <conditionalFormatting sqref="B459:L459 B460:B461 B462:L462 E463:L463 B463:B465 D464:L465 B466:L466 B467:G467 H467:L474 B468 G468 B469:G471 H471:K475 B472 F472:G472 B473:G474 B475 E475:L475 B476:L477 B478 E478:L478 B479:L481 B482 E482:L482 B483:L484">
    <cfRule type="expression" dxfId="1168" priority="1919">
      <formula>$D$463="No transport required"</formula>
    </cfRule>
  </conditionalFormatting>
  <conditionalFormatting sqref="B559:L559 D560:L560 B560:B561 C561:I561 K561:L561 B562:L562 B563:B565 E563:L565 B566:L566 B567:G567 H567:L574 B568 G568 B569:G571 H571:K575 B572 F572:G572 B573:G574 B575 E575:L575 B576:L577 B578 E578:L578 B579:L581 B582 E582:L582 B583:L584">
    <cfRule type="expression" dxfId="1167" priority="1829">
      <formula>$D$563="No transport required"</formula>
    </cfRule>
  </conditionalFormatting>
  <conditionalFormatting sqref="B609:L609 D610:L610 B610:B611 C611:I611 K611:L611 B612:L612 B613:B615 E613:L615 B616:L616 B617:G617 H617:L624 B618 G618 B619:G621 H621:K625 B622 F622:G622 B623:G624 B625 E625:L625 B626:L627 B628 E628:L628 B629:L631 B632 E632:L632 B633:L634">
    <cfRule type="expression" dxfId="1166" priority="1812">
      <formula>$D$613="No transport required"</formula>
    </cfRule>
  </conditionalFormatting>
  <conditionalFormatting sqref="B659:L659 D660:L660 B660:B661 C661:I661 K661:L661 B662:L662 B663:B665 E663:L665 B666:L666 B667:G667 H667:L674 B668 G668 B669:G671 B672 F672:G672 B673:G674 B675 E675:L675 B676:L677 B678 E678:L678 B679:L681 B682 E682:L682 B683:L684">
    <cfRule type="expression" dxfId="1165" priority="1795">
      <formula>$D$663="No transport required"</formula>
    </cfRule>
  </conditionalFormatting>
  <conditionalFormatting sqref="B709:L709 D710:L710 B710:B711 C711:I711 K711:L711 B712:L712 B713:B715 E713:L715 B716:L716 B717:G717 H717:L724 B718 G718 B719:G721 H721:K725 B722 F722:G722 B723:G724 B725 E725:L725 B726:L727 B728 E728:L728 B729:L731 B732 E732:L732 B733:L734">
    <cfRule type="expression" dxfId="1164" priority="1778">
      <formula>$D$713="No transport required"</formula>
    </cfRule>
  </conditionalFormatting>
  <conditionalFormatting sqref="B759:L759 D760:L760 B760:B761 C761:I761 K761:L761 B762:L762 E763:L763 B763:B765 D764:L765 B766:L766 B767:G767 H767:L774 B768 G768 B769:G771 H771:K775 B772 F772:G772 B773:G774 B775 E775:L775 B776:L777 B778 E778:L778 B779:L781 B782 E782:L782 B783:L784">
    <cfRule type="expression" dxfId="1163" priority="1761">
      <formula>$D$763="No transport required"</formula>
    </cfRule>
  </conditionalFormatting>
  <conditionalFormatting sqref="B809:L809 D810:L810 B810:B811 C811:I811 K811:L811 B812:L812 E813:L813 B813:B815 D814:L815 B816:L816 B817:G817 H817:L824 B818 G818 B819:G821 H821:K825 B822 F822:G822 B823:G824 B825 E825:L825 B826:L827 B828 E828:L828 B829:L831 B832 E832:L832 B833:L834">
    <cfRule type="expression" dxfId="1162" priority="1744">
      <formula>$D$813="No transport required"</formula>
    </cfRule>
  </conditionalFormatting>
  <conditionalFormatting sqref="B859:L859 D860:L860 B860:B861 C861:I861 K861:L861 B862:L862 E863:L863 B863:B865 D864:L865 B866:L866 B867:G867 H867:L874 B868 G868 B869:G871 H871:K875 B872 F872:G872 B873:G874 B875 E875:L875 B876:L877 B878 E878:L878 B879:L881 B882 E882:L882 B883:L884">
    <cfRule type="expression" dxfId="1161" priority="1727">
      <formula>$D$863="No transport required"</formula>
    </cfRule>
  </conditionalFormatting>
  <conditionalFormatting sqref="B909:L909 D910:L910 B910:B911 C911:I911 K911:L911 B912:L912 E913:L913 B913:B915 D914:L915 B916:L916 B917:G917 H917:L924 B918 G918 B919:G921 B922 F922:G922 B923:G924 B925 E925:L925 B926:L927 B928 E928:L928 B929:L931 B932 E932:L932 B933:L934">
    <cfRule type="expression" dxfId="1160" priority="1710">
      <formula>$D$913="No transport required"</formula>
    </cfRule>
  </conditionalFormatting>
  <conditionalFormatting sqref="B959:L959 D960:L960 B960:B961 C961:I961 K961:L961 B962:L962 E963:L963 B963:B965 D964:L965 B966:L966 B967:G967 H967:L974 B968 G968 B969:G971 B972 F972:G972 B973:G974 B975 E975:L975 B976:L977 B978 E978:L978 B979:L981 B982 E982:L982 B983:L984">
    <cfRule type="expression" dxfId="1159" priority="1693">
      <formula>$D$963="No transport required"</formula>
    </cfRule>
  </conditionalFormatting>
  <conditionalFormatting sqref="B1009:L1009 D1010:L1010 B1010:B1011 C1011:I1011 K1011:L1011 B1012:L1012 E1013:L1013 B1013:B1015 D1014:L1015 B1016:L1016 B1017:G1017 H1017:L1024 B1018 G1018 B1019:G1021 B1022 F1022:G1022 B1023:G1024 B1025 E1025:L1025 B1026:L1027 B1028 E1028:L1028 B1029:L1031 B1032 E1032:L1032 B1033:L1034">
    <cfRule type="expression" dxfId="1158" priority="1603">
      <formula>$D$1013="No transport required"</formula>
    </cfRule>
  </conditionalFormatting>
  <conditionalFormatting sqref="B1059:L1059 D1060:L1060 B1060:B1061 C1061:I1061 K1061:L1061 B1062:L1062 E1063:L1063 B1063:B1065 D1064:L1065 B1066:L1066 B1067:G1067 H1067:L1074 B1068 G1068 B1069:G1071 H1071:K1075 B1072 F1072:G1072 B1073:G1074 B1075 E1075:L1075 B1076:L1077 B1078 E1078:L1078 B1079:L1081 B1082 E1082:L1082 B1083:L1084">
    <cfRule type="expression" dxfId="1157" priority="1565">
      <formula>$D$1063="No transport required"</formula>
    </cfRule>
  </conditionalFormatting>
  <conditionalFormatting sqref="B1109:L1109 D1110:L1110 B1110:B1111 C1111:I1111 K1111:L1111 B1112:L1112 E1113:L1113 B1113:B1115 D1114:L1115 B1116:L1116 B1117:G1117 H1117:L1124 B1118 G1118 B1119:G1121 B1122 F1122:G1122 B1123:G1124 B1125 E1125:L1125 B1126:L1127 B1128 E1128:L1128 B1129:L1131 B1132 E1132:L1132 B1133:L1134">
    <cfRule type="expression" dxfId="1156" priority="1525">
      <formula>$D$1113="No transport required"</formula>
    </cfRule>
  </conditionalFormatting>
  <conditionalFormatting sqref="B1159:L1159 D1160:L1160 B1160:B1161 C1161:I1161 K1161:L1161 B1162:L1162 E1163:L1163 B1163:B1165 D1164:L1165 B1166:L1166 B1167:G1167 H1167:L1174 B1168 G1168 B1169:G1171 B1172 F1172:G1172 B1173:G1174 B1175 E1175:L1175 B1176:L1177 B1178 E1178:L1178 B1179:L1181 B1182 E1182:L1182 B1183:L1184">
    <cfRule type="expression" dxfId="1155" priority="1485">
      <formula>$D$1163="No transport required"</formula>
    </cfRule>
  </conditionalFormatting>
  <conditionalFormatting sqref="B1209:L1209 D1210:L1210 B1210:B1211 C1211:I1211 K1211:L1211 B1212:L1212 E1213:L1213 B1213:B1215 D1214:L1215 B1216:L1216 B1217:G1217 H1217:L1224 B1218 G1218 B1219:G1221 B1222 F1222:G1222 B1223:G1224 B1225 E1225:L1225 B1226:L1227 B1228 E1228:L1228 B1229:L1231 B1232 E1232:L1232 B1233:L1234">
    <cfRule type="expression" dxfId="1154" priority="1445">
      <formula>$D$1213="No transport required"</formula>
    </cfRule>
  </conditionalFormatting>
  <conditionalFormatting sqref="B1259:L1259 D1260:L1260 B1260:B1261 C1261:I1261 K1261:L1261 B1262:L1262 E1263:L1263 B1263:B1265 D1264:L1265 B1266:L1266 B1267:G1267 H1267:L1274 B1268 G1268 B1269:G1271 H1271:K1275 B1272 F1272:G1272 B1273:G1274 B1275 E1275:L1275 B1276:L1277 B1278 E1278:L1278 B1279:L1281 B1282 E1282:L1282 B1283:L1284">
    <cfRule type="expression" dxfId="1153" priority="1403">
      <formula>$D$1263="No transport required"</formula>
    </cfRule>
  </conditionalFormatting>
  <conditionalFormatting sqref="B1309:L1309 D1310:L1310 B1310:B1311 C1311:I1311 K1311:L1311 B1312:L1312 E1313:L1313 B1313:B1315 D1314:L1315 B1316:L1316 B1317:G1317 H1317:L1324 B1318 G1318 B1319:G1321 B1322 F1322:G1322 B1323:G1324 B1325 E1325:L1325 B1326:L1327 B1328 E1328:L1328 B1329:L1331 B1332 E1332:L1332 B1333:L1334">
    <cfRule type="expression" dxfId="1152" priority="1363">
      <formula>$D$1313="No transport required"</formula>
    </cfRule>
  </conditionalFormatting>
  <conditionalFormatting sqref="B1359:L1359 D1360:L1360 B1360:B1361 C1361:I1361 K1361:L1361 B1362:L1362 E1363:L1363 B1363:B1365 D1364:L1365 B1366:L1366 B1367:G1367 H1367:L1374 B1368 G1368 B1369:G1371 B1372 F1372:G1372 B1373:G1374 B1375 E1375:L1375 B1376:L1377 B1378 E1378:L1378 B1379:L1381 B1382 E1382:L1382 B1383:L1384">
    <cfRule type="expression" dxfId="1151" priority="1323">
      <formula>$D$1363="No transport required"</formula>
    </cfRule>
  </conditionalFormatting>
  <conditionalFormatting sqref="B1409:L1409 D1410:L1410 B1410:B1411 C1411:I1411 K1411:L1411 B1412:L1412 E1413:L1413 B1413:B1415 D1414:L1415 B1416:L1416 B1417:G1417 H1417:L1424 B1418 G1418 B1419:G1421 B1422 F1422:G1422 B1423:G1424 B1425 E1425:L1425 B1426:L1427 B1428 E1428:L1428 B1429:L1431 B1432 E1432:L1432 B1433:L1434">
    <cfRule type="expression" dxfId="1150" priority="1283">
      <formula>$D$1413="No transport required"</formula>
    </cfRule>
  </conditionalFormatting>
  <conditionalFormatting sqref="B1459:L1459 D1460:L1460 B1460:B1461 C1461:I1461 K1461:L1461 B1462:L1462 E1463:L1463 B1463:B1465 D1464:L1465 B1466:L1466 B1467:G1467 H1467:L1474 B1468 G1468 B1469:G1471 B1472 F1472:G1472 B1473:G1474 B1475 E1475:L1475 B1476:L1477 B1478 E1478:L1478 B1479:L1481 B1482 E1482:L1482 B1483:L1484">
    <cfRule type="expression" dxfId="1149" priority="1243">
      <formula>$D$1463="No transport required"</formula>
    </cfRule>
  </conditionalFormatting>
  <conditionalFormatting sqref="B1509:L1509 D1510:L1510 B1510:B1511 C1511:I1511 K1511:L1511 B1512:L1512 E1513:L1513 B1513:B1515 D1514:L1515 B1516:L1516 B1517:G1517 H1517:L1524 B1518 G1518 B1519:G1521 B1522 F1522:G1522 B1523:G1524 B1525 E1525:L1525 B1526:L1527 B1528 E1528:L1528 B1529:L1531 B1532 E1532:L1532 B1533:L1534">
    <cfRule type="expression" dxfId="1148" priority="1203">
      <formula>$D$1513="No transport required"</formula>
    </cfRule>
  </conditionalFormatting>
  <conditionalFormatting sqref="B1559:L1559 D1560:L1560 B1560:B1561 C1561:I1561 K1561:L1561 B1562:L1562 E1563:L1563 B1563:B1565 D1564:L1565 B1566:L1566 B1567:G1567 H1567:L1574 B1568 G1568 B1569:G1571 B1572 F1572:G1572 B1573:G1574 B1575 E1575:L1575 B1576:L1577 B1578 E1578:L1578 B1579:L1581 B1582 E1582:L1582 B1583:L1584">
    <cfRule type="expression" dxfId="1147" priority="1163">
      <formula>$D$1563="No transport required"</formula>
    </cfRule>
  </conditionalFormatting>
  <conditionalFormatting sqref="B1609:L1609 D1610:L1610 B1610:B1611 C1611:I1611 K1611:L1611 B1612:L1612 E1613:L1613 B1613:B1615 D1614:L1615 B1616:L1616 B1617:G1617 H1617:L1624 B1618 G1618 B1619:G1621 B1622 F1622:G1622 B1623:G1624 B1625 E1625:L1625 B1626:L1627 B1628 E1628:L1628 B1629:L1631 B1632 E1632:L1632 B1633:L1634">
    <cfRule type="expression" dxfId="1146" priority="1123">
      <formula>$D$1613="No transport required"</formula>
    </cfRule>
  </conditionalFormatting>
  <conditionalFormatting sqref="B1659:L1659 D1660:L1660 B1660:B1661 C1661:I1661 K1661:L1661 B1662:L1662 E1663:L1663 B1663:B1665 D1664:L1665 B1666:L1666 B1667:G1667 H1667:L1674 B1668 G1668 B1669:G1671 B1672 F1672:G1672 B1673:G1674 B1675 E1675:L1675 B1676:L1677 B1678 E1678:L1678 B1679:L1681 B1682 E1682:L1682 B1683:L1684">
    <cfRule type="expression" dxfId="1145" priority="1083">
      <formula>$D$1663="No transport required"</formula>
    </cfRule>
  </conditionalFormatting>
  <conditionalFormatting sqref="B1709:L1709 D1710:L1710 B1710:B1711 C1711:I1711 K1711:L1711 B1712:L1712 E1713:L1713 B1713:B1715 D1714:L1715 B1716:L1716 B1717:G1717 H1717:L1724 B1718 G1718 B1719:G1721 H1721:K1725 B1722 F1722:G1722 B1723:G1724 B1725 E1725:L1725 B1726:L1727 B1728 E1728:L1728 B1729:L1731 B1732 E1732:L1732 B1733:L1734">
    <cfRule type="expression" dxfId="1144" priority="1043">
      <formula>$D$1713="No transport required"</formula>
    </cfRule>
  </conditionalFormatting>
  <conditionalFormatting sqref="B1759:L1759 D1760:L1760 B1760:B1761 C1761:I1761 K1761:L1761 B1762:L1762 E1763:L1763 B1763:B1765 D1764:L1765 B1766:L1766 B1767:G1767 H1767:L1774 B1768 G1768 B1769:G1771 B1772 F1772:G1772 B1773:G1774 B1775 E1775:L1775 B1776:L1777 B1778 E1778:L1778 B1779:L1781 B1782 E1782:L1782 B1783:L1784">
    <cfRule type="expression" dxfId="1143" priority="1003">
      <formula>$D$1763="No transport required"</formula>
    </cfRule>
  </conditionalFormatting>
  <conditionalFormatting sqref="B1809:L1809 D1810:L1810 B1810:B1811 C1811:I1811 K1811:L1811 B1812:L1812 E1813:L1813 B1813:B1815 D1814:L1815 B1816:L1816 B1817:G1817 H1817:L1824 B1818 G1818 B1819:G1821 B1822 F1822:G1822 B1823:G1824 B1825 E1825:L1825 B1826:L1827 B1828 E1828:L1828 B1829:L1831 B1832 E1832:L1832 B1833:L1834">
    <cfRule type="expression" dxfId="1142" priority="963">
      <formula>$D$1813="No transport required"</formula>
    </cfRule>
  </conditionalFormatting>
  <conditionalFormatting sqref="B1859:L1859 D1860:L1860 B1860:B1861 C1861:I1861 K1861:L1861 B1862:L1862 E1863:L1863 B1863:B1865 D1864:L1865 B1866:L1866 B1867:G1867 H1867:L1874 B1868 G1868 B1869:G1871 B1872 F1872:G1872 B1873:G1874 B1875 E1875:L1875 B1876:L1877 B1878 E1878:L1878 B1879:L1881 B1882 E1882:L1882 B1883:L1884">
    <cfRule type="expression" dxfId="1141" priority="923">
      <formula>$D$1863="No transport required"</formula>
    </cfRule>
  </conditionalFormatting>
  <conditionalFormatting sqref="B1909:L1909 D1910:L1910 B1910:B1911 C1911:I1911 K1911:L1911 B1912:L1912 E1913:L1913 B1913:B1915 D1914:L1915 B1916:L1916 B1917:G1917 H1917:L1924 B1918 G1918 B1919:G1921 B1922 F1922:G1922 B1923:G1924 B1925 E1925:L1925 B1926:L1927 B1928 E1928:L1928 B1929:L1931 B1932 E1932:L1932 B1933:L1934">
    <cfRule type="expression" dxfId="1140" priority="883">
      <formula>$D$1913="No transport required"</formula>
    </cfRule>
  </conditionalFormatting>
  <conditionalFormatting sqref="B1959:L1959 D1960:L1960 B1960:B1961 C1961:I1961 K1961:L1961 B1962:L1962 E1963:L1963 B1963:B1965 D1964:L1965 B1966:L1966 B1967:G1967 H1967:L1974 B1968 G1968 B1969:G1971 B1972 F1972:G1972 B1973:G1974 B1975 E1975:L1975 B1976:L1977 B1978 E1978:L1978 B1979:L1981 B1982 E1982:L1982 B1983:L1984">
    <cfRule type="expression" dxfId="1139" priority="843">
      <formula>$D$1963="No transport required"</formula>
    </cfRule>
  </conditionalFormatting>
  <conditionalFormatting sqref="B2009:L2009 D2010:L2010 B2010:B2011 C2011:I2011 K2011:L2011 B2012:L2012 E2013:L2013 B2013:B2015 D2014:L2015 B2016:L2016 B2017:G2017 H2017:L2024 B2018 G2018 B2019:G2021 B2022 F2022:G2022 B2023:G2024 B2025 E2025:L2025 B2026:L2027 B2028 E2028:L2028 B2029:L2031 B2032 E2032:L2032 B2033:L2034">
    <cfRule type="expression" dxfId="1138" priority="803">
      <formula>$D$2013="No transport required"</formula>
    </cfRule>
  </conditionalFormatting>
  <conditionalFormatting sqref="B2059:L2059 D2060:L2060 B2060:B2061 C2061:I2061 K2061:L2061 B2062:L2062 E2063:L2063 B2063:B2065 D2064:L2065 B2066:L2066 B2067:G2067 H2067:L2074 B2068 G2068 B2069:G2071 B2072 F2072:G2072 B2073:G2074 B2075 E2075:L2075 B2076:L2077 B2078 E2078:L2078 B2079:L2081 B2082 E2082:L2082 B2083:L2084">
    <cfRule type="expression" dxfId="1137" priority="763">
      <formula>$D$2063="No transport required"</formula>
    </cfRule>
  </conditionalFormatting>
  <conditionalFormatting sqref="B2109:L2109 D2110:L2110 B2110:B2111 C2111:I2111 K2111:L2111 B2112:L2112 E2113:L2113 B2113:B2115 D2114:L2115 B2116:L2116 B2117:G2117 H2117:L2124 B2118 G2118 B2119:G2121 B2122 F2122:G2122 B2123:G2124 B2125 E2125:L2125 B2126:L2127 B2128 E2128:L2128 B2129:L2131 B2132 E2132:L2132 B2133:L2134">
    <cfRule type="expression" dxfId="1136" priority="723">
      <formula>$D$2113="No transport required"</formula>
    </cfRule>
  </conditionalFormatting>
  <conditionalFormatting sqref="B2159:L2159 D2160:L2160 B2160:B2161 C2161:I2161 K2161:L2161 B2162:L2162 E2163:L2163 B2163:B2165 D2164:L2165 B2166:L2166 B2167:G2167 H2167:L2174 B2168 G2168 B2169:G2171 B2172 F2172:G2172 B2173:G2174 B2175 E2175:L2175 B2176:L2177 B2178 E2178:L2178 B2179:L2181 B2182 E2182:L2182 B2183:L2184">
    <cfRule type="expression" dxfId="1135" priority="683">
      <formula>$D$2163="No transport required"</formula>
    </cfRule>
  </conditionalFormatting>
  <conditionalFormatting sqref="B2209:L2209 D2210:L2210 B2210:B2211 C2211:I2211 K2211:L2211 B2212:L2212 E2213:L2213 B2213:B2215 D2214:L2215 B2216:L2216 B2217:G2217 H2217:L2224 B2218 G2218 B2219:G2221 B2222 F2222:G2222 B2223:G2224 B2225 E2225:L2225 B2226:L2227 B2228 E2228:L2228 B2229:L2231 B2232 E2232:L2232 B2233:L2234">
    <cfRule type="expression" dxfId="1134" priority="643">
      <formula>$D$2213="No transport required"</formula>
    </cfRule>
  </conditionalFormatting>
  <conditionalFormatting sqref="B2259:L2259 D2260:L2260 B2260:B2261 C2261:I2261 K2261:L2261 B2262:L2262 E2263:L2263 B2263:B2265 D2264:L2265 B2266:L2266 B2267:G2267 H2267:L2274 B2268 G2268 B2269:G2271 B2272 F2272:G2272 B2273:G2274 B2275 E2275:L2275 B2276:L2277 B2278 E2278:L2278 B2279:L2281 B2282 E2282:L2282 B2283:L2284">
    <cfRule type="expression" dxfId="1133" priority="603">
      <formula>$D$2263="No transport required"</formula>
    </cfRule>
  </conditionalFormatting>
  <conditionalFormatting sqref="B2309:L2309 D2310:L2310 B2310:B2311 C2311:I2311 K2311:L2311 B2312:L2312 E2313:L2313 B2313:B2315 D2314:L2315 B2316:L2316 B2317:G2317 H2317:L2324 B2318 G2318 B2319:G2321 B2322 F2322:G2322 B2323:G2324 B2325 E2325:L2325 B2326:L2327 B2328 E2328:L2328 B2329:L2331 B2332 E2332:L2332 B2333:L2334">
    <cfRule type="expression" dxfId="1132" priority="563">
      <formula>$D$2313="No transport required"</formula>
    </cfRule>
  </conditionalFormatting>
  <conditionalFormatting sqref="B2359:L2359 D2360:L2360 B2360:B2361 C2361:I2361 K2361:L2361 B2362:L2362 E2363:L2363 B2363:B2365 D2364:L2365 B2366:L2366 B2367:G2367 H2367:L2374 B2368 G2368 B2369:G2371 B2372 F2372:G2372 B2373:G2374 B2375 E2375:L2375 B2376:L2377 B2378 E2378:L2378 B2379:L2381 B2382 E2382:L2382 B2383:L2384">
    <cfRule type="expression" dxfId="1131" priority="523">
      <formula>$D$2363="No transport required"</formula>
    </cfRule>
  </conditionalFormatting>
  <conditionalFormatting sqref="B2409:L2409 D2410:L2410 B2410:B2411 C2411:I2411 K2411:L2411 B2412:L2412 E2413:L2413 B2413:B2415 D2414:L2415 B2416:L2416 B2417:G2417 H2417:L2424 B2418 G2418 B2419:G2421 B2422 F2422:G2422 B2423:G2424 B2425 E2425:L2425 B2426:L2427 B2428 E2428:L2428 B2429:L2431 B2432 E2432:L2432 B2433:L2434">
    <cfRule type="expression" dxfId="1130" priority="483">
      <formula>$D$2413="No transport required"</formula>
    </cfRule>
  </conditionalFormatting>
  <conditionalFormatting sqref="B2459:L2459 D2460:L2460 B2460:B2461 C2461:I2461 K2461:L2461 B2462:L2462 E2463:L2463 B2463:B2465 D2464:L2465 B2466:L2466 B2467:G2467 H2467:L2474 B2468 G2468 B2469:G2471 B2472 F2472:G2472 B2473:G2474 B2475 E2475:L2475 B2476:L2477 B2478 E2478:L2478 B2479:L2481 B2482 E2482:L2482 B2483:L2484">
    <cfRule type="expression" dxfId="1129" priority="443">
      <formula>$D$2463="No transport required"</formula>
    </cfRule>
  </conditionalFormatting>
  <conditionalFormatting sqref="B2509:L2509 D2510:L2510 B2510:B2511 C2511:I2511 K2511:L2511 B2512:L2512 E2513:L2513 B2513:B2515 D2514:L2515 B2516:L2516 B2517:G2517 H2517:L2524 B2518 G2518 B2519:G2521 B2522 F2522:G2522 B2523:G2524 B2525 E2525:L2525 B2526:L2527 B2528 E2528:L2528 B2529:L2531 B2532 E2532:L2532 B2533:L2534">
    <cfRule type="expression" dxfId="1128" priority="403">
      <formula>$D$2513="No transport required"</formula>
    </cfRule>
  </conditionalFormatting>
  <conditionalFormatting sqref="B2559:L2559 D2560:L2560 B2560:B2561 C2561:I2561 K2561:L2561 B2562:L2562 E2563:L2563 B2563:B2565 D2564:L2565 B2566:L2566 B2567:G2567 H2567:L2574 B2568 G2568 B2569:G2571 B2572 F2572:G2572 B2573:G2574 B2575 E2575:L2575 B2576:L2577 B2578 E2578:L2578 B2579:L2581 B2582 E2582:L2582 B2583:L2584">
    <cfRule type="expression" dxfId="1127" priority="363">
      <formula>$D$2563="No transport required"</formula>
    </cfRule>
  </conditionalFormatting>
  <conditionalFormatting sqref="B2609:L2609 D2610:L2610 B2610:B2611 C2611:I2611 K2611:L2611 B2612:L2612 E2613:L2613 B2613:B2615 D2614:L2615 B2616:L2616 B2617:G2617 H2617:L2624 B2618 G2618 B2619:G2621 H2621:K2625 B2622 F2622:G2622 B2623:G2624 B2625 E2625:L2625 B2626:L2627 B2628 E2628:L2628 B2629:L2631 B2632 E2632:L2632 B2633:L2634">
    <cfRule type="expression" dxfId="1126" priority="323">
      <formula>$D$2613="No transport required"</formula>
    </cfRule>
  </conditionalFormatting>
  <conditionalFormatting sqref="B2659:L2659 D2660:L2660 B2660:B2661 B2662:L2662 E2663:L2663 B2663:B2665 D2664:L2665 B2666:L2666 B2667:G2667 H2667:L2674 B2668 G2668 B2669:G2671 H2671:K2675 B2672 F2672:G2672 B2673:G2674 B2675 E2675:L2675 B2676:L2677 B2678 E2678:L2678 B2679:L2681 B2682 E2682:L2682 B2683:L2684">
    <cfRule type="expression" dxfId="1125" priority="285">
      <formula>$D$2663="No transport required"</formula>
    </cfRule>
  </conditionalFormatting>
  <conditionalFormatting sqref="B2709:L2709 D2710:L2710 B2710:B2711 B2712:L2712 E2713:L2713 B2713:B2715 D2714:L2715 B2716:L2716 B2717:G2717 H2717:L2724 B2718 G2718 B2719:G2721 H2721:K2725 B2722 F2722:G2722 B2723:G2724 B2725 E2725:L2725 B2726:L2727 B2728 E2728:L2728 B2729:L2731 B2732 E2732:L2732 B2733:L2734">
    <cfRule type="expression" dxfId="1124" priority="247">
      <formula>$D$2713="No transport required"</formula>
    </cfRule>
  </conditionalFormatting>
  <conditionalFormatting sqref="C10">
    <cfRule type="cellIs" dxfId="1123" priority="13" operator="equal">
      <formula>"Insert data"</formula>
    </cfRule>
    <cfRule type="expression" dxfId="1122" priority="14">
      <formula>$D$13="No transport required"</formula>
    </cfRule>
  </conditionalFormatting>
  <conditionalFormatting sqref="C19">
    <cfRule type="cellIs" dxfId="1121" priority="2088" operator="equal">
      <formula>"Default"</formula>
    </cfRule>
    <cfRule type="cellIs" dxfId="1120" priority="2087" operator="equal">
      <formula>"Actual"</formula>
    </cfRule>
  </conditionalFormatting>
  <conditionalFormatting sqref="C23">
    <cfRule type="cellIs" dxfId="1119" priority="2084" operator="equal">
      <formula>"Default"</formula>
    </cfRule>
    <cfRule type="cellIs" dxfId="1118" priority="2083" operator="equal">
      <formula>"Actual"</formula>
    </cfRule>
  </conditionalFormatting>
  <conditionalFormatting sqref="C60">
    <cfRule type="expression" dxfId="1117" priority="12">
      <formula>$D$63="No transport required"</formula>
    </cfRule>
  </conditionalFormatting>
  <conditionalFormatting sqref="C69">
    <cfRule type="cellIs" dxfId="1116" priority="2068" operator="equal">
      <formula>"Actual"</formula>
    </cfRule>
    <cfRule type="cellIs" dxfId="1115" priority="2069" operator="equal">
      <formula>"Default"</formula>
    </cfRule>
  </conditionalFormatting>
  <conditionalFormatting sqref="C73">
    <cfRule type="cellIs" dxfId="1114" priority="2065" operator="equal">
      <formula>"Default"</formula>
    </cfRule>
    <cfRule type="cellIs" dxfId="1113" priority="2064" operator="equal">
      <formula>"Actual"</formula>
    </cfRule>
  </conditionalFormatting>
  <conditionalFormatting sqref="C110">
    <cfRule type="expression" dxfId="1112" priority="11">
      <formula>$D$113="No transport required"</formula>
    </cfRule>
  </conditionalFormatting>
  <conditionalFormatting sqref="C119">
    <cfRule type="cellIs" dxfId="1111" priority="2052" operator="equal">
      <formula>"Default"</formula>
    </cfRule>
    <cfRule type="cellIs" dxfId="1110" priority="2051" operator="equal">
      <formula>"Actual"</formula>
    </cfRule>
  </conditionalFormatting>
  <conditionalFormatting sqref="C123">
    <cfRule type="cellIs" dxfId="1109" priority="2047" operator="equal">
      <formula>"Actual"</formula>
    </cfRule>
    <cfRule type="cellIs" dxfId="1108" priority="2048" operator="equal">
      <formula>"Default"</formula>
    </cfRule>
  </conditionalFormatting>
  <conditionalFormatting sqref="C160">
    <cfRule type="expression" dxfId="1107" priority="10">
      <formula>$D$163="No transport required"</formula>
    </cfRule>
  </conditionalFormatting>
  <conditionalFormatting sqref="C169">
    <cfRule type="cellIs" dxfId="1106" priority="2035" operator="equal">
      <formula>"Default"</formula>
    </cfRule>
    <cfRule type="cellIs" dxfId="1105" priority="2034" operator="equal">
      <formula>"Actual"</formula>
    </cfRule>
  </conditionalFormatting>
  <conditionalFormatting sqref="C173">
    <cfRule type="cellIs" dxfId="1104" priority="2030" operator="equal">
      <formula>"Actual"</formula>
    </cfRule>
    <cfRule type="cellIs" dxfId="1103" priority="2031" operator="equal">
      <formula>"Default"</formula>
    </cfRule>
  </conditionalFormatting>
  <conditionalFormatting sqref="C210">
    <cfRule type="expression" dxfId="1102" priority="9">
      <formula>$D$213="No transport required"</formula>
    </cfRule>
  </conditionalFormatting>
  <conditionalFormatting sqref="C219">
    <cfRule type="cellIs" dxfId="1101" priority="2018" operator="equal">
      <formula>"Default"</formula>
    </cfRule>
    <cfRule type="cellIs" dxfId="1100" priority="2017" operator="equal">
      <formula>"Actual"</formula>
    </cfRule>
  </conditionalFormatting>
  <conditionalFormatting sqref="C223">
    <cfRule type="cellIs" dxfId="1099" priority="2013" operator="equal">
      <formula>"Actual"</formula>
    </cfRule>
    <cfRule type="cellIs" dxfId="1098" priority="2014" operator="equal">
      <formula>"Default"</formula>
    </cfRule>
  </conditionalFormatting>
  <conditionalFormatting sqref="C260">
    <cfRule type="expression" dxfId="1097" priority="8">
      <formula>$D$263="No transport required"</formula>
    </cfRule>
  </conditionalFormatting>
  <conditionalFormatting sqref="C269">
    <cfRule type="cellIs" dxfId="1096" priority="2001" operator="equal">
      <formula>"Default"</formula>
    </cfRule>
    <cfRule type="cellIs" dxfId="1095" priority="2000" operator="equal">
      <formula>"Actual"</formula>
    </cfRule>
  </conditionalFormatting>
  <conditionalFormatting sqref="C273">
    <cfRule type="cellIs" dxfId="1094" priority="1996" operator="equal">
      <formula>"Actual"</formula>
    </cfRule>
    <cfRule type="cellIs" dxfId="1093" priority="1997" operator="equal">
      <formula>"Default"</formula>
    </cfRule>
  </conditionalFormatting>
  <conditionalFormatting sqref="C310">
    <cfRule type="expression" dxfId="1092" priority="7">
      <formula>$D$313="No transport required"</formula>
    </cfRule>
  </conditionalFormatting>
  <conditionalFormatting sqref="C319">
    <cfRule type="cellIs" dxfId="1091" priority="1984" operator="equal">
      <formula>"Default"</formula>
    </cfRule>
    <cfRule type="cellIs" dxfId="1090" priority="1983" operator="equal">
      <formula>"Actual"</formula>
    </cfRule>
  </conditionalFormatting>
  <conditionalFormatting sqref="C323">
    <cfRule type="cellIs" dxfId="1089" priority="1980" operator="equal">
      <formula>"Default"</formula>
    </cfRule>
    <cfRule type="cellIs" dxfId="1088" priority="1979" operator="equal">
      <formula>"Actual"</formula>
    </cfRule>
  </conditionalFormatting>
  <conditionalFormatting sqref="C360">
    <cfRule type="expression" dxfId="1087" priority="6">
      <formula>$D$363="No transport required"</formula>
    </cfRule>
  </conditionalFormatting>
  <conditionalFormatting sqref="C369">
    <cfRule type="cellIs" dxfId="1086" priority="1966" operator="equal">
      <formula>"Actual"</formula>
    </cfRule>
    <cfRule type="cellIs" dxfId="1085" priority="1967" operator="equal">
      <formula>"Default"</formula>
    </cfRule>
  </conditionalFormatting>
  <conditionalFormatting sqref="C373">
    <cfRule type="cellIs" dxfId="1084" priority="1962" operator="equal">
      <formula>"Actual"</formula>
    </cfRule>
    <cfRule type="cellIs" dxfId="1083" priority="1963" operator="equal">
      <formula>"Default"</formula>
    </cfRule>
  </conditionalFormatting>
  <conditionalFormatting sqref="C410">
    <cfRule type="expression" dxfId="1082" priority="5">
      <formula>$D$413="No transport required"</formula>
    </cfRule>
  </conditionalFormatting>
  <conditionalFormatting sqref="C419">
    <cfRule type="cellIs" dxfId="1081" priority="1949" operator="equal">
      <formula>"Actual"</formula>
    </cfRule>
    <cfRule type="cellIs" dxfId="1080" priority="1950" operator="equal">
      <formula>"Default"</formula>
    </cfRule>
  </conditionalFormatting>
  <conditionalFormatting sqref="C423">
    <cfRule type="cellIs" dxfId="1079" priority="1945" operator="equal">
      <formula>"Actual"</formula>
    </cfRule>
    <cfRule type="cellIs" dxfId="1078" priority="1946" operator="equal">
      <formula>"Default"</formula>
    </cfRule>
  </conditionalFormatting>
  <conditionalFormatting sqref="C460">
    <cfRule type="expression" dxfId="1077" priority="4">
      <formula>$D$463="No transport required"</formula>
    </cfRule>
  </conditionalFormatting>
  <conditionalFormatting sqref="C469">
    <cfRule type="cellIs" dxfId="1076" priority="1932" operator="equal">
      <formula>"Actual"</formula>
    </cfRule>
    <cfRule type="cellIs" dxfId="1075" priority="1933" operator="equal">
      <formula>"Default"</formula>
    </cfRule>
  </conditionalFormatting>
  <conditionalFormatting sqref="C473">
    <cfRule type="cellIs" dxfId="1074" priority="1929" operator="equal">
      <formula>"Default"</formula>
    </cfRule>
    <cfRule type="cellIs" dxfId="1073" priority="1928" operator="equal">
      <formula>"Actual"</formula>
    </cfRule>
  </conditionalFormatting>
  <conditionalFormatting sqref="C519">
    <cfRule type="cellIs" dxfId="1072" priority="1867" operator="equal">
      <formula>"Default"</formula>
    </cfRule>
    <cfRule type="cellIs" dxfId="1071" priority="1866" operator="equal">
      <formula>"Actual"</formula>
    </cfRule>
  </conditionalFormatting>
  <conditionalFormatting sqref="C523">
    <cfRule type="cellIs" dxfId="1070" priority="1863" operator="equal">
      <formula>"Default"</formula>
    </cfRule>
    <cfRule type="cellIs" dxfId="1069" priority="1862" operator="equal">
      <formula>"Actual"</formula>
    </cfRule>
  </conditionalFormatting>
  <conditionalFormatting sqref="C560">
    <cfRule type="cellIs" dxfId="1068" priority="1653" operator="equal">
      <formula>"Insert data"</formula>
    </cfRule>
    <cfRule type="cellIs" dxfId="1067" priority="1652" operator="equal">
      <formula>"Insert unit"</formula>
    </cfRule>
  </conditionalFormatting>
  <conditionalFormatting sqref="C569">
    <cfRule type="cellIs" dxfId="1066" priority="1843" operator="equal">
      <formula>"Default"</formula>
    </cfRule>
    <cfRule type="cellIs" dxfId="1065" priority="1842" operator="equal">
      <formula>"Actual"</formula>
    </cfRule>
  </conditionalFormatting>
  <conditionalFormatting sqref="C573">
    <cfRule type="cellIs" dxfId="1064" priority="1838" operator="equal">
      <formula>"Actual"</formula>
    </cfRule>
    <cfRule type="cellIs" dxfId="1063" priority="1839" operator="equal">
      <formula>"Default"</formula>
    </cfRule>
  </conditionalFormatting>
  <conditionalFormatting sqref="C610">
    <cfRule type="cellIs" dxfId="1062" priority="1650" operator="equal">
      <formula>"Insert unit"</formula>
    </cfRule>
    <cfRule type="cellIs" dxfId="1061" priority="1651" operator="equal">
      <formula>"Insert data"</formula>
    </cfRule>
  </conditionalFormatting>
  <conditionalFormatting sqref="C619">
    <cfRule type="cellIs" dxfId="1060" priority="1826" operator="equal">
      <formula>"Default"</formula>
    </cfRule>
    <cfRule type="cellIs" dxfId="1059" priority="1825" operator="equal">
      <formula>"Actual"</formula>
    </cfRule>
  </conditionalFormatting>
  <conditionalFormatting sqref="C623">
    <cfRule type="cellIs" dxfId="1058" priority="1822" operator="equal">
      <formula>"Default"</formula>
    </cfRule>
    <cfRule type="cellIs" dxfId="1057" priority="1821" operator="equal">
      <formula>"Actual"</formula>
    </cfRule>
  </conditionalFormatting>
  <conditionalFormatting sqref="C660">
    <cfRule type="cellIs" dxfId="1056" priority="1649" operator="equal">
      <formula>"Insert data"</formula>
    </cfRule>
    <cfRule type="cellIs" dxfId="1055" priority="1648" operator="equal">
      <formula>"Insert unit"</formula>
    </cfRule>
  </conditionalFormatting>
  <conditionalFormatting sqref="C669">
    <cfRule type="cellIs" dxfId="1054" priority="1809" operator="equal">
      <formula>"Default"</formula>
    </cfRule>
    <cfRule type="cellIs" dxfId="1053" priority="1808" operator="equal">
      <formula>"Actual"</formula>
    </cfRule>
  </conditionalFormatting>
  <conditionalFormatting sqref="C673">
    <cfRule type="cellIs" dxfId="1052" priority="1804" operator="equal">
      <formula>"Actual"</formula>
    </cfRule>
    <cfRule type="cellIs" dxfId="1051" priority="1805" operator="equal">
      <formula>"Default"</formula>
    </cfRule>
  </conditionalFormatting>
  <conditionalFormatting sqref="C710">
    <cfRule type="cellIs" dxfId="1050" priority="1647" operator="equal">
      <formula>"Insert data"</formula>
    </cfRule>
    <cfRule type="cellIs" dxfId="1049" priority="1646" operator="equal">
      <formula>"Insert unit"</formula>
    </cfRule>
  </conditionalFormatting>
  <conditionalFormatting sqref="C719">
    <cfRule type="cellIs" dxfId="1048" priority="1792" operator="equal">
      <formula>"Default"</formula>
    </cfRule>
    <cfRule type="cellIs" dxfId="1047" priority="1791" operator="equal">
      <formula>"Actual"</formula>
    </cfRule>
  </conditionalFormatting>
  <conditionalFormatting sqref="C723">
    <cfRule type="cellIs" dxfId="1046" priority="1787" operator="equal">
      <formula>"Actual"</formula>
    </cfRule>
    <cfRule type="cellIs" dxfId="1045" priority="1788" operator="equal">
      <formula>"Default"</formula>
    </cfRule>
  </conditionalFormatting>
  <conditionalFormatting sqref="C760">
    <cfRule type="cellIs" dxfId="1044" priority="1644" operator="equal">
      <formula>"Insert unit"</formula>
    </cfRule>
    <cfRule type="cellIs" dxfId="1043" priority="1645" operator="equal">
      <formula>"Insert data"</formula>
    </cfRule>
  </conditionalFormatting>
  <conditionalFormatting sqref="C769">
    <cfRule type="cellIs" dxfId="1042" priority="1774" operator="equal">
      <formula>"Actual"</formula>
    </cfRule>
    <cfRule type="cellIs" dxfId="1041" priority="1775" operator="equal">
      <formula>"Default"</formula>
    </cfRule>
  </conditionalFormatting>
  <conditionalFormatting sqref="C773">
    <cfRule type="cellIs" dxfId="1040" priority="1771" operator="equal">
      <formula>"Default"</formula>
    </cfRule>
    <cfRule type="cellIs" dxfId="1039" priority="1770" operator="equal">
      <formula>"Actual"</formula>
    </cfRule>
  </conditionalFormatting>
  <conditionalFormatting sqref="C810">
    <cfRule type="cellIs" dxfId="1038" priority="1642" operator="equal">
      <formula>"Insert unit"</formula>
    </cfRule>
    <cfRule type="cellIs" dxfId="1037" priority="1643" operator="equal">
      <formula>"Insert data"</formula>
    </cfRule>
  </conditionalFormatting>
  <conditionalFormatting sqref="C819">
    <cfRule type="cellIs" dxfId="1036" priority="1758" operator="equal">
      <formula>"Default"</formula>
    </cfRule>
    <cfRule type="cellIs" dxfId="1035" priority="1757" operator="equal">
      <formula>"Actual"</formula>
    </cfRule>
  </conditionalFormatting>
  <conditionalFormatting sqref="C823">
    <cfRule type="cellIs" dxfId="1034" priority="1754" operator="equal">
      <formula>"Default"</formula>
    </cfRule>
    <cfRule type="cellIs" dxfId="1033" priority="1753" operator="equal">
      <formula>"Actual"</formula>
    </cfRule>
  </conditionalFormatting>
  <conditionalFormatting sqref="C860">
    <cfRule type="cellIs" dxfId="1032" priority="1640" operator="equal">
      <formula>"Insert unit"</formula>
    </cfRule>
    <cfRule type="cellIs" dxfId="1031" priority="1641" operator="equal">
      <formula>"Insert data"</formula>
    </cfRule>
  </conditionalFormatting>
  <conditionalFormatting sqref="C869">
    <cfRule type="cellIs" dxfId="1030" priority="1741" operator="equal">
      <formula>"Default"</formula>
    </cfRule>
    <cfRule type="cellIs" dxfId="1029" priority="1740" operator="equal">
      <formula>"Actual"</formula>
    </cfRule>
  </conditionalFormatting>
  <conditionalFormatting sqref="C873">
    <cfRule type="cellIs" dxfId="1028" priority="1737" operator="equal">
      <formula>"Default"</formula>
    </cfRule>
    <cfRule type="cellIs" dxfId="1027" priority="1736" operator="equal">
      <formula>"Actual"</formula>
    </cfRule>
  </conditionalFormatting>
  <conditionalFormatting sqref="C910">
    <cfRule type="cellIs" dxfId="1026" priority="1639" operator="equal">
      <formula>"Insert data"</formula>
    </cfRule>
    <cfRule type="cellIs" dxfId="1025" priority="1638" operator="equal">
      <formula>"Insert unit"</formula>
    </cfRule>
  </conditionalFormatting>
  <conditionalFormatting sqref="C919">
    <cfRule type="cellIs" dxfId="1024" priority="1723" operator="equal">
      <formula>"Actual"</formula>
    </cfRule>
    <cfRule type="cellIs" dxfId="1023" priority="1724" operator="equal">
      <formula>"Default"</formula>
    </cfRule>
  </conditionalFormatting>
  <conditionalFormatting sqref="C923">
    <cfRule type="cellIs" dxfId="1022" priority="1720" operator="equal">
      <formula>"Default"</formula>
    </cfRule>
    <cfRule type="cellIs" dxfId="1021" priority="1719" operator="equal">
      <formula>"Actual"</formula>
    </cfRule>
  </conditionalFormatting>
  <conditionalFormatting sqref="C960">
    <cfRule type="cellIs" dxfId="1020" priority="1637" operator="equal">
      <formula>"Insert data"</formula>
    </cfRule>
    <cfRule type="cellIs" dxfId="1019" priority="1636" operator="equal">
      <formula>"Insert unit"</formula>
    </cfRule>
  </conditionalFormatting>
  <conditionalFormatting sqref="C969">
    <cfRule type="cellIs" dxfId="1018" priority="1706" operator="equal">
      <formula>"Actual"</formula>
    </cfRule>
    <cfRule type="cellIs" dxfId="1017" priority="1707" operator="equal">
      <formula>"Default"</formula>
    </cfRule>
  </conditionalFormatting>
  <conditionalFormatting sqref="C973">
    <cfRule type="cellIs" dxfId="1016" priority="1702" operator="equal">
      <formula>"Actual"</formula>
    </cfRule>
    <cfRule type="cellIs" dxfId="1015" priority="1703" operator="equal">
      <formula>"Default"</formula>
    </cfRule>
  </conditionalFormatting>
  <conditionalFormatting sqref="C1010">
    <cfRule type="cellIs" dxfId="1014" priority="1599" operator="equal">
      <formula>"Insert data"</formula>
    </cfRule>
    <cfRule type="cellIs" dxfId="1013" priority="1598" operator="equal">
      <formula>"Insert unit"</formula>
    </cfRule>
  </conditionalFormatting>
  <conditionalFormatting sqref="C1019">
    <cfRule type="cellIs" dxfId="1012" priority="1616" operator="equal">
      <formula>"Actual"</formula>
    </cfRule>
    <cfRule type="cellIs" dxfId="1011" priority="1617" operator="equal">
      <formula>"Default"</formula>
    </cfRule>
  </conditionalFormatting>
  <conditionalFormatting sqref="C1023">
    <cfRule type="cellIs" dxfId="1010" priority="1613" operator="equal">
      <formula>"Default"</formula>
    </cfRule>
    <cfRule type="cellIs" dxfId="1009" priority="1612" operator="equal">
      <formula>"Actual"</formula>
    </cfRule>
  </conditionalFormatting>
  <conditionalFormatting sqref="C1060">
    <cfRule type="cellIs" dxfId="1008" priority="1561" operator="equal">
      <formula>"Insert data"</formula>
    </cfRule>
    <cfRule type="cellIs" dxfId="1007" priority="1560" operator="equal">
      <formula>"Insert unit"</formula>
    </cfRule>
  </conditionalFormatting>
  <conditionalFormatting sqref="C1069">
    <cfRule type="cellIs" dxfId="1006" priority="1578" operator="equal">
      <formula>"Actual"</formula>
    </cfRule>
    <cfRule type="cellIs" dxfId="1005" priority="1579" operator="equal">
      <formula>"Default"</formula>
    </cfRule>
  </conditionalFormatting>
  <conditionalFormatting sqref="C1073">
    <cfRule type="cellIs" dxfId="1004" priority="1575" operator="equal">
      <formula>"Default"</formula>
    </cfRule>
    <cfRule type="cellIs" dxfId="1003" priority="1574" operator="equal">
      <formula>"Actual"</formula>
    </cfRule>
  </conditionalFormatting>
  <conditionalFormatting sqref="C1110">
    <cfRule type="cellIs" dxfId="1002" priority="1520" operator="equal">
      <formula>"Insert unit"</formula>
    </cfRule>
    <cfRule type="cellIs" dxfId="1001" priority="1521" operator="equal">
      <formula>"Insert data"</formula>
    </cfRule>
  </conditionalFormatting>
  <conditionalFormatting sqref="C1119">
    <cfRule type="cellIs" dxfId="1000" priority="1538" operator="equal">
      <formula>"Actual"</formula>
    </cfRule>
    <cfRule type="cellIs" dxfId="999" priority="1539" operator="equal">
      <formula>"Default"</formula>
    </cfRule>
  </conditionalFormatting>
  <conditionalFormatting sqref="C1123">
    <cfRule type="cellIs" dxfId="998" priority="1535" operator="equal">
      <formula>"Default"</formula>
    </cfRule>
    <cfRule type="cellIs" dxfId="997" priority="1534" operator="equal">
      <formula>"Actual"</formula>
    </cfRule>
  </conditionalFormatting>
  <conditionalFormatting sqref="C1160">
    <cfRule type="cellIs" dxfId="996" priority="1481" operator="equal">
      <formula>"Insert data"</formula>
    </cfRule>
    <cfRule type="cellIs" dxfId="995" priority="1480" operator="equal">
      <formula>"Insert unit"</formula>
    </cfRule>
  </conditionalFormatting>
  <conditionalFormatting sqref="C1169">
    <cfRule type="cellIs" dxfId="994" priority="1498" operator="equal">
      <formula>"Actual"</formula>
    </cfRule>
    <cfRule type="cellIs" dxfId="993" priority="1499" operator="equal">
      <formula>"Default"</formula>
    </cfRule>
  </conditionalFormatting>
  <conditionalFormatting sqref="C1173">
    <cfRule type="cellIs" dxfId="992" priority="1494" operator="equal">
      <formula>"Actual"</formula>
    </cfRule>
    <cfRule type="cellIs" dxfId="991" priority="1495" operator="equal">
      <formula>"Default"</formula>
    </cfRule>
  </conditionalFormatting>
  <conditionalFormatting sqref="C1210">
    <cfRule type="cellIs" dxfId="990" priority="1441" operator="equal">
      <formula>"Insert data"</formula>
    </cfRule>
    <cfRule type="cellIs" dxfId="989" priority="1440" operator="equal">
      <formula>"Insert unit"</formula>
    </cfRule>
  </conditionalFormatting>
  <conditionalFormatting sqref="C1219">
    <cfRule type="cellIs" dxfId="988" priority="1459" operator="equal">
      <formula>"Default"</formula>
    </cfRule>
    <cfRule type="cellIs" dxfId="987" priority="1458" operator="equal">
      <formula>"Actual"</formula>
    </cfRule>
  </conditionalFormatting>
  <conditionalFormatting sqref="C1223">
    <cfRule type="cellIs" dxfId="986" priority="1455" operator="equal">
      <formula>"Default"</formula>
    </cfRule>
    <cfRule type="cellIs" dxfId="985" priority="1454" operator="equal">
      <formula>"Actual"</formula>
    </cfRule>
  </conditionalFormatting>
  <conditionalFormatting sqref="C1260">
    <cfRule type="cellIs" dxfId="984" priority="1399" operator="equal">
      <formula>"Insert data"</formula>
    </cfRule>
    <cfRule type="cellIs" dxfId="983" priority="1398" operator="equal">
      <formula>"Insert unit"</formula>
    </cfRule>
  </conditionalFormatting>
  <conditionalFormatting sqref="C1269">
    <cfRule type="cellIs" dxfId="982" priority="1416" operator="equal">
      <formula>"Actual"</formula>
    </cfRule>
    <cfRule type="cellIs" dxfId="981" priority="1417" operator="equal">
      <formula>"Default"</formula>
    </cfRule>
  </conditionalFormatting>
  <conditionalFormatting sqref="C1273">
    <cfRule type="cellIs" dxfId="980" priority="1412" operator="equal">
      <formula>"Actual"</formula>
    </cfRule>
    <cfRule type="cellIs" dxfId="979" priority="1413" operator="equal">
      <formula>"Default"</formula>
    </cfRule>
  </conditionalFormatting>
  <conditionalFormatting sqref="C1310">
    <cfRule type="cellIs" dxfId="978" priority="217" operator="equal">
      <formula>"Insert unit"</formula>
    </cfRule>
    <cfRule type="cellIs" dxfId="977" priority="218" operator="equal">
      <formula>"Insert data"</formula>
    </cfRule>
  </conditionalFormatting>
  <conditionalFormatting sqref="C1319">
    <cfRule type="cellIs" dxfId="976" priority="1377" operator="equal">
      <formula>"Default"</formula>
    </cfRule>
    <cfRule type="cellIs" dxfId="975" priority="1376" operator="equal">
      <formula>"Actual"</formula>
    </cfRule>
  </conditionalFormatting>
  <conditionalFormatting sqref="C1323">
    <cfRule type="cellIs" dxfId="974" priority="1373" operator="equal">
      <formula>"Default"</formula>
    </cfRule>
    <cfRule type="cellIs" dxfId="973" priority="1372" operator="equal">
      <formula>"Actual"</formula>
    </cfRule>
  </conditionalFormatting>
  <conditionalFormatting sqref="C1360">
    <cfRule type="cellIs" dxfId="972" priority="212" operator="equal">
      <formula>"Insert unit"</formula>
    </cfRule>
    <cfRule type="cellIs" dxfId="971" priority="213" operator="equal">
      <formula>"Insert data"</formula>
    </cfRule>
  </conditionalFormatting>
  <conditionalFormatting sqref="C1369">
    <cfRule type="cellIs" dxfId="970" priority="1337" operator="equal">
      <formula>"Default"</formula>
    </cfRule>
    <cfRule type="cellIs" dxfId="969" priority="1336" operator="equal">
      <formula>"Actual"</formula>
    </cfRule>
  </conditionalFormatting>
  <conditionalFormatting sqref="C1373">
    <cfRule type="cellIs" dxfId="968" priority="1332" operator="equal">
      <formula>"Actual"</formula>
    </cfRule>
    <cfRule type="cellIs" dxfId="967" priority="1333" operator="equal">
      <formula>"Default"</formula>
    </cfRule>
  </conditionalFormatting>
  <conditionalFormatting sqref="C1410">
    <cfRule type="cellIs" dxfId="966" priority="207" operator="equal">
      <formula>"Insert unit"</formula>
    </cfRule>
    <cfRule type="cellIs" dxfId="965" priority="208" operator="equal">
      <formula>"Insert data"</formula>
    </cfRule>
  </conditionalFormatting>
  <conditionalFormatting sqref="C1419">
    <cfRule type="cellIs" dxfId="964" priority="1296" operator="equal">
      <formula>"Actual"</formula>
    </cfRule>
    <cfRule type="cellIs" dxfId="963" priority="1297" operator="equal">
      <formula>"Default"</formula>
    </cfRule>
  </conditionalFormatting>
  <conditionalFormatting sqref="C1423">
    <cfRule type="cellIs" dxfId="962" priority="1292" operator="equal">
      <formula>"Actual"</formula>
    </cfRule>
    <cfRule type="cellIs" dxfId="961" priority="1293" operator="equal">
      <formula>"Default"</formula>
    </cfRule>
  </conditionalFormatting>
  <conditionalFormatting sqref="C1460">
    <cfRule type="cellIs" dxfId="960" priority="202" operator="equal">
      <formula>"Insert unit"</formula>
    </cfRule>
    <cfRule type="cellIs" dxfId="959" priority="203" operator="equal">
      <formula>"Insert data"</formula>
    </cfRule>
  </conditionalFormatting>
  <conditionalFormatting sqref="C1469">
    <cfRule type="cellIs" dxfId="958" priority="1257" operator="equal">
      <formula>"Default"</formula>
    </cfRule>
    <cfRule type="cellIs" dxfId="957" priority="1256" operator="equal">
      <formula>"Actual"</formula>
    </cfRule>
  </conditionalFormatting>
  <conditionalFormatting sqref="C1473">
    <cfRule type="cellIs" dxfId="956" priority="1253" operator="equal">
      <formula>"Default"</formula>
    </cfRule>
    <cfRule type="cellIs" dxfId="955" priority="1252" operator="equal">
      <formula>"Actual"</formula>
    </cfRule>
  </conditionalFormatting>
  <conditionalFormatting sqref="C1510">
    <cfRule type="cellIs" dxfId="954" priority="197" operator="equal">
      <formula>"Insert unit"</formula>
    </cfRule>
    <cfRule type="cellIs" dxfId="953" priority="198" operator="equal">
      <formula>"Insert data"</formula>
    </cfRule>
  </conditionalFormatting>
  <conditionalFormatting sqref="C1519">
    <cfRule type="cellIs" dxfId="952" priority="1217" operator="equal">
      <formula>"Default"</formula>
    </cfRule>
    <cfRule type="cellIs" dxfId="951" priority="1216" operator="equal">
      <formula>"Actual"</formula>
    </cfRule>
  </conditionalFormatting>
  <conditionalFormatting sqref="C1523">
    <cfRule type="cellIs" dxfId="950" priority="1213" operator="equal">
      <formula>"Default"</formula>
    </cfRule>
    <cfRule type="cellIs" dxfId="949" priority="1212" operator="equal">
      <formula>"Actual"</formula>
    </cfRule>
  </conditionalFormatting>
  <conditionalFormatting sqref="C1560">
    <cfRule type="cellIs" dxfId="948" priority="193" operator="equal">
      <formula>"Insert data"</formula>
    </cfRule>
    <cfRule type="cellIs" dxfId="947" priority="192" operator="equal">
      <formula>"Insert unit"</formula>
    </cfRule>
  </conditionalFormatting>
  <conditionalFormatting sqref="C1569">
    <cfRule type="cellIs" dxfId="946" priority="1177" operator="equal">
      <formula>"Default"</formula>
    </cfRule>
    <cfRule type="cellIs" dxfId="945" priority="1176" operator="equal">
      <formula>"Actual"</formula>
    </cfRule>
  </conditionalFormatting>
  <conditionalFormatting sqref="C1573">
    <cfRule type="cellIs" dxfId="944" priority="1173" operator="equal">
      <formula>"Default"</formula>
    </cfRule>
    <cfRule type="cellIs" dxfId="943" priority="1172" operator="equal">
      <formula>"Actual"</formula>
    </cfRule>
  </conditionalFormatting>
  <conditionalFormatting sqref="C1610">
    <cfRule type="cellIs" dxfId="942" priority="187" operator="equal">
      <formula>"Insert unit"</formula>
    </cfRule>
    <cfRule type="cellIs" dxfId="941" priority="188" operator="equal">
      <formula>"Insert data"</formula>
    </cfRule>
  </conditionalFormatting>
  <conditionalFormatting sqref="C1619">
    <cfRule type="cellIs" dxfId="940" priority="1136" operator="equal">
      <formula>"Actual"</formula>
    </cfRule>
    <cfRule type="cellIs" dxfId="939" priority="1137" operator="equal">
      <formula>"Default"</formula>
    </cfRule>
  </conditionalFormatting>
  <conditionalFormatting sqref="C1623">
    <cfRule type="cellIs" dxfId="938" priority="1132" operator="equal">
      <formula>"Actual"</formula>
    </cfRule>
    <cfRule type="cellIs" dxfId="937" priority="1133" operator="equal">
      <formula>"Default"</formula>
    </cfRule>
  </conditionalFormatting>
  <conditionalFormatting sqref="C1660">
    <cfRule type="cellIs" dxfId="936" priority="183" operator="equal">
      <formula>"Insert data"</formula>
    </cfRule>
    <cfRule type="cellIs" dxfId="935" priority="182" operator="equal">
      <formula>"Insert unit"</formula>
    </cfRule>
  </conditionalFormatting>
  <conditionalFormatting sqref="C1669">
    <cfRule type="cellIs" dxfId="934" priority="1097" operator="equal">
      <formula>"Default"</formula>
    </cfRule>
    <cfRule type="cellIs" dxfId="933" priority="1096" operator="equal">
      <formula>"Actual"</formula>
    </cfRule>
  </conditionalFormatting>
  <conditionalFormatting sqref="C1673">
    <cfRule type="cellIs" dxfId="932" priority="1092" operator="equal">
      <formula>"Actual"</formula>
    </cfRule>
    <cfRule type="cellIs" dxfId="931" priority="1093" operator="equal">
      <formula>"Default"</formula>
    </cfRule>
  </conditionalFormatting>
  <conditionalFormatting sqref="C1710">
    <cfRule type="cellIs" dxfId="930" priority="178" operator="equal">
      <formula>"Insert data"</formula>
    </cfRule>
    <cfRule type="cellIs" dxfId="929" priority="177" operator="equal">
      <formula>"Insert unit"</formula>
    </cfRule>
  </conditionalFormatting>
  <conditionalFormatting sqref="C1719">
    <cfRule type="cellIs" dxfId="928" priority="1057" operator="equal">
      <formula>"Default"</formula>
    </cfRule>
    <cfRule type="cellIs" dxfId="927" priority="1056" operator="equal">
      <formula>"Actual"</formula>
    </cfRule>
  </conditionalFormatting>
  <conditionalFormatting sqref="C1723">
    <cfRule type="cellIs" dxfId="926" priority="1053" operator="equal">
      <formula>"Default"</formula>
    </cfRule>
    <cfRule type="cellIs" dxfId="925" priority="1052" operator="equal">
      <formula>"Actual"</formula>
    </cfRule>
  </conditionalFormatting>
  <conditionalFormatting sqref="C1760">
    <cfRule type="cellIs" dxfId="924" priority="173" operator="equal">
      <formula>"Insert data"</formula>
    </cfRule>
    <cfRule type="cellIs" dxfId="923" priority="172" operator="equal">
      <formula>"Insert unit"</formula>
    </cfRule>
  </conditionalFormatting>
  <conditionalFormatting sqref="C1769">
    <cfRule type="cellIs" dxfId="922" priority="1017" operator="equal">
      <formula>"Default"</formula>
    </cfRule>
    <cfRule type="cellIs" dxfId="921" priority="1016" operator="equal">
      <formula>"Actual"</formula>
    </cfRule>
  </conditionalFormatting>
  <conditionalFormatting sqref="C1773">
    <cfRule type="cellIs" dxfId="920" priority="1013" operator="equal">
      <formula>"Default"</formula>
    </cfRule>
    <cfRule type="cellIs" dxfId="919" priority="1012" operator="equal">
      <formula>"Actual"</formula>
    </cfRule>
  </conditionalFormatting>
  <conditionalFormatting sqref="C1810">
    <cfRule type="cellIs" dxfId="918" priority="168" operator="equal">
      <formula>"Insert data"</formula>
    </cfRule>
    <cfRule type="cellIs" dxfId="917" priority="167" operator="equal">
      <formula>"Insert unit"</formula>
    </cfRule>
  </conditionalFormatting>
  <conditionalFormatting sqref="C1819">
    <cfRule type="cellIs" dxfId="916" priority="977" operator="equal">
      <formula>"Default"</formula>
    </cfRule>
    <cfRule type="cellIs" dxfId="915" priority="976" operator="equal">
      <formula>"Actual"</formula>
    </cfRule>
  </conditionalFormatting>
  <conditionalFormatting sqref="C1823">
    <cfRule type="cellIs" dxfId="914" priority="973" operator="equal">
      <formula>"Default"</formula>
    </cfRule>
    <cfRule type="cellIs" dxfId="913" priority="972" operator="equal">
      <formula>"Actual"</formula>
    </cfRule>
  </conditionalFormatting>
  <conditionalFormatting sqref="C1860">
    <cfRule type="cellIs" dxfId="912" priority="163" operator="equal">
      <formula>"Insert data"</formula>
    </cfRule>
    <cfRule type="cellIs" dxfId="911" priority="162" operator="equal">
      <formula>"Insert unit"</formula>
    </cfRule>
  </conditionalFormatting>
  <conditionalFormatting sqref="C1869">
    <cfRule type="cellIs" dxfId="910" priority="936" operator="equal">
      <formula>"Actual"</formula>
    </cfRule>
    <cfRule type="cellIs" dxfId="909" priority="937" operator="equal">
      <formula>"Default"</formula>
    </cfRule>
  </conditionalFormatting>
  <conditionalFormatting sqref="C1873">
    <cfRule type="cellIs" dxfId="908" priority="932" operator="equal">
      <formula>"Actual"</formula>
    </cfRule>
    <cfRule type="cellIs" dxfId="907" priority="933" operator="equal">
      <formula>"Default"</formula>
    </cfRule>
  </conditionalFormatting>
  <conditionalFormatting sqref="C1910">
    <cfRule type="cellIs" dxfId="906" priority="158" operator="equal">
      <formula>"Insert data"</formula>
    </cfRule>
    <cfRule type="cellIs" dxfId="905" priority="157" operator="equal">
      <formula>"Insert unit"</formula>
    </cfRule>
  </conditionalFormatting>
  <conditionalFormatting sqref="C1919">
    <cfRule type="cellIs" dxfId="904" priority="897" operator="equal">
      <formula>"Default"</formula>
    </cfRule>
    <cfRule type="cellIs" dxfId="903" priority="896" operator="equal">
      <formula>"Actual"</formula>
    </cfRule>
  </conditionalFormatting>
  <conditionalFormatting sqref="C1923">
    <cfRule type="cellIs" dxfId="902" priority="892" operator="equal">
      <formula>"Actual"</formula>
    </cfRule>
    <cfRule type="cellIs" dxfId="901" priority="893" operator="equal">
      <formula>"Default"</formula>
    </cfRule>
  </conditionalFormatting>
  <conditionalFormatting sqref="C1960">
    <cfRule type="cellIs" dxfId="900" priority="153" operator="equal">
      <formula>"Insert data"</formula>
    </cfRule>
    <cfRule type="cellIs" dxfId="899" priority="152" operator="equal">
      <formula>"Insert unit"</formula>
    </cfRule>
  </conditionalFormatting>
  <conditionalFormatting sqref="C1969">
    <cfRule type="cellIs" dxfId="898" priority="856" operator="equal">
      <formula>"Actual"</formula>
    </cfRule>
    <cfRule type="cellIs" dxfId="897" priority="857" operator="equal">
      <formula>"Default"</formula>
    </cfRule>
  </conditionalFormatting>
  <conditionalFormatting sqref="C1973">
    <cfRule type="cellIs" dxfId="896" priority="852" operator="equal">
      <formula>"Actual"</formula>
    </cfRule>
    <cfRule type="cellIs" dxfId="895" priority="853" operator="equal">
      <formula>"Default"</formula>
    </cfRule>
  </conditionalFormatting>
  <conditionalFormatting sqref="C2010">
    <cfRule type="cellIs" dxfId="894" priority="147" operator="equal">
      <formula>"Insert unit"</formula>
    </cfRule>
    <cfRule type="cellIs" dxfId="893" priority="148" operator="equal">
      <formula>"Insert data"</formula>
    </cfRule>
  </conditionalFormatting>
  <conditionalFormatting sqref="C2019">
    <cfRule type="cellIs" dxfId="892" priority="816" operator="equal">
      <formula>"Actual"</formula>
    </cfRule>
    <cfRule type="cellIs" dxfId="891" priority="817" operator="equal">
      <formula>"Default"</formula>
    </cfRule>
  </conditionalFormatting>
  <conditionalFormatting sqref="C2023">
    <cfRule type="cellIs" dxfId="890" priority="813" operator="equal">
      <formula>"Default"</formula>
    </cfRule>
    <cfRule type="cellIs" dxfId="889" priority="812" operator="equal">
      <formula>"Actual"</formula>
    </cfRule>
  </conditionalFormatting>
  <conditionalFormatting sqref="C2060">
    <cfRule type="cellIs" dxfId="888" priority="143" operator="equal">
      <formula>"Insert data"</formula>
    </cfRule>
    <cfRule type="cellIs" dxfId="887" priority="142" operator="equal">
      <formula>"Insert unit"</formula>
    </cfRule>
  </conditionalFormatting>
  <conditionalFormatting sqref="C2069">
    <cfRule type="cellIs" dxfId="886" priority="776" operator="equal">
      <formula>"Actual"</formula>
    </cfRule>
    <cfRule type="cellIs" dxfId="885" priority="777" operator="equal">
      <formula>"Default"</formula>
    </cfRule>
  </conditionalFormatting>
  <conditionalFormatting sqref="C2073">
    <cfRule type="cellIs" dxfId="884" priority="773" operator="equal">
      <formula>"Default"</formula>
    </cfRule>
    <cfRule type="cellIs" dxfId="883" priority="772" operator="equal">
      <formula>"Actual"</formula>
    </cfRule>
  </conditionalFormatting>
  <conditionalFormatting sqref="C2110">
    <cfRule type="cellIs" dxfId="882" priority="138" operator="equal">
      <formula>"Insert data"</formula>
    </cfRule>
    <cfRule type="cellIs" dxfId="881" priority="137" operator="equal">
      <formula>"Insert unit"</formula>
    </cfRule>
  </conditionalFormatting>
  <conditionalFormatting sqref="C2119">
    <cfRule type="cellIs" dxfId="880" priority="736" operator="equal">
      <formula>"Actual"</formula>
    </cfRule>
    <cfRule type="cellIs" dxfId="879" priority="737" operator="equal">
      <formula>"Default"</formula>
    </cfRule>
  </conditionalFormatting>
  <conditionalFormatting sqref="C2123">
    <cfRule type="cellIs" dxfId="878" priority="732" operator="equal">
      <formula>"Actual"</formula>
    </cfRule>
    <cfRule type="cellIs" dxfId="877" priority="733" operator="equal">
      <formula>"Default"</formula>
    </cfRule>
  </conditionalFormatting>
  <conditionalFormatting sqref="C2160">
    <cfRule type="cellIs" dxfId="876" priority="133" operator="equal">
      <formula>"Insert data"</formula>
    </cfRule>
    <cfRule type="cellIs" dxfId="875" priority="132" operator="equal">
      <formula>"Insert unit"</formula>
    </cfRule>
  </conditionalFormatting>
  <conditionalFormatting sqref="C2169">
    <cfRule type="cellIs" dxfId="874" priority="697" operator="equal">
      <formula>"Default"</formula>
    </cfRule>
    <cfRule type="cellIs" dxfId="873" priority="696" operator="equal">
      <formula>"Actual"</formula>
    </cfRule>
  </conditionalFormatting>
  <conditionalFormatting sqref="C2173">
    <cfRule type="cellIs" dxfId="872" priority="692" operator="equal">
      <formula>"Actual"</formula>
    </cfRule>
    <cfRule type="cellIs" dxfId="871" priority="693" operator="equal">
      <formula>"Default"</formula>
    </cfRule>
  </conditionalFormatting>
  <conditionalFormatting sqref="C2210">
    <cfRule type="cellIs" dxfId="870" priority="127" operator="equal">
      <formula>"Insert unit"</formula>
    </cfRule>
    <cfRule type="cellIs" dxfId="869" priority="128" operator="equal">
      <formula>"Insert data"</formula>
    </cfRule>
  </conditionalFormatting>
  <conditionalFormatting sqref="C2219">
    <cfRule type="cellIs" dxfId="868" priority="657" operator="equal">
      <formula>"Default"</formula>
    </cfRule>
    <cfRule type="cellIs" dxfId="867" priority="656" operator="equal">
      <formula>"Actual"</formula>
    </cfRule>
  </conditionalFormatting>
  <conditionalFormatting sqref="C2223">
    <cfRule type="cellIs" dxfId="866" priority="653" operator="equal">
      <formula>"Default"</formula>
    </cfRule>
    <cfRule type="cellIs" dxfId="865" priority="652" operator="equal">
      <formula>"Actual"</formula>
    </cfRule>
  </conditionalFormatting>
  <conditionalFormatting sqref="C2260">
    <cfRule type="cellIs" dxfId="864" priority="123" operator="equal">
      <formula>"Insert data"</formula>
    </cfRule>
    <cfRule type="cellIs" dxfId="863" priority="122" operator="equal">
      <formula>"Insert unit"</formula>
    </cfRule>
  </conditionalFormatting>
  <conditionalFormatting sqref="C2269">
    <cfRule type="cellIs" dxfId="862" priority="617" operator="equal">
      <formula>"Default"</formula>
    </cfRule>
    <cfRule type="cellIs" dxfId="861" priority="616" operator="equal">
      <formula>"Actual"</formula>
    </cfRule>
  </conditionalFormatting>
  <conditionalFormatting sqref="C2273">
    <cfRule type="cellIs" dxfId="860" priority="613" operator="equal">
      <formula>"Default"</formula>
    </cfRule>
    <cfRule type="cellIs" dxfId="859" priority="612" operator="equal">
      <formula>"Actual"</formula>
    </cfRule>
  </conditionalFormatting>
  <conditionalFormatting sqref="C2310">
    <cfRule type="cellIs" dxfId="858" priority="117" operator="equal">
      <formula>"Insert unit"</formula>
    </cfRule>
    <cfRule type="cellIs" dxfId="857" priority="118" operator="equal">
      <formula>"Insert data"</formula>
    </cfRule>
  </conditionalFormatting>
  <conditionalFormatting sqref="C2319">
    <cfRule type="cellIs" dxfId="856" priority="576" operator="equal">
      <formula>"Actual"</formula>
    </cfRule>
    <cfRule type="cellIs" dxfId="855" priority="577" operator="equal">
      <formula>"Default"</formula>
    </cfRule>
  </conditionalFormatting>
  <conditionalFormatting sqref="C2323">
    <cfRule type="cellIs" dxfId="854" priority="573" operator="equal">
      <formula>"Default"</formula>
    </cfRule>
    <cfRule type="cellIs" dxfId="853" priority="572" operator="equal">
      <formula>"Actual"</formula>
    </cfRule>
  </conditionalFormatting>
  <conditionalFormatting sqref="C2360">
    <cfRule type="cellIs" dxfId="852" priority="112" operator="equal">
      <formula>"Insert unit"</formula>
    </cfRule>
    <cfRule type="cellIs" dxfId="851" priority="113" operator="equal">
      <formula>"Insert data"</formula>
    </cfRule>
  </conditionalFormatting>
  <conditionalFormatting sqref="C2369">
    <cfRule type="cellIs" dxfId="850" priority="537" operator="equal">
      <formula>"Default"</formula>
    </cfRule>
    <cfRule type="cellIs" dxfId="849" priority="536" operator="equal">
      <formula>"Actual"</formula>
    </cfRule>
  </conditionalFormatting>
  <conditionalFormatting sqref="C2373">
    <cfRule type="cellIs" dxfId="848" priority="533" operator="equal">
      <formula>"Default"</formula>
    </cfRule>
    <cfRule type="cellIs" dxfId="847" priority="532" operator="equal">
      <formula>"Actual"</formula>
    </cfRule>
  </conditionalFormatting>
  <conditionalFormatting sqref="C2410">
    <cfRule type="cellIs" dxfId="846" priority="107" operator="equal">
      <formula>"Insert unit"</formula>
    </cfRule>
    <cfRule type="cellIs" dxfId="845" priority="108" operator="equal">
      <formula>"Insert data"</formula>
    </cfRule>
  </conditionalFormatting>
  <conditionalFormatting sqref="C2419">
    <cfRule type="cellIs" dxfId="844" priority="497" operator="equal">
      <formula>"Default"</formula>
    </cfRule>
    <cfRule type="cellIs" dxfId="843" priority="496" operator="equal">
      <formula>"Actual"</formula>
    </cfRule>
  </conditionalFormatting>
  <conditionalFormatting sqref="C2423">
    <cfRule type="cellIs" dxfId="842" priority="493" operator="equal">
      <formula>"Default"</formula>
    </cfRule>
    <cfRule type="cellIs" dxfId="841" priority="492" operator="equal">
      <formula>"Actual"</formula>
    </cfRule>
  </conditionalFormatting>
  <conditionalFormatting sqref="C2460">
    <cfRule type="cellIs" dxfId="840" priority="102" operator="equal">
      <formula>"Insert unit"</formula>
    </cfRule>
    <cfRule type="cellIs" dxfId="839" priority="103" operator="equal">
      <formula>"Insert data"</formula>
    </cfRule>
  </conditionalFormatting>
  <conditionalFormatting sqref="C2469">
    <cfRule type="cellIs" dxfId="838" priority="457" operator="equal">
      <formula>"Default"</formula>
    </cfRule>
    <cfRule type="cellIs" dxfId="837" priority="456" operator="equal">
      <formula>"Actual"</formula>
    </cfRule>
  </conditionalFormatting>
  <conditionalFormatting sqref="C2473">
    <cfRule type="cellIs" dxfId="836" priority="453" operator="equal">
      <formula>"Default"</formula>
    </cfRule>
    <cfRule type="cellIs" dxfId="835" priority="452" operator="equal">
      <formula>"Actual"</formula>
    </cfRule>
  </conditionalFormatting>
  <conditionalFormatting sqref="C2510">
    <cfRule type="cellIs" dxfId="834" priority="98" operator="equal">
      <formula>"Insert data"</formula>
    </cfRule>
    <cfRule type="cellIs" dxfId="833" priority="97" operator="equal">
      <formula>"Insert unit"</formula>
    </cfRule>
  </conditionalFormatting>
  <conditionalFormatting sqref="C2519">
    <cfRule type="cellIs" dxfId="832" priority="416" operator="equal">
      <formula>"Actual"</formula>
    </cfRule>
    <cfRule type="cellIs" dxfId="831" priority="417" operator="equal">
      <formula>"Default"</formula>
    </cfRule>
  </conditionalFormatting>
  <conditionalFormatting sqref="C2523">
    <cfRule type="cellIs" dxfId="830" priority="413" operator="equal">
      <formula>"Default"</formula>
    </cfRule>
    <cfRule type="cellIs" dxfId="829" priority="412" operator="equal">
      <formula>"Actual"</formula>
    </cfRule>
  </conditionalFormatting>
  <conditionalFormatting sqref="C2560">
    <cfRule type="cellIs" dxfId="828" priority="93" operator="equal">
      <formula>"Insert data"</formula>
    </cfRule>
    <cfRule type="cellIs" dxfId="827" priority="92" operator="equal">
      <formula>"Insert unit"</formula>
    </cfRule>
  </conditionalFormatting>
  <conditionalFormatting sqref="C2569">
    <cfRule type="cellIs" dxfId="826" priority="377" operator="equal">
      <formula>"Default"</formula>
    </cfRule>
    <cfRule type="cellIs" dxfId="825" priority="376" operator="equal">
      <formula>"Actual"</formula>
    </cfRule>
  </conditionalFormatting>
  <conditionalFormatting sqref="C2573">
    <cfRule type="cellIs" dxfId="824" priority="372" operator="equal">
      <formula>"Actual"</formula>
    </cfRule>
    <cfRule type="cellIs" dxfId="823" priority="373" operator="equal">
      <formula>"Default"</formula>
    </cfRule>
  </conditionalFormatting>
  <conditionalFormatting sqref="C2610">
    <cfRule type="cellIs" dxfId="822" priority="88" operator="equal">
      <formula>"Insert data"</formula>
    </cfRule>
    <cfRule type="cellIs" dxfId="821" priority="87" operator="equal">
      <formula>"Insert unit"</formula>
    </cfRule>
  </conditionalFormatting>
  <conditionalFormatting sqref="C2619">
    <cfRule type="cellIs" dxfId="820" priority="336" operator="equal">
      <formula>"Actual"</formula>
    </cfRule>
    <cfRule type="cellIs" dxfId="819" priority="337" operator="equal">
      <formula>"Default"</formula>
    </cfRule>
  </conditionalFormatting>
  <conditionalFormatting sqref="C2623">
    <cfRule type="cellIs" dxfId="818" priority="332" operator="equal">
      <formula>"Actual"</formula>
    </cfRule>
    <cfRule type="cellIs" dxfId="817" priority="333" operator="equal">
      <formula>"Default"</formula>
    </cfRule>
  </conditionalFormatting>
  <conditionalFormatting sqref="C2660">
    <cfRule type="cellIs" dxfId="816" priority="82" operator="equal">
      <formula>"Insert unit"</formula>
    </cfRule>
    <cfRule type="cellIs" dxfId="815" priority="83" operator="equal">
      <formula>"Insert data"</formula>
    </cfRule>
  </conditionalFormatting>
  <conditionalFormatting sqref="C2669">
    <cfRule type="cellIs" dxfId="814" priority="298" operator="equal">
      <formula>"Actual"</formula>
    </cfRule>
    <cfRule type="cellIs" dxfId="813" priority="299" operator="equal">
      <formula>"Default"</formula>
    </cfRule>
  </conditionalFormatting>
  <conditionalFormatting sqref="C2673">
    <cfRule type="cellIs" dxfId="812" priority="294" operator="equal">
      <formula>"Actual"</formula>
    </cfRule>
    <cfRule type="cellIs" dxfId="811" priority="295" operator="equal">
      <formula>"Default"</formula>
    </cfRule>
  </conditionalFormatting>
  <conditionalFormatting sqref="C2710">
    <cfRule type="cellIs" dxfId="810" priority="77" operator="equal">
      <formula>"Insert unit"</formula>
    </cfRule>
    <cfRule type="cellIs" dxfId="809" priority="78" operator="equal">
      <formula>"Insert data"</formula>
    </cfRule>
  </conditionalFormatting>
  <conditionalFormatting sqref="C2719">
    <cfRule type="cellIs" dxfId="808" priority="260" operator="equal">
      <formula>"Actual"</formula>
    </cfRule>
    <cfRule type="cellIs" dxfId="807" priority="261" operator="equal">
      <formula>"Default"</formula>
    </cfRule>
  </conditionalFormatting>
  <conditionalFormatting sqref="C2723">
    <cfRule type="cellIs" dxfId="806" priority="256" operator="equal">
      <formula>"Actual"</formula>
    </cfRule>
    <cfRule type="cellIs" dxfId="805" priority="257" operator="equal">
      <formula>"Default"</formula>
    </cfRule>
  </conditionalFormatting>
  <conditionalFormatting sqref="C2661:L2661">
    <cfRule type="expression" dxfId="804" priority="282">
      <formula>$D$2663="No transport required"</formula>
    </cfRule>
  </conditionalFormatting>
  <conditionalFormatting sqref="C2711:L2711">
    <cfRule type="expression" dxfId="803" priority="244">
      <formula>$D$2713="No transport required"</formula>
    </cfRule>
  </conditionalFormatting>
  <conditionalFormatting sqref="C2661:XFD2661">
    <cfRule type="cellIs" dxfId="802" priority="284" operator="equal">
      <formula>"Insert data"</formula>
    </cfRule>
    <cfRule type="cellIs" dxfId="801" priority="283" operator="equal">
      <formula>"Insert unit"</formula>
    </cfRule>
  </conditionalFormatting>
  <conditionalFormatting sqref="C2711:XFD2711">
    <cfRule type="cellIs" dxfId="800" priority="245" operator="equal">
      <formula>"Insert unit"</formula>
    </cfRule>
    <cfRule type="cellIs" dxfId="799" priority="246" operator="equal">
      <formula>"Insert data"</formula>
    </cfRule>
  </conditionalFormatting>
  <conditionalFormatting sqref="D19">
    <cfRule type="expression" dxfId="798" priority="2090">
      <formula>C19="Default"</formula>
    </cfRule>
    <cfRule type="expression" dxfId="797" priority="2089">
      <formula>C19="Actual"</formula>
    </cfRule>
  </conditionalFormatting>
  <conditionalFormatting sqref="D23">
    <cfRule type="expression" dxfId="796" priority="2082">
      <formula>C23="Default"</formula>
    </cfRule>
    <cfRule type="expression" dxfId="795" priority="2081">
      <formula>C23="Actual"</formula>
    </cfRule>
  </conditionalFormatting>
  <conditionalFormatting sqref="D29">
    <cfRule type="expression" dxfId="794" priority="2078">
      <formula>C23="Default"</formula>
    </cfRule>
    <cfRule type="expression" dxfId="793" priority="2077">
      <formula>C23="Actual"</formula>
    </cfRule>
  </conditionalFormatting>
  <conditionalFormatting sqref="D33">
    <cfRule type="expression" dxfId="792" priority="2076">
      <formula>C23="Default"</formula>
    </cfRule>
    <cfRule type="expression" dxfId="791" priority="2075">
      <formula>C23="Actual"</formula>
    </cfRule>
  </conditionalFormatting>
  <conditionalFormatting sqref="D63:D65">
    <cfRule type="cellIs" dxfId="790" priority="1880" operator="equal">
      <formula>"Insert unit"</formula>
    </cfRule>
    <cfRule type="cellIs" dxfId="789" priority="1881" operator="equal">
      <formula>"Insert data"</formula>
    </cfRule>
  </conditionalFormatting>
  <conditionalFormatting sqref="D64:D65">
    <cfRule type="expression" dxfId="788" priority="1879">
      <formula>$D$63="No transport required"</formula>
    </cfRule>
  </conditionalFormatting>
  <conditionalFormatting sqref="D69">
    <cfRule type="expression" dxfId="787" priority="2071">
      <formula>C69="Default"</formula>
    </cfRule>
    <cfRule type="expression" dxfId="786" priority="2070">
      <formula>C69="Actual"</formula>
    </cfRule>
  </conditionalFormatting>
  <conditionalFormatting sqref="D73">
    <cfRule type="expression" dxfId="785" priority="2063">
      <formula>C73="Default"</formula>
    </cfRule>
    <cfRule type="expression" dxfId="784" priority="2062">
      <formula>C73="Actual"</formula>
    </cfRule>
  </conditionalFormatting>
  <conditionalFormatting sqref="D79">
    <cfRule type="expression" dxfId="783" priority="2058">
      <formula>C73="Actual"</formula>
    </cfRule>
    <cfRule type="expression" dxfId="782" priority="2059">
      <formula>C73="Default"</formula>
    </cfRule>
  </conditionalFormatting>
  <conditionalFormatting sqref="D83">
    <cfRule type="expression" dxfId="781" priority="2057">
      <formula>C73="Default"</formula>
    </cfRule>
    <cfRule type="expression" dxfId="780" priority="2056">
      <formula>C73="Actual"</formula>
    </cfRule>
  </conditionalFormatting>
  <conditionalFormatting sqref="D113:D115">
    <cfRule type="cellIs" dxfId="779" priority="1878" operator="equal">
      <formula>"Insert data"</formula>
    </cfRule>
    <cfRule type="cellIs" dxfId="778" priority="1877" operator="equal">
      <formula>"Insert unit"</formula>
    </cfRule>
  </conditionalFormatting>
  <conditionalFormatting sqref="D114:D115">
    <cfRule type="expression" dxfId="777" priority="1876">
      <formula>$D$113="No transport required"</formula>
    </cfRule>
  </conditionalFormatting>
  <conditionalFormatting sqref="D119">
    <cfRule type="expression" dxfId="776" priority="2054">
      <formula>C119="Default"</formula>
    </cfRule>
    <cfRule type="expression" dxfId="775" priority="2053">
      <formula>C119="Actual"</formula>
    </cfRule>
  </conditionalFormatting>
  <conditionalFormatting sqref="D123">
    <cfRule type="expression" dxfId="774" priority="2046">
      <formula>C123="Default"</formula>
    </cfRule>
    <cfRule type="expression" dxfId="773" priority="2045">
      <formula>C123="Actual"</formula>
    </cfRule>
  </conditionalFormatting>
  <conditionalFormatting sqref="D129">
    <cfRule type="expression" dxfId="772" priority="2042">
      <formula>C123="Default"</formula>
    </cfRule>
    <cfRule type="expression" dxfId="771" priority="2041">
      <formula>C123="Actual"</formula>
    </cfRule>
  </conditionalFormatting>
  <conditionalFormatting sqref="D133">
    <cfRule type="expression" dxfId="770" priority="2040">
      <formula>C123="Default"</formula>
    </cfRule>
    <cfRule type="expression" dxfId="769" priority="2039">
      <formula>C123="Actual"</formula>
    </cfRule>
  </conditionalFormatting>
  <conditionalFormatting sqref="D163:D165">
    <cfRule type="cellIs" dxfId="768" priority="1874" operator="equal">
      <formula>"Insert unit"</formula>
    </cfRule>
    <cfRule type="cellIs" dxfId="767" priority="1875" operator="equal">
      <formula>"Insert data"</formula>
    </cfRule>
  </conditionalFormatting>
  <conditionalFormatting sqref="D164:D165">
    <cfRule type="expression" dxfId="766" priority="1873">
      <formula>$D$163="No transport required"</formula>
    </cfRule>
  </conditionalFormatting>
  <conditionalFormatting sqref="D169">
    <cfRule type="expression" dxfId="765" priority="2036">
      <formula>C169="Actual"</formula>
    </cfRule>
    <cfRule type="expression" dxfId="764" priority="2037">
      <formula>C169="Default"</formula>
    </cfRule>
  </conditionalFormatting>
  <conditionalFormatting sqref="D173">
    <cfRule type="expression" dxfId="763" priority="2028">
      <formula>C173="Actual"</formula>
    </cfRule>
    <cfRule type="expression" dxfId="762" priority="2029">
      <formula>C173="Default"</formula>
    </cfRule>
  </conditionalFormatting>
  <conditionalFormatting sqref="D179">
    <cfRule type="expression" dxfId="761" priority="2025">
      <formula>C173="Default"</formula>
    </cfRule>
    <cfRule type="expression" dxfId="760" priority="2024">
      <formula>C173="Actual"</formula>
    </cfRule>
  </conditionalFormatting>
  <conditionalFormatting sqref="D183">
    <cfRule type="expression" dxfId="759" priority="2023">
      <formula>C173="Default"</formula>
    </cfRule>
    <cfRule type="expression" dxfId="758" priority="2022">
      <formula>C173="Actual"</formula>
    </cfRule>
  </conditionalFormatting>
  <conditionalFormatting sqref="D213:D215">
    <cfRule type="cellIs" dxfId="757" priority="1872" operator="equal">
      <formula>"Insert data"</formula>
    </cfRule>
    <cfRule type="cellIs" dxfId="756" priority="1871" operator="equal">
      <formula>"Insert unit"</formula>
    </cfRule>
  </conditionalFormatting>
  <conditionalFormatting sqref="D214:D215">
    <cfRule type="expression" dxfId="755" priority="1870">
      <formula>$D$213="No transport required"</formula>
    </cfRule>
  </conditionalFormatting>
  <conditionalFormatting sqref="D219">
    <cfRule type="expression" dxfId="754" priority="2019">
      <formula>C219="Actual"</formula>
    </cfRule>
    <cfRule type="expression" dxfId="753" priority="2020">
      <formula>C219="Default"</formula>
    </cfRule>
  </conditionalFormatting>
  <conditionalFormatting sqref="D223">
    <cfRule type="expression" dxfId="752" priority="2012">
      <formula>C223="Default"</formula>
    </cfRule>
    <cfRule type="expression" dxfId="751" priority="2011">
      <formula>C223="Actual"</formula>
    </cfRule>
  </conditionalFormatting>
  <conditionalFormatting sqref="D229">
    <cfRule type="expression" dxfId="750" priority="2008">
      <formula>C223="Default"</formula>
    </cfRule>
    <cfRule type="expression" dxfId="749" priority="2007">
      <formula>C223="Actual"</formula>
    </cfRule>
  </conditionalFormatting>
  <conditionalFormatting sqref="D233">
    <cfRule type="expression" dxfId="748" priority="2006">
      <formula>C223="Default"</formula>
    </cfRule>
    <cfRule type="expression" dxfId="747" priority="2005">
      <formula>C223="Actual"</formula>
    </cfRule>
  </conditionalFormatting>
  <conditionalFormatting sqref="D269">
    <cfRule type="expression" dxfId="746" priority="2002">
      <formula>C269="Actual"</formula>
    </cfRule>
    <cfRule type="expression" dxfId="745" priority="2003">
      <formula>C269="Default"</formula>
    </cfRule>
  </conditionalFormatting>
  <conditionalFormatting sqref="D273">
    <cfRule type="expression" dxfId="744" priority="1994">
      <formula>C273="Actual"</formula>
    </cfRule>
    <cfRule type="expression" dxfId="743" priority="1995">
      <formula>C273="Default"</formula>
    </cfRule>
  </conditionalFormatting>
  <conditionalFormatting sqref="D279">
    <cfRule type="expression" dxfId="742" priority="1990">
      <formula>C273="Actual"</formula>
    </cfRule>
    <cfRule type="expression" dxfId="741" priority="1991">
      <formula>C273="Default"</formula>
    </cfRule>
  </conditionalFormatting>
  <conditionalFormatting sqref="D283">
    <cfRule type="expression" dxfId="740" priority="1989">
      <formula>C273="Default"</formula>
    </cfRule>
    <cfRule type="expression" dxfId="739" priority="1988">
      <formula>C273="Actual"</formula>
    </cfRule>
  </conditionalFormatting>
  <conditionalFormatting sqref="D319">
    <cfRule type="expression" dxfId="738" priority="1986">
      <formula>C319="Default"</formula>
    </cfRule>
    <cfRule type="expression" dxfId="737" priority="1985">
      <formula>C319="Actual"</formula>
    </cfRule>
  </conditionalFormatting>
  <conditionalFormatting sqref="D323">
    <cfRule type="expression" dxfId="736" priority="1977">
      <formula>C323="Actual"</formula>
    </cfRule>
    <cfRule type="expression" dxfId="735" priority="1978">
      <formula>C323="Default"</formula>
    </cfRule>
  </conditionalFormatting>
  <conditionalFormatting sqref="D329">
    <cfRule type="expression" dxfId="734" priority="1974">
      <formula>C323="Default"</formula>
    </cfRule>
    <cfRule type="expression" dxfId="733" priority="1973">
      <formula>C323="Actual"</formula>
    </cfRule>
  </conditionalFormatting>
  <conditionalFormatting sqref="D333">
    <cfRule type="expression" dxfId="732" priority="1971">
      <formula>C323="Actual"</formula>
    </cfRule>
    <cfRule type="expression" dxfId="731" priority="1972">
      <formula>C323="Default"</formula>
    </cfRule>
  </conditionalFormatting>
  <conditionalFormatting sqref="D369">
    <cfRule type="expression" dxfId="730" priority="1969">
      <formula>C369="Default"</formula>
    </cfRule>
    <cfRule type="expression" dxfId="729" priority="1968">
      <formula>C369="Actual"</formula>
    </cfRule>
  </conditionalFormatting>
  <conditionalFormatting sqref="D373">
    <cfRule type="expression" dxfId="728" priority="1961">
      <formula>C373="Default"</formula>
    </cfRule>
    <cfRule type="expression" dxfId="727" priority="1960">
      <formula>C373="Actual"</formula>
    </cfRule>
  </conditionalFormatting>
  <conditionalFormatting sqref="D379">
    <cfRule type="expression" dxfId="726" priority="1957">
      <formula>C373="Default"</formula>
    </cfRule>
    <cfRule type="expression" dxfId="725" priority="1956">
      <formula>C373="Actual"</formula>
    </cfRule>
  </conditionalFormatting>
  <conditionalFormatting sqref="D383">
    <cfRule type="expression" dxfId="724" priority="1955">
      <formula>C373="Default"</formula>
    </cfRule>
    <cfRule type="expression" dxfId="723" priority="1954">
      <formula>C373="Actual"</formula>
    </cfRule>
  </conditionalFormatting>
  <conditionalFormatting sqref="D419">
    <cfRule type="expression" dxfId="722" priority="1951">
      <formula>C419="Actual"</formula>
    </cfRule>
    <cfRule type="expression" dxfId="721" priority="1952">
      <formula>C419="Default"</formula>
    </cfRule>
  </conditionalFormatting>
  <conditionalFormatting sqref="D423">
    <cfRule type="expression" dxfId="720" priority="1943">
      <formula>C423="Actual"</formula>
    </cfRule>
    <cfRule type="expression" dxfId="719" priority="1944">
      <formula>C423="Default"</formula>
    </cfRule>
  </conditionalFormatting>
  <conditionalFormatting sqref="D429">
    <cfRule type="expression" dxfId="718" priority="1940">
      <formula>C423="Default"</formula>
    </cfRule>
    <cfRule type="expression" dxfId="717" priority="1939">
      <formula>C423="Actual"</formula>
    </cfRule>
  </conditionalFormatting>
  <conditionalFormatting sqref="D433">
    <cfRule type="expression" dxfId="716" priority="1938">
      <formula>C423="Default"</formula>
    </cfRule>
    <cfRule type="expression" dxfId="715" priority="1937">
      <formula>C423="Actual"</formula>
    </cfRule>
  </conditionalFormatting>
  <conditionalFormatting sqref="D469">
    <cfRule type="expression" dxfId="714" priority="1934">
      <formula>C469="Actual"</formula>
    </cfRule>
    <cfRule type="expression" dxfId="713" priority="1935">
      <formula>C469="Default"</formula>
    </cfRule>
  </conditionalFormatting>
  <conditionalFormatting sqref="D473">
    <cfRule type="expression" dxfId="712" priority="1927">
      <formula>C473="Default"</formula>
    </cfRule>
    <cfRule type="expression" dxfId="711" priority="1926">
      <formula>C473="Actual"</formula>
    </cfRule>
  </conditionalFormatting>
  <conditionalFormatting sqref="D479">
    <cfRule type="expression" dxfId="710" priority="1922">
      <formula>C473="Actual"</formula>
    </cfRule>
    <cfRule type="expression" dxfId="709" priority="1923">
      <formula>C473="Default"</formula>
    </cfRule>
  </conditionalFormatting>
  <conditionalFormatting sqref="D483">
    <cfRule type="expression" dxfId="708" priority="1920">
      <formula>C473="Actual"</formula>
    </cfRule>
    <cfRule type="expression" dxfId="707" priority="1921">
      <formula>C473="Default"</formula>
    </cfRule>
  </conditionalFormatting>
  <conditionalFormatting sqref="D519">
    <cfRule type="expression" dxfId="706" priority="1869">
      <formula>C519="Default"</formula>
    </cfRule>
    <cfRule type="expression" dxfId="705" priority="1868">
      <formula>C519="Actual"</formula>
    </cfRule>
  </conditionalFormatting>
  <conditionalFormatting sqref="D523">
    <cfRule type="expression" dxfId="704" priority="1861">
      <formula>C523="Default"</formula>
    </cfRule>
    <cfRule type="expression" dxfId="703" priority="1860">
      <formula>C523="Actual"</formula>
    </cfRule>
  </conditionalFormatting>
  <conditionalFormatting sqref="D529">
    <cfRule type="expression" dxfId="702" priority="1857">
      <formula>C523="Default"</formula>
    </cfRule>
    <cfRule type="expression" dxfId="701" priority="1856">
      <formula>C523="Actual"</formula>
    </cfRule>
  </conditionalFormatting>
  <conditionalFormatting sqref="D533">
    <cfRule type="expression" dxfId="700" priority="1855">
      <formula>C523="Default"</formula>
    </cfRule>
    <cfRule type="expression" dxfId="699" priority="1854">
      <formula>C523="Actual"</formula>
    </cfRule>
  </conditionalFormatting>
  <conditionalFormatting sqref="D563:D565">
    <cfRule type="cellIs" dxfId="698" priority="1665" operator="equal">
      <formula>"Insert data"</formula>
    </cfRule>
    <cfRule type="cellIs" dxfId="697" priority="1664" operator="equal">
      <formula>"Insert unit"</formula>
    </cfRule>
  </conditionalFormatting>
  <conditionalFormatting sqref="D564:D565">
    <cfRule type="expression" dxfId="696" priority="1663">
      <formula>$D$563="No transport required"</formula>
    </cfRule>
  </conditionalFormatting>
  <conditionalFormatting sqref="D569">
    <cfRule type="expression" dxfId="695" priority="1845">
      <formula>C569="Default"</formula>
    </cfRule>
    <cfRule type="expression" dxfId="694" priority="1844">
      <formula>C569="Actual"</formula>
    </cfRule>
  </conditionalFormatting>
  <conditionalFormatting sqref="D573">
    <cfRule type="expression" dxfId="693" priority="1836">
      <formula>C573="Actual"</formula>
    </cfRule>
    <cfRule type="expression" dxfId="692" priority="1837">
      <formula>C573="Default"</formula>
    </cfRule>
  </conditionalFormatting>
  <conditionalFormatting sqref="D579">
    <cfRule type="expression" dxfId="691" priority="1833">
      <formula>C573="Default"</formula>
    </cfRule>
    <cfRule type="expression" dxfId="690" priority="1832">
      <formula>C573="Actual"</formula>
    </cfRule>
  </conditionalFormatting>
  <conditionalFormatting sqref="D583">
    <cfRule type="expression" dxfId="689" priority="1831">
      <formula>C573="Default"</formula>
    </cfRule>
    <cfRule type="expression" dxfId="688" priority="1830">
      <formula>C573="Actual"</formula>
    </cfRule>
  </conditionalFormatting>
  <conditionalFormatting sqref="D613:D615">
    <cfRule type="cellIs" dxfId="687" priority="1661" operator="equal">
      <formula>"Insert unit"</formula>
    </cfRule>
    <cfRule type="cellIs" dxfId="686" priority="1662" operator="equal">
      <formula>"Insert data"</formula>
    </cfRule>
  </conditionalFormatting>
  <conditionalFormatting sqref="D614:D615">
    <cfRule type="expression" dxfId="685" priority="1660">
      <formula>$D$613="No transport required"</formula>
    </cfRule>
  </conditionalFormatting>
  <conditionalFormatting sqref="D619">
    <cfRule type="expression" dxfId="684" priority="1828">
      <formula>C619="Default"</formula>
    </cfRule>
    <cfRule type="expression" dxfId="683" priority="1827">
      <formula>C619="Actual"</formula>
    </cfRule>
  </conditionalFormatting>
  <conditionalFormatting sqref="D623">
    <cfRule type="expression" dxfId="682" priority="1820">
      <formula>C623="Default"</formula>
    </cfRule>
    <cfRule type="expression" dxfId="681" priority="1819">
      <formula>C623="Actual"</formula>
    </cfRule>
  </conditionalFormatting>
  <conditionalFormatting sqref="D629">
    <cfRule type="expression" dxfId="680" priority="1816">
      <formula>C623="Default"</formula>
    </cfRule>
    <cfRule type="expression" dxfId="679" priority="1815">
      <formula>C623="Actual"</formula>
    </cfRule>
  </conditionalFormatting>
  <conditionalFormatting sqref="D633">
    <cfRule type="expression" dxfId="678" priority="1814">
      <formula>C623="Default"</formula>
    </cfRule>
    <cfRule type="expression" dxfId="677" priority="1813">
      <formula>C623="Actual"</formula>
    </cfRule>
  </conditionalFormatting>
  <conditionalFormatting sqref="D663:D665">
    <cfRule type="cellIs" dxfId="676" priority="1659" operator="equal">
      <formula>"Insert data"</formula>
    </cfRule>
    <cfRule type="cellIs" dxfId="675" priority="1658" operator="equal">
      <formula>"Insert unit"</formula>
    </cfRule>
  </conditionalFormatting>
  <conditionalFormatting sqref="D664:D665">
    <cfRule type="expression" dxfId="674" priority="1657">
      <formula>$D$663="No transport required"</formula>
    </cfRule>
  </conditionalFormatting>
  <conditionalFormatting sqref="D669">
    <cfRule type="expression" dxfId="673" priority="1810">
      <formula>C669="Actual"</formula>
    </cfRule>
    <cfRule type="expression" dxfId="672" priority="1811">
      <formula>C669="Default"</formula>
    </cfRule>
  </conditionalFormatting>
  <conditionalFormatting sqref="D673">
    <cfRule type="expression" dxfId="671" priority="1803">
      <formula>C673="Default"</formula>
    </cfRule>
    <cfRule type="expression" dxfId="670" priority="1802">
      <formula>C673="Actual"</formula>
    </cfRule>
  </conditionalFormatting>
  <conditionalFormatting sqref="D679">
    <cfRule type="expression" dxfId="669" priority="1799">
      <formula>C673="Default"</formula>
    </cfRule>
    <cfRule type="expression" dxfId="668" priority="1798">
      <formula>C673="Actual"</formula>
    </cfRule>
  </conditionalFormatting>
  <conditionalFormatting sqref="D683">
    <cfRule type="expression" dxfId="667" priority="1797">
      <formula>C673="Default"</formula>
    </cfRule>
    <cfRule type="expression" dxfId="666" priority="1796">
      <formula>C673="Actual"</formula>
    </cfRule>
  </conditionalFormatting>
  <conditionalFormatting sqref="D713:D715">
    <cfRule type="cellIs" dxfId="665" priority="1655" operator="equal">
      <formula>"Insert unit"</formula>
    </cfRule>
    <cfRule type="cellIs" dxfId="664" priority="1656" operator="equal">
      <formula>"Insert data"</formula>
    </cfRule>
  </conditionalFormatting>
  <conditionalFormatting sqref="D714:D715">
    <cfRule type="expression" dxfId="663" priority="1654">
      <formula>$D$713="No transport required"</formula>
    </cfRule>
  </conditionalFormatting>
  <conditionalFormatting sqref="D719">
    <cfRule type="expression" dxfId="662" priority="1794">
      <formula>C719="Default"</formula>
    </cfRule>
    <cfRule type="expression" dxfId="661" priority="1793">
      <formula>C719="Actual"</formula>
    </cfRule>
  </conditionalFormatting>
  <conditionalFormatting sqref="D723">
    <cfRule type="expression" dxfId="660" priority="1785">
      <formula>C723="Actual"</formula>
    </cfRule>
    <cfRule type="expression" dxfId="659" priority="1786">
      <formula>C723="Default"</formula>
    </cfRule>
  </conditionalFormatting>
  <conditionalFormatting sqref="D729">
    <cfRule type="expression" dxfId="658" priority="1782">
      <formula>C723="Default"</formula>
    </cfRule>
    <cfRule type="expression" dxfId="657" priority="1781">
      <formula>C723="Actual"</formula>
    </cfRule>
  </conditionalFormatting>
  <conditionalFormatting sqref="D733">
    <cfRule type="expression" dxfId="656" priority="1780">
      <formula>C723="Default"</formula>
    </cfRule>
    <cfRule type="expression" dxfId="655" priority="1779">
      <formula>C723="Actual"</formula>
    </cfRule>
  </conditionalFormatting>
  <conditionalFormatting sqref="D769">
    <cfRule type="expression" dxfId="654" priority="1777">
      <formula>C769="Default"</formula>
    </cfRule>
    <cfRule type="expression" dxfId="653" priority="1776">
      <formula>C769="Actual"</formula>
    </cfRule>
  </conditionalFormatting>
  <conditionalFormatting sqref="D773">
    <cfRule type="expression" dxfId="652" priority="1768">
      <formula>C773="Actual"</formula>
    </cfRule>
    <cfRule type="expression" dxfId="651" priority="1769">
      <formula>C773="Default"</formula>
    </cfRule>
  </conditionalFormatting>
  <conditionalFormatting sqref="D779">
    <cfRule type="expression" dxfId="650" priority="1764">
      <formula>C773="Actual"</formula>
    </cfRule>
    <cfRule type="expression" dxfId="649" priority="1765">
      <formula>C773="Default"</formula>
    </cfRule>
  </conditionalFormatting>
  <conditionalFormatting sqref="D783">
    <cfRule type="expression" dxfId="648" priority="1763">
      <formula>C773="Default"</formula>
    </cfRule>
    <cfRule type="expression" dxfId="647" priority="1762">
      <formula>C773="Actual"</formula>
    </cfRule>
  </conditionalFormatting>
  <conditionalFormatting sqref="D819">
    <cfRule type="expression" dxfId="646" priority="1760">
      <formula>C819="Default"</formula>
    </cfRule>
    <cfRule type="expression" dxfId="645" priority="1759">
      <formula>C819="Actual"</formula>
    </cfRule>
  </conditionalFormatting>
  <conditionalFormatting sqref="D823">
    <cfRule type="expression" dxfId="644" priority="1751">
      <formula>C823="Actual"</formula>
    </cfRule>
    <cfRule type="expression" dxfId="643" priority="1752">
      <formula>C823="Default"</formula>
    </cfRule>
  </conditionalFormatting>
  <conditionalFormatting sqref="D829">
    <cfRule type="expression" dxfId="642" priority="1748">
      <formula>C823="Default"</formula>
    </cfRule>
    <cfRule type="expression" dxfId="641" priority="1747">
      <formula>C823="Actual"</formula>
    </cfRule>
  </conditionalFormatting>
  <conditionalFormatting sqref="D833">
    <cfRule type="expression" dxfId="640" priority="1745">
      <formula>C823="Actual"</formula>
    </cfRule>
    <cfRule type="expression" dxfId="639" priority="1746">
      <formula>C823="Default"</formula>
    </cfRule>
  </conditionalFormatting>
  <conditionalFormatting sqref="D869">
    <cfRule type="expression" dxfId="638" priority="1743">
      <formula>C869="Default"</formula>
    </cfRule>
    <cfRule type="expression" dxfId="637" priority="1742">
      <formula>C869="Actual"</formula>
    </cfRule>
  </conditionalFormatting>
  <conditionalFormatting sqref="D873">
    <cfRule type="expression" dxfId="636" priority="1735">
      <formula>C873="Default"</formula>
    </cfRule>
    <cfRule type="expression" dxfId="635" priority="1734">
      <formula>C873="Actual"</formula>
    </cfRule>
  </conditionalFormatting>
  <conditionalFormatting sqref="D879">
    <cfRule type="expression" dxfId="634" priority="1731">
      <formula>C873="Default"</formula>
    </cfRule>
    <cfRule type="expression" dxfId="633" priority="1730">
      <formula>C873="Actual"</formula>
    </cfRule>
  </conditionalFormatting>
  <conditionalFormatting sqref="D883">
    <cfRule type="expression" dxfId="632" priority="1728">
      <formula>C873="Actual"</formula>
    </cfRule>
    <cfRule type="expression" dxfId="631" priority="1729">
      <formula>C873="Default"</formula>
    </cfRule>
  </conditionalFormatting>
  <conditionalFormatting sqref="D919">
    <cfRule type="expression" dxfId="630" priority="1725">
      <formula>C919="Actual"</formula>
    </cfRule>
    <cfRule type="expression" dxfId="629" priority="1726">
      <formula>C919="Default"</formula>
    </cfRule>
  </conditionalFormatting>
  <conditionalFormatting sqref="D923">
    <cfRule type="expression" dxfId="628" priority="1718">
      <formula>C923="Default"</formula>
    </cfRule>
    <cfRule type="expression" dxfId="627" priority="1717">
      <formula>C923="Actual"</formula>
    </cfRule>
  </conditionalFormatting>
  <conditionalFormatting sqref="D929">
    <cfRule type="expression" dxfId="626" priority="1713">
      <formula>C923="Actual"</formula>
    </cfRule>
    <cfRule type="expression" dxfId="625" priority="1714">
      <formula>C923="Default"</formula>
    </cfRule>
  </conditionalFormatting>
  <conditionalFormatting sqref="D933">
    <cfRule type="expression" dxfId="624" priority="1711">
      <formula>C923="Actual"</formula>
    </cfRule>
    <cfRule type="expression" dxfId="623" priority="1712">
      <formula>C923="Default"</formula>
    </cfRule>
  </conditionalFormatting>
  <conditionalFormatting sqref="D969">
    <cfRule type="expression" dxfId="622" priority="1709">
      <formula>C969="Default"</formula>
    </cfRule>
    <cfRule type="expression" dxfId="621" priority="1708">
      <formula>C969="Actual"</formula>
    </cfRule>
  </conditionalFormatting>
  <conditionalFormatting sqref="D973">
    <cfRule type="expression" dxfId="620" priority="1701">
      <formula>C973="Default"</formula>
    </cfRule>
    <cfRule type="expression" dxfId="619" priority="1700">
      <formula>C973="Actual"</formula>
    </cfRule>
  </conditionalFormatting>
  <conditionalFormatting sqref="D979">
    <cfRule type="expression" dxfId="618" priority="1696">
      <formula>C973="Actual"</formula>
    </cfRule>
    <cfRule type="expression" dxfId="617" priority="1697">
      <formula>C973="Default"</formula>
    </cfRule>
  </conditionalFormatting>
  <conditionalFormatting sqref="D983">
    <cfRule type="expression" dxfId="616" priority="1695">
      <formula>C973="Default"</formula>
    </cfRule>
    <cfRule type="expression" dxfId="615" priority="1694">
      <formula>C973="Actual"</formula>
    </cfRule>
  </conditionalFormatting>
  <conditionalFormatting sqref="D1019">
    <cfRule type="expression" dxfId="614" priority="1618">
      <formula>C1019="Actual"</formula>
    </cfRule>
    <cfRule type="expression" dxfId="613" priority="1619">
      <formula>C1019="Default"</formula>
    </cfRule>
  </conditionalFormatting>
  <conditionalFormatting sqref="D1023">
    <cfRule type="expression" dxfId="612" priority="1610">
      <formula>C1023="Actual"</formula>
    </cfRule>
    <cfRule type="expression" dxfId="611" priority="1611">
      <formula>C1023="Default"</formula>
    </cfRule>
  </conditionalFormatting>
  <conditionalFormatting sqref="D1029">
    <cfRule type="expression" dxfId="610" priority="1607">
      <formula>C1023="Default"</formula>
    </cfRule>
    <cfRule type="expression" dxfId="609" priority="1606">
      <formula>C1023="Actual"</formula>
    </cfRule>
  </conditionalFormatting>
  <conditionalFormatting sqref="D1033">
    <cfRule type="expression" dxfId="608" priority="1604">
      <formula>C1023="Actual"</formula>
    </cfRule>
    <cfRule type="expression" dxfId="607" priority="1605">
      <formula>C1023="Default"</formula>
    </cfRule>
  </conditionalFormatting>
  <conditionalFormatting sqref="D1069">
    <cfRule type="expression" dxfId="606" priority="1581">
      <formula>C1069="Default"</formula>
    </cfRule>
    <cfRule type="expression" dxfId="605" priority="1580">
      <formula>C1069="Actual"</formula>
    </cfRule>
  </conditionalFormatting>
  <conditionalFormatting sqref="D1073">
    <cfRule type="expression" dxfId="604" priority="1573">
      <formula>C1073="Default"</formula>
    </cfRule>
    <cfRule type="expression" dxfId="603" priority="1572">
      <formula>C1073="Actual"</formula>
    </cfRule>
  </conditionalFormatting>
  <conditionalFormatting sqref="D1079">
    <cfRule type="expression" dxfId="602" priority="1568">
      <formula>C1073="Actual"</formula>
    </cfRule>
    <cfRule type="expression" dxfId="601" priority="1569">
      <formula>C1073="Default"</formula>
    </cfRule>
  </conditionalFormatting>
  <conditionalFormatting sqref="D1083">
    <cfRule type="expression" dxfId="600" priority="1566">
      <formula>C1073="Actual"</formula>
    </cfRule>
    <cfRule type="expression" dxfId="599" priority="1567">
      <formula>C1073="Default"</formula>
    </cfRule>
  </conditionalFormatting>
  <conditionalFormatting sqref="D1119">
    <cfRule type="expression" dxfId="598" priority="1541">
      <formula>C1119="Default"</formula>
    </cfRule>
    <cfRule type="expression" dxfId="597" priority="1540">
      <formula>C1119="Actual"</formula>
    </cfRule>
  </conditionalFormatting>
  <conditionalFormatting sqref="D1123">
    <cfRule type="expression" dxfId="596" priority="1533">
      <formula>C1123="Default"</formula>
    </cfRule>
    <cfRule type="expression" dxfId="595" priority="1532">
      <formula>C1123="Actual"</formula>
    </cfRule>
  </conditionalFormatting>
  <conditionalFormatting sqref="D1129">
    <cfRule type="expression" dxfId="594" priority="1529">
      <formula>C1123="Default"</formula>
    </cfRule>
    <cfRule type="expression" dxfId="593" priority="1528">
      <formula>C1123="Actual"</formula>
    </cfRule>
  </conditionalFormatting>
  <conditionalFormatting sqref="D1133">
    <cfRule type="expression" dxfId="592" priority="1527">
      <formula>C1123="Default"</formula>
    </cfRule>
    <cfRule type="expression" dxfId="591" priority="1526">
      <formula>C1123="Actual"</formula>
    </cfRule>
  </conditionalFormatting>
  <conditionalFormatting sqref="D1169">
    <cfRule type="expression" dxfId="590" priority="1500">
      <formula>C1169="Actual"</formula>
    </cfRule>
    <cfRule type="expression" dxfId="589" priority="1501">
      <formula>C1169="Default"</formula>
    </cfRule>
  </conditionalFormatting>
  <conditionalFormatting sqref="D1173">
    <cfRule type="expression" dxfId="588" priority="1493">
      <formula>C1173="Default"</formula>
    </cfRule>
    <cfRule type="expression" dxfId="587" priority="1492">
      <formula>C1173="Actual"</formula>
    </cfRule>
  </conditionalFormatting>
  <conditionalFormatting sqref="D1179">
    <cfRule type="expression" dxfId="586" priority="1488">
      <formula>C1173="Actual"</formula>
    </cfRule>
    <cfRule type="expression" dxfId="585" priority="1489">
      <formula>C1173="Default"</formula>
    </cfRule>
  </conditionalFormatting>
  <conditionalFormatting sqref="D1183">
    <cfRule type="expression" dxfId="584" priority="1487">
      <formula>C1173="Default"</formula>
    </cfRule>
    <cfRule type="expression" dxfId="583" priority="1486">
      <formula>C1173="Actual"</formula>
    </cfRule>
  </conditionalFormatting>
  <conditionalFormatting sqref="D1219">
    <cfRule type="expression" dxfId="582" priority="1460">
      <formula>C1219="Actual"</formula>
    </cfRule>
    <cfRule type="expression" dxfId="581" priority="1461">
      <formula>C1219="Default"</formula>
    </cfRule>
  </conditionalFormatting>
  <conditionalFormatting sqref="D1223">
    <cfRule type="expression" dxfId="580" priority="1453">
      <formula>C1223="Default"</formula>
    </cfRule>
    <cfRule type="expression" dxfId="579" priority="1452">
      <formula>C1223="Actual"</formula>
    </cfRule>
  </conditionalFormatting>
  <conditionalFormatting sqref="D1229">
    <cfRule type="expression" dxfId="578" priority="1449">
      <formula>C1223="Default"</formula>
    </cfRule>
    <cfRule type="expression" dxfId="577" priority="1448">
      <formula>C1223="Actual"</formula>
    </cfRule>
  </conditionalFormatting>
  <conditionalFormatting sqref="D1233">
    <cfRule type="expression" dxfId="576" priority="1447">
      <formula>C1223="Default"</formula>
    </cfRule>
    <cfRule type="expression" dxfId="575" priority="1446">
      <formula>C1223="Actual"</formula>
    </cfRule>
  </conditionalFormatting>
  <conditionalFormatting sqref="D1269">
    <cfRule type="expression" dxfId="574" priority="1418">
      <formula>C1269="Actual"</formula>
    </cfRule>
    <cfRule type="expression" dxfId="573" priority="1419">
      <formula>C1269="Default"</formula>
    </cfRule>
  </conditionalFormatting>
  <conditionalFormatting sqref="D1273">
    <cfRule type="expression" dxfId="572" priority="1410">
      <formula>C1273="Actual"</formula>
    </cfRule>
    <cfRule type="expression" dxfId="571" priority="1411">
      <formula>C1273="Default"</formula>
    </cfRule>
  </conditionalFormatting>
  <conditionalFormatting sqref="D1279">
    <cfRule type="expression" dxfId="570" priority="1406">
      <formula>C1273="Actual"</formula>
    </cfRule>
    <cfRule type="expression" dxfId="569" priority="1407">
      <formula>C1273="Default"</formula>
    </cfRule>
  </conditionalFormatting>
  <conditionalFormatting sqref="D1283">
    <cfRule type="expression" dxfId="568" priority="1405">
      <formula>C1273="Default"</formula>
    </cfRule>
    <cfRule type="expression" dxfId="567" priority="1404">
      <formula>C1273="Actual"</formula>
    </cfRule>
  </conditionalFormatting>
  <conditionalFormatting sqref="D1319">
    <cfRule type="expression" dxfId="566" priority="1378">
      <formula>C1319="Actual"</formula>
    </cfRule>
    <cfRule type="expression" dxfId="565" priority="1379">
      <formula>C1319="Default"</formula>
    </cfRule>
  </conditionalFormatting>
  <conditionalFormatting sqref="D1323">
    <cfRule type="expression" dxfId="564" priority="1371">
      <formula>C1323="Default"</formula>
    </cfRule>
    <cfRule type="expression" dxfId="563" priority="1370">
      <formula>C1323="Actual"</formula>
    </cfRule>
  </conditionalFormatting>
  <conditionalFormatting sqref="D1329">
    <cfRule type="expression" dxfId="562" priority="1367">
      <formula>C1323="Default"</formula>
    </cfRule>
    <cfRule type="expression" dxfId="561" priority="1366">
      <formula>C1323="Actual"</formula>
    </cfRule>
  </conditionalFormatting>
  <conditionalFormatting sqref="D1333">
    <cfRule type="expression" dxfId="560" priority="1365">
      <formula>C1323="Default"</formula>
    </cfRule>
    <cfRule type="expression" dxfId="559" priority="1364">
      <formula>C1323="Actual"</formula>
    </cfRule>
  </conditionalFormatting>
  <conditionalFormatting sqref="D1369">
    <cfRule type="expression" dxfId="558" priority="1338">
      <formula>C1369="Actual"</formula>
    </cfRule>
    <cfRule type="expression" dxfId="557" priority="1339">
      <formula>C1369="Default"</formula>
    </cfRule>
  </conditionalFormatting>
  <conditionalFormatting sqref="D1373">
    <cfRule type="expression" dxfId="556" priority="1331">
      <formula>C1373="Default"</formula>
    </cfRule>
    <cfRule type="expression" dxfId="555" priority="1330">
      <formula>C1373="Actual"</formula>
    </cfRule>
  </conditionalFormatting>
  <conditionalFormatting sqref="D1379">
    <cfRule type="expression" dxfId="554" priority="1327">
      <formula>C1373="Default"</formula>
    </cfRule>
    <cfRule type="expression" dxfId="553" priority="1326">
      <formula>C1373="Actual"</formula>
    </cfRule>
  </conditionalFormatting>
  <conditionalFormatting sqref="D1383">
    <cfRule type="expression" dxfId="552" priority="1325">
      <formula>C1373="Default"</formula>
    </cfRule>
    <cfRule type="expression" dxfId="551" priority="1324">
      <formula>C1373="Actual"</formula>
    </cfRule>
  </conditionalFormatting>
  <conditionalFormatting sqref="D1419">
    <cfRule type="expression" dxfId="550" priority="1299">
      <formula>C1419="Default"</formula>
    </cfRule>
    <cfRule type="expression" dxfId="549" priority="1298">
      <formula>C1419="Actual"</formula>
    </cfRule>
  </conditionalFormatting>
  <conditionalFormatting sqref="D1423">
    <cfRule type="expression" dxfId="548" priority="1290">
      <formula>C1423="Actual"</formula>
    </cfRule>
    <cfRule type="expression" dxfId="547" priority="1291">
      <formula>C1423="Default"</formula>
    </cfRule>
  </conditionalFormatting>
  <conditionalFormatting sqref="D1429">
    <cfRule type="expression" dxfId="546" priority="1286">
      <formula>C1423="Actual"</formula>
    </cfRule>
    <cfRule type="expression" dxfId="545" priority="1287">
      <formula>C1423="Default"</formula>
    </cfRule>
  </conditionalFormatting>
  <conditionalFormatting sqref="D1433">
    <cfRule type="expression" dxfId="544" priority="1285">
      <formula>C1423="Default"</formula>
    </cfRule>
    <cfRule type="expression" dxfId="543" priority="1284">
      <formula>C1423="Actual"</formula>
    </cfRule>
  </conditionalFormatting>
  <conditionalFormatting sqref="D1469">
    <cfRule type="expression" dxfId="542" priority="1258">
      <formula>C1469="Actual"</formula>
    </cfRule>
    <cfRule type="expression" dxfId="541" priority="1259">
      <formula>C1469="Default"</formula>
    </cfRule>
  </conditionalFormatting>
  <conditionalFormatting sqref="D1473">
    <cfRule type="expression" dxfId="540" priority="1251">
      <formula>C1473="Default"</formula>
    </cfRule>
    <cfRule type="expression" dxfId="539" priority="1250">
      <formula>C1473="Actual"</formula>
    </cfRule>
  </conditionalFormatting>
  <conditionalFormatting sqref="D1479">
    <cfRule type="expression" dxfId="538" priority="1246">
      <formula>C1473="Actual"</formula>
    </cfRule>
    <cfRule type="expression" dxfId="537" priority="1247">
      <formula>C1473="Default"</formula>
    </cfRule>
  </conditionalFormatting>
  <conditionalFormatting sqref="D1483">
    <cfRule type="expression" dxfId="536" priority="1244">
      <formula>C1473="Actual"</formula>
    </cfRule>
    <cfRule type="expression" dxfId="535" priority="1245">
      <formula>C1473="Default"</formula>
    </cfRule>
  </conditionalFormatting>
  <conditionalFormatting sqref="D1519">
    <cfRule type="expression" dxfId="534" priority="1219">
      <formula>C1519="Default"</formula>
    </cfRule>
    <cfRule type="expression" dxfId="533" priority="1218">
      <formula>C1519="Actual"</formula>
    </cfRule>
  </conditionalFormatting>
  <conditionalFormatting sqref="D1523">
    <cfRule type="expression" dxfId="532" priority="1210">
      <formula>C1523="Actual"</formula>
    </cfRule>
    <cfRule type="expression" dxfId="531" priority="1211">
      <formula>C1523="Default"</formula>
    </cfRule>
  </conditionalFormatting>
  <conditionalFormatting sqref="D1529">
    <cfRule type="expression" dxfId="530" priority="1207">
      <formula>C1523="Default"</formula>
    </cfRule>
    <cfRule type="expression" dxfId="529" priority="1206">
      <formula>C1523="Actual"</formula>
    </cfRule>
  </conditionalFormatting>
  <conditionalFormatting sqref="D1533">
    <cfRule type="expression" dxfId="528" priority="1204">
      <formula>C1523="Actual"</formula>
    </cfRule>
    <cfRule type="expression" dxfId="527" priority="1205">
      <formula>C1523="Default"</formula>
    </cfRule>
  </conditionalFormatting>
  <conditionalFormatting sqref="D1569">
    <cfRule type="expression" dxfId="526" priority="1179">
      <formula>C1569="Default"</formula>
    </cfRule>
    <cfRule type="expression" dxfId="525" priority="1178">
      <formula>C1569="Actual"</formula>
    </cfRule>
  </conditionalFormatting>
  <conditionalFormatting sqref="D1573">
    <cfRule type="expression" dxfId="524" priority="1170">
      <formula>C1573="Actual"</formula>
    </cfRule>
    <cfRule type="expression" dxfId="523" priority="1171">
      <formula>C1573="Default"</formula>
    </cfRule>
  </conditionalFormatting>
  <conditionalFormatting sqref="D1579">
    <cfRule type="expression" dxfId="522" priority="1167">
      <formula>C1573="Default"</formula>
    </cfRule>
    <cfRule type="expression" dxfId="521" priority="1166">
      <formula>C1573="Actual"</formula>
    </cfRule>
  </conditionalFormatting>
  <conditionalFormatting sqref="D1583">
    <cfRule type="expression" dxfId="520" priority="1165">
      <formula>C1573="Default"</formula>
    </cfRule>
    <cfRule type="expression" dxfId="519" priority="1164">
      <formula>C1573="Actual"</formula>
    </cfRule>
  </conditionalFormatting>
  <conditionalFormatting sqref="D1619">
    <cfRule type="expression" dxfId="518" priority="1139">
      <formula>C1619="Default"</formula>
    </cfRule>
    <cfRule type="expression" dxfId="517" priority="1138">
      <formula>C1619="Actual"</formula>
    </cfRule>
  </conditionalFormatting>
  <conditionalFormatting sqref="D1623">
    <cfRule type="expression" dxfId="516" priority="1130">
      <formula>C1623="Actual"</formula>
    </cfRule>
    <cfRule type="expression" dxfId="515" priority="1131">
      <formula>C1623="Default"</formula>
    </cfRule>
  </conditionalFormatting>
  <conditionalFormatting sqref="D1629">
    <cfRule type="expression" dxfId="514" priority="1126">
      <formula>C1623="Actual"</formula>
    </cfRule>
    <cfRule type="expression" dxfId="513" priority="1127">
      <formula>C1623="Default"</formula>
    </cfRule>
  </conditionalFormatting>
  <conditionalFormatting sqref="D1633">
    <cfRule type="expression" dxfId="512" priority="1124">
      <formula>C1623="Actual"</formula>
    </cfRule>
    <cfRule type="expression" dxfId="511" priority="1125">
      <formula>C1623="Default"</formula>
    </cfRule>
  </conditionalFormatting>
  <conditionalFormatting sqref="D1669">
    <cfRule type="expression" dxfId="510" priority="1098">
      <formula>C1669="Actual"</formula>
    </cfRule>
    <cfRule type="expression" dxfId="509" priority="1099">
      <formula>C1669="Default"</formula>
    </cfRule>
  </conditionalFormatting>
  <conditionalFormatting sqref="D1673">
    <cfRule type="expression" dxfId="508" priority="1091">
      <formula>C1673="Default"</formula>
    </cfRule>
    <cfRule type="expression" dxfId="507" priority="1090">
      <formula>C1673="Actual"</formula>
    </cfRule>
  </conditionalFormatting>
  <conditionalFormatting sqref="D1679">
    <cfRule type="expression" dxfId="506" priority="1087">
      <formula>C1673="Default"</formula>
    </cfRule>
    <cfRule type="expression" dxfId="505" priority="1086">
      <formula>C1673="Actual"</formula>
    </cfRule>
  </conditionalFormatting>
  <conditionalFormatting sqref="D1683">
    <cfRule type="expression" dxfId="504" priority="1084">
      <formula>C1673="Actual"</formula>
    </cfRule>
    <cfRule type="expression" dxfId="503" priority="1085">
      <formula>C1673="Default"</formula>
    </cfRule>
  </conditionalFormatting>
  <conditionalFormatting sqref="D1719">
    <cfRule type="expression" dxfId="502" priority="1058">
      <formula>C1719="Actual"</formula>
    </cfRule>
    <cfRule type="expression" dxfId="501" priority="1059">
      <formula>C1719="Default"</formula>
    </cfRule>
  </conditionalFormatting>
  <conditionalFormatting sqref="D1723">
    <cfRule type="expression" dxfId="500" priority="1050">
      <formula>C1723="Actual"</formula>
    </cfRule>
    <cfRule type="expression" dxfId="499" priority="1051">
      <formula>C1723="Default"</formula>
    </cfRule>
  </conditionalFormatting>
  <conditionalFormatting sqref="D1729">
    <cfRule type="expression" dxfId="498" priority="1046">
      <formula>C1723="Actual"</formula>
    </cfRule>
    <cfRule type="expression" dxfId="497" priority="1047">
      <formula>C1723="Default"</formula>
    </cfRule>
  </conditionalFormatting>
  <conditionalFormatting sqref="D1733">
    <cfRule type="expression" dxfId="496" priority="1045">
      <formula>C1723="Default"</formula>
    </cfRule>
    <cfRule type="expression" dxfId="495" priority="1044">
      <formula>C1723="Actual"</formula>
    </cfRule>
  </conditionalFormatting>
  <conditionalFormatting sqref="D1769">
    <cfRule type="expression" dxfId="494" priority="1019">
      <formula>C1769="Default"</formula>
    </cfRule>
    <cfRule type="expression" dxfId="493" priority="1018">
      <formula>C1769="Actual"</formula>
    </cfRule>
  </conditionalFormatting>
  <conditionalFormatting sqref="D1773">
    <cfRule type="expression" dxfId="492" priority="1011">
      <formula>C1773="Default"</formula>
    </cfRule>
    <cfRule type="expression" dxfId="491" priority="1010">
      <formula>C1773="Actual"</formula>
    </cfRule>
  </conditionalFormatting>
  <conditionalFormatting sqref="D1779">
    <cfRule type="expression" dxfId="490" priority="1007">
      <formula>C1773="Default"</formula>
    </cfRule>
    <cfRule type="expression" dxfId="489" priority="1006">
      <formula>C1773="Actual"</formula>
    </cfRule>
  </conditionalFormatting>
  <conditionalFormatting sqref="D1783">
    <cfRule type="expression" dxfId="488" priority="1005">
      <formula>C1773="Default"</formula>
    </cfRule>
    <cfRule type="expression" dxfId="487" priority="1004">
      <formula>C1773="Actual"</formula>
    </cfRule>
  </conditionalFormatting>
  <conditionalFormatting sqref="D1819">
    <cfRule type="expression" dxfId="486" priority="978">
      <formula>C1819="Actual"</formula>
    </cfRule>
    <cfRule type="expression" dxfId="485" priority="979">
      <formula>C1819="Default"</formula>
    </cfRule>
  </conditionalFormatting>
  <conditionalFormatting sqref="D1823">
    <cfRule type="expression" dxfId="484" priority="971">
      <formula>C1823="Default"</formula>
    </cfRule>
    <cfRule type="expression" dxfId="483" priority="970">
      <formula>C1823="Actual"</formula>
    </cfRule>
  </conditionalFormatting>
  <conditionalFormatting sqref="D1829">
    <cfRule type="expression" dxfId="482" priority="967">
      <formula>C1823="Default"</formula>
    </cfRule>
    <cfRule type="expression" dxfId="481" priority="966">
      <formula>C1823="Actual"</formula>
    </cfRule>
  </conditionalFormatting>
  <conditionalFormatting sqref="D1833">
    <cfRule type="expression" dxfId="480" priority="965">
      <formula>C1823="Default"</formula>
    </cfRule>
    <cfRule type="expression" dxfId="479" priority="964">
      <formula>C1823="Actual"</formula>
    </cfRule>
  </conditionalFormatting>
  <conditionalFormatting sqref="D1869">
    <cfRule type="expression" dxfId="478" priority="938">
      <formula>C1869="Actual"</formula>
    </cfRule>
    <cfRule type="expression" dxfId="477" priority="939">
      <formula>C1869="Default"</formula>
    </cfRule>
  </conditionalFormatting>
  <conditionalFormatting sqref="D1873">
    <cfRule type="expression" dxfId="476" priority="930">
      <formula>C1873="Actual"</formula>
    </cfRule>
    <cfRule type="expression" dxfId="475" priority="931">
      <formula>C1873="Default"</formula>
    </cfRule>
  </conditionalFormatting>
  <conditionalFormatting sqref="D1879">
    <cfRule type="expression" dxfId="474" priority="926">
      <formula>C1873="Actual"</formula>
    </cfRule>
    <cfRule type="expression" dxfId="473" priority="927">
      <formula>C1873="Default"</formula>
    </cfRule>
  </conditionalFormatting>
  <conditionalFormatting sqref="D1883">
    <cfRule type="expression" dxfId="472" priority="925">
      <formula>C1873="Default"</formula>
    </cfRule>
    <cfRule type="expression" dxfId="471" priority="924">
      <formula>C1873="Actual"</formula>
    </cfRule>
  </conditionalFormatting>
  <conditionalFormatting sqref="D1919">
    <cfRule type="expression" dxfId="470" priority="898">
      <formula>C1919="Actual"</formula>
    </cfRule>
    <cfRule type="expression" dxfId="469" priority="899">
      <formula>C1919="Default"</formula>
    </cfRule>
  </conditionalFormatting>
  <conditionalFormatting sqref="D1923">
    <cfRule type="expression" dxfId="468" priority="891">
      <formula>C1923="Default"</formula>
    </cfRule>
    <cfRule type="expression" dxfId="467" priority="890">
      <formula>C1923="Actual"</formula>
    </cfRule>
  </conditionalFormatting>
  <conditionalFormatting sqref="D1929">
    <cfRule type="expression" dxfId="466" priority="887">
      <formula>C1923="Default"</formula>
    </cfRule>
    <cfRule type="expression" dxfId="465" priority="886">
      <formula>C1923="Actual"</formula>
    </cfRule>
  </conditionalFormatting>
  <conditionalFormatting sqref="D1933">
    <cfRule type="expression" dxfId="464" priority="885">
      <formula>C1923="Default"</formula>
    </cfRule>
    <cfRule type="expression" dxfId="463" priority="884">
      <formula>C1923="Actual"</formula>
    </cfRule>
  </conditionalFormatting>
  <conditionalFormatting sqref="D1969">
    <cfRule type="expression" dxfId="462" priority="858">
      <formula>C1969="Actual"</formula>
    </cfRule>
    <cfRule type="expression" dxfId="461" priority="859">
      <formula>C1969="Default"</formula>
    </cfRule>
  </conditionalFormatting>
  <conditionalFormatting sqref="D1973">
    <cfRule type="expression" dxfId="460" priority="851">
      <formula>C1973="Default"</formula>
    </cfRule>
    <cfRule type="expression" dxfId="459" priority="850">
      <formula>C1973="Actual"</formula>
    </cfRule>
  </conditionalFormatting>
  <conditionalFormatting sqref="D1979">
    <cfRule type="expression" dxfId="458" priority="847">
      <formula>C1973="Default"</formula>
    </cfRule>
    <cfRule type="expression" dxfId="457" priority="846">
      <formula>C1973="Actual"</formula>
    </cfRule>
  </conditionalFormatting>
  <conditionalFormatting sqref="D1983">
    <cfRule type="expression" dxfId="456" priority="845">
      <formula>C1973="Default"</formula>
    </cfRule>
    <cfRule type="expression" dxfId="455" priority="844">
      <formula>C1973="Actual"</formula>
    </cfRule>
  </conditionalFormatting>
  <conditionalFormatting sqref="D2019">
    <cfRule type="expression" dxfId="454" priority="819">
      <formula>C2019="Default"</formula>
    </cfRule>
    <cfRule type="expression" dxfId="453" priority="818">
      <formula>C2019="Actual"</formula>
    </cfRule>
  </conditionalFormatting>
  <conditionalFormatting sqref="D2023">
    <cfRule type="expression" dxfId="452" priority="810">
      <formula>C2023="Actual"</formula>
    </cfRule>
    <cfRule type="expression" dxfId="451" priority="811">
      <formula>C2023="Default"</formula>
    </cfRule>
  </conditionalFormatting>
  <conditionalFormatting sqref="D2029">
    <cfRule type="expression" dxfId="450" priority="807">
      <formula>C2023="Default"</formula>
    </cfRule>
    <cfRule type="expression" dxfId="449" priority="806">
      <formula>C2023="Actual"</formula>
    </cfRule>
  </conditionalFormatting>
  <conditionalFormatting sqref="D2033">
    <cfRule type="expression" dxfId="448" priority="805">
      <formula>C2023="Default"</formula>
    </cfRule>
    <cfRule type="expression" dxfId="447" priority="804">
      <formula>C2023="Actual"</formula>
    </cfRule>
  </conditionalFormatting>
  <conditionalFormatting sqref="D2069">
    <cfRule type="expression" dxfId="446" priority="779">
      <formula>C2069="Default"</formula>
    </cfRule>
    <cfRule type="expression" dxfId="445" priority="778">
      <formula>C2069="Actual"</formula>
    </cfRule>
  </conditionalFormatting>
  <conditionalFormatting sqref="D2073">
    <cfRule type="expression" dxfId="444" priority="771">
      <formula>C2073="Default"</formula>
    </cfRule>
    <cfRule type="expression" dxfId="443" priority="770">
      <formula>C2073="Actual"</formula>
    </cfRule>
  </conditionalFormatting>
  <conditionalFormatting sqref="D2079">
    <cfRule type="expression" dxfId="442" priority="767">
      <formula>C2073="Default"</formula>
    </cfRule>
    <cfRule type="expression" dxfId="441" priority="766">
      <formula>C2073="Actual"</formula>
    </cfRule>
  </conditionalFormatting>
  <conditionalFormatting sqref="D2083">
    <cfRule type="expression" dxfId="440" priority="764">
      <formula>C2073="Actual"</formula>
    </cfRule>
    <cfRule type="expression" dxfId="439" priority="765">
      <formula>C2073="Default"</formula>
    </cfRule>
  </conditionalFormatting>
  <conditionalFormatting sqref="D2119">
    <cfRule type="expression" dxfId="438" priority="739">
      <formula>C2119="Default"</formula>
    </cfRule>
    <cfRule type="expression" dxfId="437" priority="738">
      <formula>C2119="Actual"</formula>
    </cfRule>
  </conditionalFormatting>
  <conditionalFormatting sqref="D2123">
    <cfRule type="expression" dxfId="436" priority="731">
      <formula>C2123="Default"</formula>
    </cfRule>
    <cfRule type="expression" dxfId="435" priority="730">
      <formula>C2123="Actual"</formula>
    </cfRule>
  </conditionalFormatting>
  <conditionalFormatting sqref="D2129">
    <cfRule type="expression" dxfId="434" priority="727">
      <formula>C2123="Default"</formula>
    </cfRule>
    <cfRule type="expression" dxfId="433" priority="726">
      <formula>C2123="Actual"</formula>
    </cfRule>
  </conditionalFormatting>
  <conditionalFormatting sqref="D2133">
    <cfRule type="expression" dxfId="432" priority="725">
      <formula>C2123="Default"</formula>
    </cfRule>
    <cfRule type="expression" dxfId="431" priority="724">
      <formula>C2123="Actual"</formula>
    </cfRule>
  </conditionalFormatting>
  <conditionalFormatting sqref="D2169">
    <cfRule type="expression" dxfId="430" priority="699">
      <formula>C2169="Default"</formula>
    </cfRule>
    <cfRule type="expression" dxfId="429" priority="698">
      <formula>C2169="Actual"</formula>
    </cfRule>
  </conditionalFormatting>
  <conditionalFormatting sqref="D2173">
    <cfRule type="expression" dxfId="428" priority="691">
      <formula>C2173="Default"</formula>
    </cfRule>
    <cfRule type="expression" dxfId="427" priority="690">
      <formula>C2173="Actual"</formula>
    </cfRule>
  </conditionalFormatting>
  <conditionalFormatting sqref="D2179">
    <cfRule type="expression" dxfId="426" priority="687">
      <formula>C2173="Default"</formula>
    </cfRule>
    <cfRule type="expression" dxfId="425" priority="686">
      <formula>C2173="Actual"</formula>
    </cfRule>
  </conditionalFormatting>
  <conditionalFormatting sqref="D2183">
    <cfRule type="expression" dxfId="424" priority="684">
      <formula>C2173="Actual"</formula>
    </cfRule>
    <cfRule type="expression" dxfId="423" priority="685">
      <formula>C2173="Default"</formula>
    </cfRule>
  </conditionalFormatting>
  <conditionalFormatting sqref="D2219">
    <cfRule type="expression" dxfId="422" priority="659">
      <formula>C2219="Default"</formula>
    </cfRule>
    <cfRule type="expression" dxfId="421" priority="658">
      <formula>C2219="Actual"</formula>
    </cfRule>
  </conditionalFormatting>
  <conditionalFormatting sqref="D2223">
    <cfRule type="expression" dxfId="420" priority="651">
      <formula>C2223="Default"</formula>
    </cfRule>
    <cfRule type="expression" dxfId="419" priority="650">
      <formula>C2223="Actual"</formula>
    </cfRule>
  </conditionalFormatting>
  <conditionalFormatting sqref="D2229">
    <cfRule type="expression" dxfId="418" priority="647">
      <formula>C2223="Default"</formula>
    </cfRule>
    <cfRule type="expression" dxfId="417" priority="646">
      <formula>C2223="Actual"</formula>
    </cfRule>
  </conditionalFormatting>
  <conditionalFormatting sqref="D2233">
    <cfRule type="expression" dxfId="416" priority="644">
      <formula>C2223="Actual"</formula>
    </cfRule>
    <cfRule type="expression" dxfId="415" priority="645">
      <formula>C2223="Default"</formula>
    </cfRule>
  </conditionalFormatting>
  <conditionalFormatting sqref="D2269">
    <cfRule type="expression" dxfId="414" priority="618">
      <formula>C2269="Actual"</formula>
    </cfRule>
    <cfRule type="expression" dxfId="413" priority="619">
      <formula>C2269="Default"</formula>
    </cfRule>
  </conditionalFormatting>
  <conditionalFormatting sqref="D2273">
    <cfRule type="expression" dxfId="412" priority="611">
      <formula>C2273="Default"</formula>
    </cfRule>
    <cfRule type="expression" dxfId="411" priority="610">
      <formula>C2273="Actual"</formula>
    </cfRule>
  </conditionalFormatting>
  <conditionalFormatting sqref="D2279">
    <cfRule type="expression" dxfId="410" priority="607">
      <formula>C2273="Default"</formula>
    </cfRule>
    <cfRule type="expression" dxfId="409" priority="606">
      <formula>C2273="Actual"</formula>
    </cfRule>
  </conditionalFormatting>
  <conditionalFormatting sqref="D2283">
    <cfRule type="expression" dxfId="408" priority="604">
      <formula>C2273="Actual"</formula>
    </cfRule>
    <cfRule type="expression" dxfId="407" priority="605">
      <formula>C2273="Default"</formula>
    </cfRule>
  </conditionalFormatting>
  <conditionalFormatting sqref="D2319">
    <cfRule type="expression" dxfId="406" priority="579">
      <formula>C2319="Default"</formula>
    </cfRule>
    <cfRule type="expression" dxfId="405" priority="578">
      <formula>C2319="Actual"</formula>
    </cfRule>
  </conditionalFormatting>
  <conditionalFormatting sqref="D2323">
    <cfRule type="expression" dxfId="404" priority="570">
      <formula>C2323="Actual"</formula>
    </cfRule>
    <cfRule type="expression" dxfId="403" priority="571">
      <formula>C2323="Default"</formula>
    </cfRule>
  </conditionalFormatting>
  <conditionalFormatting sqref="D2329">
    <cfRule type="expression" dxfId="402" priority="567">
      <formula>C2323="Default"</formula>
    </cfRule>
    <cfRule type="expression" dxfId="401" priority="566">
      <formula>C2323="Actual"</formula>
    </cfRule>
  </conditionalFormatting>
  <conditionalFormatting sqref="D2333">
    <cfRule type="expression" dxfId="400" priority="564">
      <formula>C2323="Actual"</formula>
    </cfRule>
    <cfRule type="expression" dxfId="399" priority="565">
      <formula>C2323="Default"</formula>
    </cfRule>
  </conditionalFormatting>
  <conditionalFormatting sqref="D2369">
    <cfRule type="expression" dxfId="398" priority="539">
      <formula>C2369="Default"</formula>
    </cfRule>
    <cfRule type="expression" dxfId="397" priority="538">
      <formula>C2369="Actual"</formula>
    </cfRule>
  </conditionalFormatting>
  <conditionalFormatting sqref="D2373">
    <cfRule type="expression" dxfId="396" priority="531">
      <formula>C2373="Default"</formula>
    </cfRule>
    <cfRule type="expression" dxfId="395" priority="530">
      <formula>C2373="Actual"</formula>
    </cfRule>
  </conditionalFormatting>
  <conditionalFormatting sqref="D2379">
    <cfRule type="expression" dxfId="394" priority="526">
      <formula>C2373="Actual"</formula>
    </cfRule>
    <cfRule type="expression" dxfId="393" priority="527">
      <formula>C2373="Default"</formula>
    </cfRule>
  </conditionalFormatting>
  <conditionalFormatting sqref="D2383">
    <cfRule type="expression" dxfId="392" priority="524">
      <formula>C2373="Actual"</formula>
    </cfRule>
    <cfRule type="expression" dxfId="391" priority="525">
      <formula>C2373="Default"</formula>
    </cfRule>
  </conditionalFormatting>
  <conditionalFormatting sqref="D2419">
    <cfRule type="expression" dxfId="390" priority="498">
      <formula>C2419="Actual"</formula>
    </cfRule>
    <cfRule type="expression" dxfId="389" priority="499">
      <formula>C2419="Default"</formula>
    </cfRule>
  </conditionalFormatting>
  <conditionalFormatting sqref="D2423">
    <cfRule type="expression" dxfId="388" priority="490">
      <formula>C2423="Actual"</formula>
    </cfRule>
    <cfRule type="expression" dxfId="387" priority="491">
      <formula>C2423="Default"</formula>
    </cfRule>
  </conditionalFormatting>
  <conditionalFormatting sqref="D2429">
    <cfRule type="expression" dxfId="386" priority="486">
      <formula>C2423="Actual"</formula>
    </cfRule>
    <cfRule type="expression" dxfId="385" priority="487">
      <formula>C2423="Default"</formula>
    </cfRule>
  </conditionalFormatting>
  <conditionalFormatting sqref="D2433">
    <cfRule type="expression" dxfId="384" priority="484">
      <formula>C2423="Actual"</formula>
    </cfRule>
    <cfRule type="expression" dxfId="383" priority="485">
      <formula>C2423="Default"</formula>
    </cfRule>
  </conditionalFormatting>
  <conditionalFormatting sqref="D2469">
    <cfRule type="expression" dxfId="382" priority="459">
      <formula>C2469="Default"</formula>
    </cfRule>
    <cfRule type="expression" dxfId="381" priority="458">
      <formula>C2469="Actual"</formula>
    </cfRule>
  </conditionalFormatting>
  <conditionalFormatting sqref="D2473">
    <cfRule type="expression" dxfId="380" priority="450">
      <formula>C2473="Actual"</formula>
    </cfRule>
    <cfRule type="expression" dxfId="379" priority="451">
      <formula>C2473="Default"</formula>
    </cfRule>
  </conditionalFormatting>
  <conditionalFormatting sqref="D2479">
    <cfRule type="expression" dxfId="378" priority="446">
      <formula>C2473="Actual"</formula>
    </cfRule>
    <cfRule type="expression" dxfId="377" priority="447">
      <formula>C2473="Default"</formula>
    </cfRule>
  </conditionalFormatting>
  <conditionalFormatting sqref="D2483">
    <cfRule type="expression" dxfId="376" priority="444">
      <formula>C2473="Actual"</formula>
    </cfRule>
  </conditionalFormatting>
  <conditionalFormatting sqref="D2519">
    <cfRule type="expression" dxfId="375" priority="419">
      <formula>C2519="Default"</formula>
    </cfRule>
    <cfRule type="expression" dxfId="374" priority="418">
      <formula>C2519="Actual"</formula>
    </cfRule>
  </conditionalFormatting>
  <conditionalFormatting sqref="D2523">
    <cfRule type="expression" dxfId="373" priority="410">
      <formula>C2523="Actual"</formula>
    </cfRule>
    <cfRule type="expression" dxfId="372" priority="411">
      <formula>C2523="Default"</formula>
    </cfRule>
  </conditionalFormatting>
  <conditionalFormatting sqref="D2529">
    <cfRule type="expression" dxfId="371" priority="407">
      <formula>C2523="Default"</formula>
    </cfRule>
    <cfRule type="expression" dxfId="370" priority="406">
      <formula>C2523="Actual"</formula>
    </cfRule>
  </conditionalFormatting>
  <conditionalFormatting sqref="D2533">
    <cfRule type="expression" dxfId="369" priority="404">
      <formula>C2523="Actual"</formula>
    </cfRule>
    <cfRule type="expression" dxfId="368" priority="405">
      <formula>C2523="Default"</formula>
    </cfRule>
  </conditionalFormatting>
  <conditionalFormatting sqref="D2569">
    <cfRule type="expression" dxfId="367" priority="378">
      <formula>C2569="Actual"</formula>
    </cfRule>
    <cfRule type="expression" dxfId="366" priority="379">
      <formula>C2569="Default"</formula>
    </cfRule>
  </conditionalFormatting>
  <conditionalFormatting sqref="D2573">
    <cfRule type="expression" dxfId="365" priority="370">
      <formula>C2573="Actual"</formula>
    </cfRule>
    <cfRule type="expression" dxfId="364" priority="371">
      <formula>C2573="Default"</formula>
    </cfRule>
  </conditionalFormatting>
  <conditionalFormatting sqref="D2579">
    <cfRule type="expression" dxfId="363" priority="367">
      <formula>C2573="Default"</formula>
    </cfRule>
    <cfRule type="expression" dxfId="362" priority="366">
      <formula>C2573="Actual"</formula>
    </cfRule>
  </conditionalFormatting>
  <conditionalFormatting sqref="D2583">
    <cfRule type="expression" dxfId="361" priority="364">
      <formula>C2573="Actual"</formula>
    </cfRule>
    <cfRule type="expression" dxfId="360" priority="365">
      <formula>C2573="Default"</formula>
    </cfRule>
  </conditionalFormatting>
  <conditionalFormatting sqref="D2619">
    <cfRule type="expression" dxfId="359" priority="338">
      <formula>C2619="Actual"</formula>
    </cfRule>
    <cfRule type="expression" dxfId="358" priority="339">
      <formula>C2619="Default"</formula>
    </cfRule>
  </conditionalFormatting>
  <conditionalFormatting sqref="D2623">
    <cfRule type="expression" dxfId="357" priority="331">
      <formula>C2623="Default"</formula>
    </cfRule>
    <cfRule type="expression" dxfId="356" priority="330">
      <formula>C2623="Actual"</formula>
    </cfRule>
  </conditionalFormatting>
  <conditionalFormatting sqref="D2629">
    <cfRule type="expression" dxfId="355" priority="327">
      <formula>C2623="Default"</formula>
    </cfRule>
    <cfRule type="expression" dxfId="354" priority="326">
      <formula>C2623="Actual"</formula>
    </cfRule>
  </conditionalFormatting>
  <conditionalFormatting sqref="D2633">
    <cfRule type="expression" dxfId="353" priority="325">
      <formula>C2623="Default"</formula>
    </cfRule>
    <cfRule type="expression" dxfId="352" priority="324">
      <formula>C2623="Actual"</formula>
    </cfRule>
  </conditionalFormatting>
  <conditionalFormatting sqref="D2669">
    <cfRule type="expression" dxfId="351" priority="301">
      <formula>C2669="Default"</formula>
    </cfRule>
    <cfRule type="expression" dxfId="350" priority="300">
      <formula>C2669="Actual"</formula>
    </cfRule>
  </conditionalFormatting>
  <conditionalFormatting sqref="D2673">
    <cfRule type="expression" dxfId="349" priority="292">
      <formula>C2673="Actual"</formula>
    </cfRule>
    <cfRule type="expression" dxfId="348" priority="293">
      <formula>C2673="Default"</formula>
    </cfRule>
  </conditionalFormatting>
  <conditionalFormatting sqref="D2679">
    <cfRule type="expression" dxfId="347" priority="289">
      <formula>C2673="Default"</formula>
    </cfRule>
    <cfRule type="expression" dxfId="346" priority="288">
      <formula>C2673="Actual"</formula>
    </cfRule>
  </conditionalFormatting>
  <conditionalFormatting sqref="D2683">
    <cfRule type="expression" dxfId="345" priority="286">
      <formula>C2673="Actual"</formula>
    </cfRule>
    <cfRule type="expression" dxfId="344" priority="287">
      <formula>C2673="Default"</formula>
    </cfRule>
  </conditionalFormatting>
  <conditionalFormatting sqref="D2719">
    <cfRule type="expression" dxfId="343" priority="262">
      <formula>C2719="Actual"</formula>
    </cfRule>
    <cfRule type="expression" dxfId="342" priority="263">
      <formula>C2719="Default"</formula>
    </cfRule>
  </conditionalFormatting>
  <conditionalFormatting sqref="D2723">
    <cfRule type="expression" dxfId="341" priority="254">
      <formula>C2723="Actual"</formula>
    </cfRule>
    <cfRule type="expression" dxfId="340" priority="255">
      <formula>C2723="Default"</formula>
    </cfRule>
  </conditionalFormatting>
  <conditionalFormatting sqref="D2729">
    <cfRule type="expression" dxfId="339" priority="250">
      <formula>C2723="Actual"</formula>
    </cfRule>
    <cfRule type="expression" dxfId="338" priority="251">
      <formula>C2723="Default"</formula>
    </cfRule>
  </conditionalFormatting>
  <conditionalFormatting sqref="D2733">
    <cfRule type="expression" dxfId="337" priority="248">
      <formula>C2723="Actual"</formula>
    </cfRule>
    <cfRule type="expression" dxfId="336" priority="249">
      <formula>C2723="Default"</formula>
    </cfRule>
  </conditionalFormatting>
  <conditionalFormatting sqref="D10:L11">
    <cfRule type="expression" dxfId="335" priority="1915">
      <formula>$D$13="No transport required"</formula>
    </cfRule>
  </conditionalFormatting>
  <conditionalFormatting sqref="D60:L61">
    <cfRule type="expression" dxfId="334" priority="1910">
      <formula>$D$63="No transport required"</formula>
    </cfRule>
  </conditionalFormatting>
  <conditionalFormatting sqref="D110:L111">
    <cfRule type="expression" dxfId="333" priority="1907">
      <formula>$D$113="No transport required"</formula>
    </cfRule>
  </conditionalFormatting>
  <conditionalFormatting sqref="D160:L161">
    <cfRule type="expression" dxfId="332" priority="1904">
      <formula>$D$163="No transport required"</formula>
    </cfRule>
  </conditionalFormatting>
  <conditionalFormatting sqref="D210:L211">
    <cfRule type="expression" dxfId="331" priority="1901">
      <formula>$D$213="No transport required"</formula>
    </cfRule>
  </conditionalFormatting>
  <conditionalFormatting sqref="D260:L261">
    <cfRule type="expression" dxfId="330" priority="1898">
      <formula>$D$263="No transport required"</formula>
    </cfRule>
  </conditionalFormatting>
  <conditionalFormatting sqref="D310:L311">
    <cfRule type="expression" dxfId="329" priority="1895">
      <formula>$D$313="No transport required"</formula>
    </cfRule>
  </conditionalFormatting>
  <conditionalFormatting sqref="D360:L361">
    <cfRule type="expression" dxfId="328" priority="1892">
      <formula>$D$363="No transport required"</formula>
    </cfRule>
  </conditionalFormatting>
  <conditionalFormatting sqref="D410:L411">
    <cfRule type="expression" dxfId="327" priority="1889">
      <formula>$D$413="No transport required"</formula>
    </cfRule>
  </conditionalFormatting>
  <conditionalFormatting sqref="D460:L461">
    <cfRule type="expression" dxfId="326" priority="1886">
      <formula>$D$463="No transport required"</formula>
    </cfRule>
  </conditionalFormatting>
  <conditionalFormatting sqref="E19">
    <cfRule type="expression" dxfId="325" priority="2085">
      <formula>C19="Actual"</formula>
    </cfRule>
    <cfRule type="expression" dxfId="324" priority="2086">
      <formula>C19="Default"</formula>
    </cfRule>
  </conditionalFormatting>
  <conditionalFormatting sqref="E25">
    <cfRule type="expression" dxfId="323" priority="2079">
      <formula>C23="Actual"</formula>
    </cfRule>
    <cfRule type="expression" dxfId="322" priority="2080">
      <formula>C23="Default"</formula>
    </cfRule>
  </conditionalFormatting>
  <conditionalFormatting sqref="E69">
    <cfRule type="expression" dxfId="321" priority="2067">
      <formula>C69="Default"</formula>
    </cfRule>
    <cfRule type="expression" dxfId="320" priority="2066">
      <formula>C69="Actual"</formula>
    </cfRule>
  </conditionalFormatting>
  <conditionalFormatting sqref="E75">
    <cfRule type="expression" dxfId="319" priority="2060">
      <formula>C73="Actual"</formula>
    </cfRule>
    <cfRule type="expression" dxfId="318" priority="2061">
      <formula>C73="Default"</formula>
    </cfRule>
  </conditionalFormatting>
  <conditionalFormatting sqref="E119">
    <cfRule type="expression" dxfId="317" priority="2050">
      <formula>C119="Default"</formula>
    </cfRule>
    <cfRule type="expression" dxfId="316" priority="2049">
      <formula>C119="Actual"</formula>
    </cfRule>
  </conditionalFormatting>
  <conditionalFormatting sqref="E125">
    <cfRule type="expression" dxfId="315" priority="2044">
      <formula>C123="Default"</formula>
    </cfRule>
    <cfRule type="expression" dxfId="314" priority="2043">
      <formula>C123="Actual"</formula>
    </cfRule>
  </conditionalFormatting>
  <conditionalFormatting sqref="E169">
    <cfRule type="expression" dxfId="313" priority="2032">
      <formula>C169="Actual"</formula>
    </cfRule>
    <cfRule type="expression" dxfId="312" priority="2033">
      <formula>C169="Default"</formula>
    </cfRule>
  </conditionalFormatting>
  <conditionalFormatting sqref="E175">
    <cfRule type="expression" dxfId="311" priority="2027">
      <formula>C173="Default"</formula>
    </cfRule>
    <cfRule type="expression" dxfId="310" priority="2026">
      <formula>C173="Actual"</formula>
    </cfRule>
  </conditionalFormatting>
  <conditionalFormatting sqref="E219">
    <cfRule type="expression" dxfId="309" priority="2016">
      <formula>C219="Default"</formula>
    </cfRule>
    <cfRule type="expression" dxfId="308" priority="2015">
      <formula>C219="Actual"</formula>
    </cfRule>
  </conditionalFormatting>
  <conditionalFormatting sqref="E225">
    <cfRule type="expression" dxfId="307" priority="2010">
      <formula>C223="Default"</formula>
    </cfRule>
    <cfRule type="expression" dxfId="306" priority="2009">
      <formula>C223="Actual"</formula>
    </cfRule>
  </conditionalFormatting>
  <conditionalFormatting sqref="E269">
    <cfRule type="expression" dxfId="305" priority="1998">
      <formula>C269="Actual"</formula>
    </cfRule>
    <cfRule type="expression" dxfId="304" priority="1999">
      <formula>C269="Default"</formula>
    </cfRule>
  </conditionalFormatting>
  <conditionalFormatting sqref="E275">
    <cfRule type="expression" dxfId="303" priority="1993">
      <formula>C273="Default"</formula>
    </cfRule>
    <cfRule type="expression" dxfId="302" priority="1992">
      <formula>C273="Actual"</formula>
    </cfRule>
  </conditionalFormatting>
  <conditionalFormatting sqref="E319">
    <cfRule type="expression" dxfId="301" priority="1981">
      <formula>C319="Actual"</formula>
    </cfRule>
    <cfRule type="expression" dxfId="300" priority="1982">
      <formula>C319="Default"</formula>
    </cfRule>
  </conditionalFormatting>
  <conditionalFormatting sqref="E325">
    <cfRule type="expression" dxfId="299" priority="1975">
      <formula>C323="Actual"</formula>
    </cfRule>
    <cfRule type="expression" dxfId="298" priority="1976">
      <formula>C323="Default"</formula>
    </cfRule>
  </conditionalFormatting>
  <conditionalFormatting sqref="E369">
    <cfRule type="expression" dxfId="297" priority="1964">
      <formula>C369="Actual"</formula>
    </cfRule>
    <cfRule type="expression" dxfId="296" priority="1965">
      <formula>C369="Default"</formula>
    </cfRule>
  </conditionalFormatting>
  <conditionalFormatting sqref="E375">
    <cfRule type="expression" dxfId="295" priority="1959">
      <formula>C373="Default"</formula>
    </cfRule>
    <cfRule type="expression" dxfId="294" priority="1958">
      <formula>C373="Actual"</formula>
    </cfRule>
  </conditionalFormatting>
  <conditionalFormatting sqref="E419">
    <cfRule type="expression" dxfId="293" priority="1948">
      <formula>C419="Default"</formula>
    </cfRule>
    <cfRule type="expression" dxfId="292" priority="1947">
      <formula>C419="Actual"</formula>
    </cfRule>
  </conditionalFormatting>
  <conditionalFormatting sqref="E425">
    <cfRule type="expression" dxfId="291" priority="1942">
      <formula>C423="Default"</formula>
    </cfRule>
    <cfRule type="expression" dxfId="290" priority="1941">
      <formula>C423="Actual"</formula>
    </cfRule>
  </conditionalFormatting>
  <conditionalFormatting sqref="E469">
    <cfRule type="expression" dxfId="289" priority="1930">
      <formula>C469="Actual"</formula>
    </cfRule>
    <cfRule type="expression" dxfId="288" priority="1931">
      <formula>C469="Default"</formula>
    </cfRule>
  </conditionalFormatting>
  <conditionalFormatting sqref="E475">
    <cfRule type="expression" dxfId="287" priority="1924">
      <formula>C473="Actual"</formula>
    </cfRule>
    <cfRule type="expression" dxfId="286" priority="1925">
      <formula>C473="Default"</formula>
    </cfRule>
  </conditionalFormatting>
  <conditionalFormatting sqref="E519">
    <cfRule type="expression" dxfId="285" priority="1864">
      <formula>C519="Actual"</formula>
    </cfRule>
    <cfRule type="expression" dxfId="284" priority="1865">
      <formula>C519="Default"</formula>
    </cfRule>
  </conditionalFormatting>
  <conditionalFormatting sqref="E525">
    <cfRule type="expression" dxfId="283" priority="1859">
      <formula>C523="Default"</formula>
    </cfRule>
    <cfRule type="expression" dxfId="282" priority="1858">
      <formula>C523="Actual"</formula>
    </cfRule>
  </conditionalFormatting>
  <conditionalFormatting sqref="E569">
    <cfRule type="expression" dxfId="281" priority="1840">
      <formula>C569="Actual"</formula>
    </cfRule>
    <cfRule type="expression" dxfId="280" priority="1841">
      <formula>C569="Default"</formula>
    </cfRule>
  </conditionalFormatting>
  <conditionalFormatting sqref="E575">
    <cfRule type="expression" dxfId="279" priority="1834">
      <formula>C573="Actual"</formula>
    </cfRule>
    <cfRule type="expression" dxfId="278" priority="1835">
      <formula>C573="Default"</formula>
    </cfRule>
  </conditionalFormatting>
  <conditionalFormatting sqref="E619">
    <cfRule type="expression" dxfId="277" priority="1824">
      <formula>C619="Default"</formula>
    </cfRule>
    <cfRule type="expression" dxfId="276" priority="1823">
      <formula>C619="Actual"</formula>
    </cfRule>
  </conditionalFormatting>
  <conditionalFormatting sqref="E625">
    <cfRule type="expression" dxfId="275" priority="1818">
      <formula>C623="Default"</formula>
    </cfRule>
    <cfRule type="expression" dxfId="274" priority="1817">
      <formula>C623="Actual"</formula>
    </cfRule>
  </conditionalFormatting>
  <conditionalFormatting sqref="E669">
    <cfRule type="expression" dxfId="273" priority="1806">
      <formula>C669="Actual"</formula>
    </cfRule>
    <cfRule type="expression" dxfId="272" priority="1807">
      <formula>C669="Default"</formula>
    </cfRule>
  </conditionalFormatting>
  <conditionalFormatting sqref="E675">
    <cfRule type="expression" dxfId="271" priority="1800">
      <formula>C673="Actual"</formula>
    </cfRule>
    <cfRule type="expression" dxfId="270" priority="1801">
      <formula>C673="Default"</formula>
    </cfRule>
  </conditionalFormatting>
  <conditionalFormatting sqref="E719">
    <cfRule type="expression" dxfId="269" priority="1790">
      <formula>C719="Default"</formula>
    </cfRule>
    <cfRule type="expression" dxfId="268" priority="1789">
      <formula>C719="Actual"</formula>
    </cfRule>
  </conditionalFormatting>
  <conditionalFormatting sqref="E725">
    <cfRule type="expression" dxfId="267" priority="1783">
      <formula>C723="Actual"</formula>
    </cfRule>
    <cfRule type="expression" dxfId="266" priority="1784">
      <formula>C723="Default"</formula>
    </cfRule>
  </conditionalFormatting>
  <conditionalFormatting sqref="E769">
    <cfRule type="expression" dxfId="265" priority="1773">
      <formula>C769="Default"</formula>
    </cfRule>
    <cfRule type="expression" dxfId="264" priority="1772">
      <formula>C769="Actual"</formula>
    </cfRule>
  </conditionalFormatting>
  <conditionalFormatting sqref="E775">
    <cfRule type="expression" dxfId="263" priority="1766">
      <formula>C773="Actual"</formula>
    </cfRule>
    <cfRule type="expression" dxfId="262" priority="1767">
      <formula>C773="Default"</formula>
    </cfRule>
  </conditionalFormatting>
  <conditionalFormatting sqref="E819">
    <cfRule type="expression" dxfId="261" priority="1755">
      <formula>C819="Actual"</formula>
    </cfRule>
    <cfRule type="expression" dxfId="260" priority="1756">
      <formula>C819="Default"</formula>
    </cfRule>
  </conditionalFormatting>
  <conditionalFormatting sqref="E825">
    <cfRule type="expression" dxfId="259" priority="1749">
      <formula>C823="Actual"</formula>
    </cfRule>
    <cfRule type="expression" dxfId="258" priority="1750">
      <formula>C823="Default"</formula>
    </cfRule>
  </conditionalFormatting>
  <conditionalFormatting sqref="E869">
    <cfRule type="expression" dxfId="257" priority="1739">
      <formula>C869="Default"</formula>
    </cfRule>
    <cfRule type="expression" dxfId="256" priority="1738">
      <formula>C869="Actual"</formula>
    </cfRule>
  </conditionalFormatting>
  <conditionalFormatting sqref="E875">
    <cfRule type="expression" dxfId="255" priority="1733">
      <formula>C873="Default"</formula>
    </cfRule>
    <cfRule type="expression" dxfId="254" priority="1732">
      <formula>C873="Actual"</formula>
    </cfRule>
  </conditionalFormatting>
  <conditionalFormatting sqref="E919">
    <cfRule type="expression" dxfId="253" priority="1722">
      <formula>C919="Default"</formula>
    </cfRule>
    <cfRule type="expression" dxfId="252" priority="1721">
      <formula>C919="Actual"</formula>
    </cfRule>
  </conditionalFormatting>
  <conditionalFormatting sqref="E925">
    <cfRule type="expression" dxfId="251" priority="1716">
      <formula>C923="Default"</formula>
    </cfRule>
    <cfRule type="expression" dxfId="250" priority="1715">
      <formula>C923="Actual"</formula>
    </cfRule>
  </conditionalFormatting>
  <conditionalFormatting sqref="E969">
    <cfRule type="expression" dxfId="249" priority="1704">
      <formula>C969="Actual"</formula>
    </cfRule>
    <cfRule type="expression" dxfId="248" priority="1705">
      <formula>C969="Default"</formula>
    </cfRule>
  </conditionalFormatting>
  <conditionalFormatting sqref="E975">
    <cfRule type="expression" dxfId="247" priority="1698">
      <formula>C973="Actual"</formula>
    </cfRule>
    <cfRule type="expression" dxfId="246" priority="1699">
      <formula>C973="Default"</formula>
    </cfRule>
  </conditionalFormatting>
  <conditionalFormatting sqref="E1019">
    <cfRule type="expression" dxfId="245" priority="1615">
      <formula>C1019="Default"</formula>
    </cfRule>
    <cfRule type="expression" dxfId="244" priority="1614">
      <formula>C1019="Actual"</formula>
    </cfRule>
  </conditionalFormatting>
  <conditionalFormatting sqref="E1025">
    <cfRule type="expression" dxfId="243" priority="1609">
      <formula>C1023="Default"</formula>
    </cfRule>
    <cfRule type="expression" dxfId="242" priority="1608">
      <formula>C1023="Actual"</formula>
    </cfRule>
  </conditionalFormatting>
  <conditionalFormatting sqref="E1069">
    <cfRule type="expression" dxfId="241" priority="1576">
      <formula>C1069="Actual"</formula>
    </cfRule>
    <cfRule type="expression" dxfId="240" priority="1577">
      <formula>C1069="Default"</formula>
    </cfRule>
  </conditionalFormatting>
  <conditionalFormatting sqref="E1075">
    <cfRule type="expression" dxfId="239" priority="1571">
      <formula>C1073="Default"</formula>
    </cfRule>
    <cfRule type="expression" dxfId="238" priority="1570">
      <formula>C1073="Actual"</formula>
    </cfRule>
  </conditionalFormatting>
  <conditionalFormatting sqref="E1119">
    <cfRule type="expression" dxfId="237" priority="1537">
      <formula>C1119="Default"</formula>
    </cfRule>
    <cfRule type="expression" dxfId="236" priority="1536">
      <formula>C1119="Actual"</formula>
    </cfRule>
  </conditionalFormatting>
  <conditionalFormatting sqref="E1125">
    <cfRule type="expression" dxfId="235" priority="1531">
      <formula>C1123="Default"</formula>
    </cfRule>
    <cfRule type="expression" dxfId="234" priority="1530">
      <formula>C1123="Actual"</formula>
    </cfRule>
  </conditionalFormatting>
  <conditionalFormatting sqref="E1169">
    <cfRule type="expression" dxfId="233" priority="1497">
      <formula>C1169="Default"</formula>
    </cfRule>
    <cfRule type="expression" dxfId="232" priority="1496">
      <formula>C1169="Actual"</formula>
    </cfRule>
  </conditionalFormatting>
  <conditionalFormatting sqref="E1175">
    <cfRule type="expression" dxfId="231" priority="1490">
      <formula>C1173="Actual"</formula>
    </cfRule>
    <cfRule type="expression" dxfId="230" priority="1491">
      <formula>C1173="Default"</formula>
    </cfRule>
  </conditionalFormatting>
  <conditionalFormatting sqref="E1219">
    <cfRule type="expression" dxfId="229" priority="1457">
      <formula>C1219="Default"</formula>
    </cfRule>
    <cfRule type="expression" dxfId="228" priority="1456">
      <formula>C1219="Actual"</formula>
    </cfRule>
  </conditionalFormatting>
  <conditionalFormatting sqref="E1225">
    <cfRule type="expression" dxfId="227" priority="1450">
      <formula>C1223="Actual"</formula>
    </cfRule>
    <cfRule type="expression" dxfId="226" priority="1451">
      <formula>C1223="Default"</formula>
    </cfRule>
  </conditionalFormatting>
  <conditionalFormatting sqref="E1269">
    <cfRule type="expression" dxfId="225" priority="1415">
      <formula>C1269="Default"</formula>
    </cfRule>
    <cfRule type="expression" dxfId="224" priority="1414">
      <formula>C1269="Actual"</formula>
    </cfRule>
  </conditionalFormatting>
  <conditionalFormatting sqref="E1275">
    <cfRule type="expression" dxfId="223" priority="1408">
      <formula>C1273="Actual"</formula>
    </cfRule>
    <cfRule type="expression" dxfId="222" priority="1409">
      <formula>C1273="Default"</formula>
    </cfRule>
  </conditionalFormatting>
  <conditionalFormatting sqref="E1319">
    <cfRule type="expression" dxfId="221" priority="1374">
      <formula>C1319="Actual"</formula>
    </cfRule>
    <cfRule type="expression" dxfId="220" priority="1375">
      <formula>C1319="Default"</formula>
    </cfRule>
  </conditionalFormatting>
  <conditionalFormatting sqref="E1325">
    <cfRule type="expression" dxfId="219" priority="1369">
      <formula>C1323="Default"</formula>
    </cfRule>
    <cfRule type="expression" dxfId="218" priority="1368">
      <formula>C1323="Actual"</formula>
    </cfRule>
  </conditionalFormatting>
  <conditionalFormatting sqref="E1369">
    <cfRule type="expression" dxfId="217" priority="1335">
      <formula>C1369="Default"</formula>
    </cfRule>
    <cfRule type="expression" dxfId="216" priority="1334">
      <formula>C1369="Actual"</formula>
    </cfRule>
  </conditionalFormatting>
  <conditionalFormatting sqref="E1375">
    <cfRule type="expression" dxfId="215" priority="1328">
      <formula>C1373="Actual"</formula>
    </cfRule>
    <cfRule type="expression" dxfId="214" priority="1329">
      <formula>C1373="Default"</formula>
    </cfRule>
  </conditionalFormatting>
  <conditionalFormatting sqref="E1419">
    <cfRule type="expression" dxfId="213" priority="1295">
      <formula>C1419="Default"</formula>
    </cfRule>
    <cfRule type="expression" dxfId="212" priority="1294">
      <formula>C1419="Actual"</formula>
    </cfRule>
  </conditionalFormatting>
  <conditionalFormatting sqref="E1425">
    <cfRule type="expression" dxfId="211" priority="1289">
      <formula>C1423="Default"</formula>
    </cfRule>
    <cfRule type="expression" dxfId="210" priority="1288">
      <formula>C1423="Actual"</formula>
    </cfRule>
  </conditionalFormatting>
  <conditionalFormatting sqref="E1469">
    <cfRule type="expression" dxfId="209" priority="1255">
      <formula>C1469="Default"</formula>
    </cfRule>
    <cfRule type="expression" dxfId="208" priority="1254">
      <formula>C1469="Actual"</formula>
    </cfRule>
  </conditionalFormatting>
  <conditionalFormatting sqref="E1475">
    <cfRule type="expression" dxfId="207" priority="1248">
      <formula>C1473="Actual"</formula>
    </cfRule>
    <cfRule type="expression" dxfId="206" priority="1249">
      <formula>C1473="Default"</formula>
    </cfRule>
  </conditionalFormatting>
  <conditionalFormatting sqref="E1519">
    <cfRule type="expression" dxfId="205" priority="1214">
      <formula>C1519="Actual"</formula>
    </cfRule>
    <cfRule type="expression" dxfId="204" priority="1215">
      <formula>C1519="Default"</formula>
    </cfRule>
  </conditionalFormatting>
  <conditionalFormatting sqref="E1525">
    <cfRule type="expression" dxfId="203" priority="1208">
      <formula>C1523="Actual"</formula>
    </cfRule>
    <cfRule type="expression" dxfId="202" priority="1209">
      <formula>C1523="Default"</formula>
    </cfRule>
  </conditionalFormatting>
  <conditionalFormatting sqref="E1569">
    <cfRule type="expression" dxfId="201" priority="1174">
      <formula>C1569="Actual"</formula>
    </cfRule>
    <cfRule type="expression" dxfId="200" priority="1175">
      <formula>C1569="Default"</formula>
    </cfRule>
  </conditionalFormatting>
  <conditionalFormatting sqref="E1575">
    <cfRule type="expression" dxfId="199" priority="1168">
      <formula>C1573="Actual"</formula>
    </cfRule>
    <cfRule type="expression" dxfId="198" priority="1169">
      <formula>C1573="Default"</formula>
    </cfRule>
  </conditionalFormatting>
  <conditionalFormatting sqref="E1619">
    <cfRule type="expression" dxfId="197" priority="1135">
      <formula>C1619="Default"</formula>
    </cfRule>
    <cfRule type="expression" dxfId="196" priority="1134">
      <formula>C1619="Actual"</formula>
    </cfRule>
  </conditionalFormatting>
  <conditionalFormatting sqref="E1625">
    <cfRule type="expression" dxfId="195" priority="1129">
      <formula>C1623="Default"</formula>
    </cfRule>
    <cfRule type="expression" dxfId="194" priority="1128">
      <formula>C1623="Actual"</formula>
    </cfRule>
  </conditionalFormatting>
  <conditionalFormatting sqref="E1669">
    <cfRule type="expression" dxfId="193" priority="1095">
      <formula>C1669="Default"</formula>
    </cfRule>
    <cfRule type="expression" dxfId="192" priority="1094">
      <formula>C1669="Actual"</formula>
    </cfRule>
  </conditionalFormatting>
  <conditionalFormatting sqref="E1675">
    <cfRule type="expression" dxfId="191" priority="1089">
      <formula>C1673="Default"</formula>
    </cfRule>
    <cfRule type="expression" dxfId="190" priority="1088">
      <formula>C1673="Actual"</formula>
    </cfRule>
  </conditionalFormatting>
  <conditionalFormatting sqref="E1719">
    <cfRule type="expression" dxfId="189" priority="1054">
      <formula>C1719="Actual"</formula>
    </cfRule>
    <cfRule type="expression" dxfId="188" priority="1055">
      <formula>C1719="Default"</formula>
    </cfRule>
  </conditionalFormatting>
  <conditionalFormatting sqref="E1725">
    <cfRule type="expression" dxfId="187" priority="1048">
      <formula>C1723="Actual"</formula>
    </cfRule>
    <cfRule type="expression" dxfId="186" priority="1049">
      <formula>C1723="Default"</formula>
    </cfRule>
  </conditionalFormatting>
  <conditionalFormatting sqref="E1769">
    <cfRule type="expression" dxfId="185" priority="1014">
      <formula>C1769="Actual"</formula>
    </cfRule>
    <cfRule type="expression" dxfId="184" priority="1015">
      <formula>C1769="Default"</formula>
    </cfRule>
  </conditionalFormatting>
  <conditionalFormatting sqref="E1775">
    <cfRule type="expression" dxfId="183" priority="1008">
      <formula>C1773="Actual"</formula>
    </cfRule>
    <cfRule type="expression" dxfId="182" priority="1009">
      <formula>C1773="Default"</formula>
    </cfRule>
  </conditionalFormatting>
  <conditionalFormatting sqref="E1819">
    <cfRule type="expression" dxfId="181" priority="975">
      <formula>C1819="Default"</formula>
    </cfRule>
    <cfRule type="expression" dxfId="180" priority="974">
      <formula>C1819="Actual"</formula>
    </cfRule>
  </conditionalFormatting>
  <conditionalFormatting sqref="E1825">
    <cfRule type="expression" dxfId="179" priority="968">
      <formula>C1823="Actual"</formula>
    </cfRule>
    <cfRule type="expression" dxfId="178" priority="969">
      <formula>C1823="Default"</formula>
    </cfRule>
  </conditionalFormatting>
  <conditionalFormatting sqref="E1869">
    <cfRule type="expression" dxfId="177" priority="934">
      <formula>C1869="Actual"</formula>
    </cfRule>
    <cfRule type="expression" dxfId="176" priority="935">
      <formula>C1869="Default"</formula>
    </cfRule>
  </conditionalFormatting>
  <conditionalFormatting sqref="E1875">
    <cfRule type="expression" dxfId="175" priority="929">
      <formula>C1873="Default"</formula>
    </cfRule>
    <cfRule type="expression" dxfId="174" priority="928">
      <formula>C1873="Actual"</formula>
    </cfRule>
  </conditionalFormatting>
  <conditionalFormatting sqref="E1919">
    <cfRule type="expression" dxfId="173" priority="895">
      <formula>C1919="Default"</formula>
    </cfRule>
    <cfRule type="expression" dxfId="172" priority="894">
      <formula>C1919="Actual"</formula>
    </cfRule>
  </conditionalFormatting>
  <conditionalFormatting sqref="E1925">
    <cfRule type="expression" dxfId="171" priority="888">
      <formula>C1923="Actual"</formula>
    </cfRule>
    <cfRule type="expression" dxfId="170" priority="889">
      <formula>C1923="Default"</formula>
    </cfRule>
  </conditionalFormatting>
  <conditionalFormatting sqref="E1969">
    <cfRule type="expression" dxfId="169" priority="855">
      <formula>C1969="Default"</formula>
    </cfRule>
    <cfRule type="expression" dxfId="168" priority="854">
      <formula>C1969="Actual"</formula>
    </cfRule>
  </conditionalFormatting>
  <conditionalFormatting sqref="E1975">
    <cfRule type="expression" dxfId="167" priority="849">
      <formula>C1973="Default"</formula>
    </cfRule>
    <cfRule type="expression" dxfId="166" priority="848">
      <formula>C1973="Actual"</formula>
    </cfRule>
  </conditionalFormatting>
  <conditionalFormatting sqref="E2019">
    <cfRule type="expression" dxfId="165" priority="815">
      <formula>C2019="Default"</formula>
    </cfRule>
    <cfRule type="expression" dxfId="164" priority="814">
      <formula>C2019="Actual"</formula>
    </cfRule>
  </conditionalFormatting>
  <conditionalFormatting sqref="E2025">
    <cfRule type="expression" dxfId="163" priority="809">
      <formula>C2023="Default"</formula>
    </cfRule>
    <cfRule type="expression" dxfId="162" priority="808">
      <formula>C2023="Actual"</formula>
    </cfRule>
  </conditionalFormatting>
  <conditionalFormatting sqref="E2069">
    <cfRule type="expression" dxfId="161" priority="775">
      <formula>C2069="Default"</formula>
    </cfRule>
    <cfRule type="expression" dxfId="160" priority="774">
      <formula>C2069="Actual"</formula>
    </cfRule>
  </conditionalFormatting>
  <conditionalFormatting sqref="E2075">
    <cfRule type="expression" dxfId="159" priority="769">
      <formula>C2073="Default"</formula>
    </cfRule>
    <cfRule type="expression" dxfId="158" priority="768">
      <formula>C2073="Actual"</formula>
    </cfRule>
  </conditionalFormatting>
  <conditionalFormatting sqref="E2119">
    <cfRule type="expression" dxfId="157" priority="734">
      <formula>C2119="Actual"</formula>
    </cfRule>
    <cfRule type="expression" dxfId="156" priority="735">
      <formula>C2119="Default"</formula>
    </cfRule>
  </conditionalFormatting>
  <conditionalFormatting sqref="E2125">
    <cfRule type="expression" dxfId="155" priority="728">
      <formula>C2123="Actual"</formula>
    </cfRule>
    <cfRule type="expression" dxfId="154" priority="729">
      <formula>C2123="Default"</formula>
    </cfRule>
  </conditionalFormatting>
  <conditionalFormatting sqref="E2169">
    <cfRule type="expression" dxfId="153" priority="694">
      <formula>C2169="Actual"</formula>
    </cfRule>
    <cfRule type="expression" dxfId="152" priority="695">
      <formula>C2169="Default"</formula>
    </cfRule>
  </conditionalFormatting>
  <conditionalFormatting sqref="E2175">
    <cfRule type="expression" dxfId="151" priority="688">
      <formula>C2173="Actual"</formula>
    </cfRule>
    <cfRule type="expression" dxfId="150" priority="689">
      <formula>C2173="Default"</formula>
    </cfRule>
  </conditionalFormatting>
  <conditionalFormatting sqref="E2219">
    <cfRule type="expression" dxfId="149" priority="654">
      <formula>C2219="Actual"</formula>
    </cfRule>
    <cfRule type="expression" dxfId="148" priority="655">
      <formula>C2219="Default"</formula>
    </cfRule>
  </conditionalFormatting>
  <conditionalFormatting sqref="E2225">
    <cfRule type="expression" dxfId="147" priority="648">
      <formula>C2223="Actual"</formula>
    </cfRule>
    <cfRule type="expression" dxfId="146" priority="649">
      <formula>C2223="Default"</formula>
    </cfRule>
  </conditionalFormatting>
  <conditionalFormatting sqref="E2269">
    <cfRule type="expression" dxfId="145" priority="615">
      <formula>C2269="Default"</formula>
    </cfRule>
    <cfRule type="expression" dxfId="144" priority="614">
      <formula>C2269="Actual"</formula>
    </cfRule>
  </conditionalFormatting>
  <conditionalFormatting sqref="E2275">
    <cfRule type="expression" dxfId="143" priority="608">
      <formula>C2273="Actual"</formula>
    </cfRule>
    <cfRule type="expression" dxfId="142" priority="609">
      <formula>C2273="Default"</formula>
    </cfRule>
  </conditionalFormatting>
  <conditionalFormatting sqref="E2319">
    <cfRule type="expression" dxfId="141" priority="575">
      <formula>C2319="Default"</formula>
    </cfRule>
    <cfRule type="expression" dxfId="140" priority="574">
      <formula>C2319="Actual"</formula>
    </cfRule>
  </conditionalFormatting>
  <conditionalFormatting sqref="E2325">
    <cfRule type="expression" dxfId="139" priority="569">
      <formula>C2323="Default"</formula>
    </cfRule>
    <cfRule type="expression" dxfId="138" priority="568">
      <formula>C2323="Actual"</formula>
    </cfRule>
  </conditionalFormatting>
  <conditionalFormatting sqref="E2369">
    <cfRule type="expression" dxfId="137" priority="534">
      <formula>C2369="Actual"</formula>
    </cfRule>
    <cfRule type="expression" dxfId="136" priority="535">
      <formula>C2369="Default"</formula>
    </cfRule>
  </conditionalFormatting>
  <conditionalFormatting sqref="E2375">
    <cfRule type="expression" dxfId="135" priority="528">
      <formula>C2373="Actual"</formula>
    </cfRule>
    <cfRule type="expression" dxfId="134" priority="529">
      <formula>C2373="Default"</formula>
    </cfRule>
  </conditionalFormatting>
  <conditionalFormatting sqref="E2419">
    <cfRule type="expression" dxfId="133" priority="495">
      <formula>C2419="Default"</formula>
    </cfRule>
    <cfRule type="expression" dxfId="132" priority="494">
      <formula>C2419="Actual"</formula>
    </cfRule>
  </conditionalFormatting>
  <conditionalFormatting sqref="E2425">
    <cfRule type="expression" dxfId="131" priority="488">
      <formula>C2423="Actual"</formula>
    </cfRule>
    <cfRule type="expression" dxfId="130" priority="489">
      <formula>C2423="Default"</formula>
    </cfRule>
  </conditionalFormatting>
  <conditionalFormatting sqref="E2469">
    <cfRule type="expression" dxfId="129" priority="454">
      <formula>C2469="Actual"</formula>
    </cfRule>
    <cfRule type="expression" dxfId="128" priority="455">
      <formula>C2469="Default"</formula>
    </cfRule>
  </conditionalFormatting>
  <conditionalFormatting sqref="E2475">
    <cfRule type="expression" dxfId="127" priority="448">
      <formula>C2473="Actual"</formula>
    </cfRule>
    <cfRule type="expression" dxfId="126" priority="449">
      <formula>C2473="Default"</formula>
    </cfRule>
  </conditionalFormatting>
  <conditionalFormatting sqref="E2519">
    <cfRule type="expression" dxfId="125" priority="415">
      <formula>C2519="Default"</formula>
    </cfRule>
    <cfRule type="expression" dxfId="124" priority="414">
      <formula>C2519="Actual"</formula>
    </cfRule>
  </conditionalFormatting>
  <conditionalFormatting sqref="E2525">
    <cfRule type="expression" dxfId="123" priority="408">
      <formula>C2523="Actual"</formula>
    </cfRule>
    <cfRule type="expression" dxfId="122" priority="409">
      <formula>C2523="Default"</formula>
    </cfRule>
  </conditionalFormatting>
  <conditionalFormatting sqref="E2569">
    <cfRule type="expression" dxfId="121" priority="375">
      <formula>C2569="Default"</formula>
    </cfRule>
    <cfRule type="expression" dxfId="120" priority="374">
      <formula>C2569="Actual"</formula>
    </cfRule>
  </conditionalFormatting>
  <conditionalFormatting sqref="E2575">
    <cfRule type="expression" dxfId="119" priority="368">
      <formula>C2573="Actual"</formula>
    </cfRule>
    <cfRule type="expression" dxfId="118" priority="369">
      <formula>C2573="Default"</formula>
    </cfRule>
  </conditionalFormatting>
  <conditionalFormatting sqref="E2619">
    <cfRule type="expression" dxfId="117" priority="334">
      <formula>C2619="Actual"</formula>
    </cfRule>
    <cfRule type="expression" dxfId="116" priority="335">
      <formula>C2619="Default"</formula>
    </cfRule>
  </conditionalFormatting>
  <conditionalFormatting sqref="E2625">
    <cfRule type="expression" dxfId="115" priority="329">
      <formula>C2623="Default"</formula>
    </cfRule>
    <cfRule type="expression" dxfId="114" priority="328">
      <formula>C2623="Actual"</formula>
    </cfRule>
  </conditionalFormatting>
  <conditionalFormatting sqref="E2669">
    <cfRule type="expression" dxfId="113" priority="296">
      <formula>C2669="Actual"</formula>
    </cfRule>
    <cfRule type="expression" dxfId="112" priority="297">
      <formula>C2669="Default"</formula>
    </cfRule>
  </conditionalFormatting>
  <conditionalFormatting sqref="E2675">
    <cfRule type="expression" dxfId="111" priority="290">
      <formula>C2673="Actual"</formula>
    </cfRule>
    <cfRule type="expression" dxfId="110" priority="291">
      <formula>C2673="Default"</formula>
    </cfRule>
  </conditionalFormatting>
  <conditionalFormatting sqref="E2719">
    <cfRule type="expression" dxfId="109" priority="258">
      <formula>C2719="Actual"</formula>
    </cfRule>
    <cfRule type="expression" dxfId="108" priority="259">
      <formula>C2719="Default"</formula>
    </cfRule>
  </conditionalFormatting>
  <conditionalFormatting sqref="E2725">
    <cfRule type="expression" dxfId="107" priority="253">
      <formula>C2723="Default"</formula>
    </cfRule>
    <cfRule type="expression" dxfId="106" priority="252">
      <formula>C2723="Actual"</formula>
    </cfRule>
  </conditionalFormatting>
  <conditionalFormatting sqref="H21:K25">
    <cfRule type="cellIs" dxfId="105" priority="3" operator="equal">
      <formula>"Insert unit"</formula>
    </cfRule>
  </conditionalFormatting>
  <conditionalFormatting sqref="H71:K74 A73:G74 L73:XFD74 A75:XFD110 H121:K124 A123:G124 L123:XFD124 A125:XFD160 H221:K225 A223:G225 L223:XFD225 A226:XFD260 A522:B522 D522:XFD522">
    <cfRule type="cellIs" dxfId="104" priority="1851" operator="equal">
      <formula>"Insert unit"</formula>
    </cfRule>
  </conditionalFormatting>
  <conditionalFormatting sqref="H517:L524 B522 F522:G522 B512:L512 E513:L513 B513:B515 D514:L515 B516:L516 B517:G517 B518 G518 B519:G521 B523:G524 B525 E525:L525 B526:L527 B528 E528:L528 B529:L531 B532 E532:L532 B533:L534 B509:L509 D510:L510 B510:B511 C511:I511 K511:L511">
    <cfRule type="expression" dxfId="103" priority="1853">
      <formula>$D$513="No transport required"</formula>
    </cfRule>
  </conditionalFormatting>
  <conditionalFormatting sqref="J561">
    <cfRule type="cellIs" dxfId="102" priority="1691" operator="equal">
      <formula>"Insert unit"</formula>
    </cfRule>
    <cfRule type="cellIs" dxfId="101" priority="1692" operator="equal">
      <formula>"Insert data"</formula>
    </cfRule>
  </conditionalFormatting>
  <conditionalFormatting sqref="J611">
    <cfRule type="cellIs" dxfId="100" priority="1688" operator="equal">
      <formula>"Insert unit"</formula>
    </cfRule>
    <cfRule type="cellIs" dxfId="99" priority="1689" operator="equal">
      <formula>"Insert data"</formula>
    </cfRule>
  </conditionalFormatting>
  <conditionalFormatting sqref="J661">
    <cfRule type="cellIs" dxfId="98" priority="1685" operator="equal">
      <formula>"Insert unit"</formula>
    </cfRule>
    <cfRule type="cellIs" dxfId="97" priority="1686" operator="equal">
      <formula>"Insert data"</formula>
    </cfRule>
  </conditionalFormatting>
  <conditionalFormatting sqref="J711">
    <cfRule type="cellIs" dxfId="96" priority="1682" operator="equal">
      <formula>"Insert unit"</formula>
    </cfRule>
    <cfRule type="cellIs" dxfId="95" priority="1683" operator="equal">
      <formula>"Insert data"</formula>
    </cfRule>
  </conditionalFormatting>
  <conditionalFormatting sqref="J761">
    <cfRule type="cellIs" dxfId="94" priority="1679" operator="equal">
      <formula>"Insert unit"</formula>
    </cfRule>
    <cfRule type="cellIs" dxfId="93" priority="1680" operator="equal">
      <formula>"Insert data"</formula>
    </cfRule>
  </conditionalFormatting>
  <conditionalFormatting sqref="J811">
    <cfRule type="cellIs" dxfId="92" priority="1676" operator="equal">
      <formula>"Insert unit"</formula>
    </cfRule>
    <cfRule type="cellIs" dxfId="91" priority="1677" operator="equal">
      <formula>"Insert data"</formula>
    </cfRule>
  </conditionalFormatting>
  <conditionalFormatting sqref="J861">
    <cfRule type="cellIs" dxfId="90" priority="1673" operator="equal">
      <formula>"Insert unit"</formula>
    </cfRule>
    <cfRule type="cellIs" dxfId="89" priority="1674" operator="equal">
      <formula>"Insert data"</formula>
    </cfRule>
  </conditionalFormatting>
  <conditionalFormatting sqref="J911">
    <cfRule type="cellIs" dxfId="88" priority="1671" operator="equal">
      <formula>"Insert data"</formula>
    </cfRule>
    <cfRule type="cellIs" dxfId="87" priority="1670" operator="equal">
      <formula>"Insert unit"</formula>
    </cfRule>
  </conditionalFormatting>
  <conditionalFormatting sqref="J961">
    <cfRule type="cellIs" dxfId="86" priority="1668" operator="equal">
      <formula>"Insert data"</formula>
    </cfRule>
    <cfRule type="cellIs" dxfId="85" priority="1667" operator="equal">
      <formula>"Insert unit"</formula>
    </cfRule>
  </conditionalFormatting>
  <conditionalFormatting sqref="J1011">
    <cfRule type="cellIs" dxfId="84" priority="1602" operator="equal">
      <formula>"Insert data"</formula>
    </cfRule>
    <cfRule type="cellIs" dxfId="83" priority="1601" operator="equal">
      <formula>"Insert unit"</formula>
    </cfRule>
  </conditionalFormatting>
  <conditionalFormatting sqref="J1061">
    <cfRule type="cellIs" dxfId="82" priority="1563" operator="equal">
      <formula>"Insert unit"</formula>
    </cfRule>
    <cfRule type="cellIs" dxfId="81" priority="1564" operator="equal">
      <formula>"Insert data"</formula>
    </cfRule>
  </conditionalFormatting>
  <conditionalFormatting sqref="J1111">
    <cfRule type="cellIs" dxfId="80" priority="1523" operator="equal">
      <formula>"Insert unit"</formula>
    </cfRule>
    <cfRule type="cellIs" dxfId="79" priority="1524" operator="equal">
      <formula>"Insert data"</formula>
    </cfRule>
  </conditionalFormatting>
  <conditionalFormatting sqref="J1161">
    <cfRule type="cellIs" dxfId="78" priority="1483" operator="equal">
      <formula>"Insert unit"</formula>
    </cfRule>
    <cfRule type="cellIs" dxfId="77" priority="1484" operator="equal">
      <formula>"Insert data"</formula>
    </cfRule>
  </conditionalFormatting>
  <conditionalFormatting sqref="J1211">
    <cfRule type="cellIs" dxfId="76" priority="1443" operator="equal">
      <formula>"Insert unit"</formula>
    </cfRule>
    <cfRule type="cellIs" dxfId="75" priority="1444" operator="equal">
      <formula>"Insert data"</formula>
    </cfRule>
  </conditionalFormatting>
  <conditionalFormatting sqref="J1261">
    <cfRule type="cellIs" dxfId="74" priority="1401" operator="equal">
      <formula>"Insert unit"</formula>
    </cfRule>
    <cfRule type="cellIs" dxfId="73" priority="1402" operator="equal">
      <formula>"Insert data"</formula>
    </cfRule>
  </conditionalFormatting>
  <conditionalFormatting sqref="J1311">
    <cfRule type="cellIs" dxfId="72" priority="1362" operator="equal">
      <formula>"Insert data"</formula>
    </cfRule>
    <cfRule type="cellIs" dxfId="71" priority="1361" operator="equal">
      <formula>"Insert unit"</formula>
    </cfRule>
  </conditionalFormatting>
  <conditionalFormatting sqref="J1361">
    <cfRule type="cellIs" dxfId="70" priority="1321" operator="equal">
      <formula>"Insert unit"</formula>
    </cfRule>
    <cfRule type="cellIs" dxfId="69" priority="1322" operator="equal">
      <formula>"Insert data"</formula>
    </cfRule>
  </conditionalFormatting>
  <conditionalFormatting sqref="J1411">
    <cfRule type="cellIs" dxfId="68" priority="1282" operator="equal">
      <formula>"Insert data"</formula>
    </cfRule>
    <cfRule type="cellIs" dxfId="67" priority="1281" operator="equal">
      <formula>"Insert unit"</formula>
    </cfRule>
  </conditionalFormatting>
  <conditionalFormatting sqref="J1461">
    <cfRule type="cellIs" dxfId="66" priority="1242" operator="equal">
      <formula>"Insert data"</formula>
    </cfRule>
    <cfRule type="cellIs" dxfId="65" priority="1241" operator="equal">
      <formula>"Insert unit"</formula>
    </cfRule>
  </conditionalFormatting>
  <conditionalFormatting sqref="J1511">
    <cfRule type="cellIs" dxfId="64" priority="1202" operator="equal">
      <formula>"Insert data"</formula>
    </cfRule>
    <cfRule type="cellIs" dxfId="63" priority="1201" operator="equal">
      <formula>"Insert unit"</formula>
    </cfRule>
  </conditionalFormatting>
  <conditionalFormatting sqref="J1561">
    <cfRule type="cellIs" dxfId="62" priority="1162" operator="equal">
      <formula>"Insert data"</formula>
    </cfRule>
    <cfRule type="cellIs" dxfId="61" priority="1161" operator="equal">
      <formula>"Insert unit"</formula>
    </cfRule>
  </conditionalFormatting>
  <conditionalFormatting sqref="J1611">
    <cfRule type="cellIs" dxfId="60" priority="1121" operator="equal">
      <formula>"Insert unit"</formula>
    </cfRule>
    <cfRule type="cellIs" dxfId="59" priority="1122" operator="equal">
      <formula>"Insert data"</formula>
    </cfRule>
  </conditionalFormatting>
  <conditionalFormatting sqref="J1661">
    <cfRule type="cellIs" dxfId="58" priority="1082" operator="equal">
      <formula>"Insert data"</formula>
    </cfRule>
    <cfRule type="cellIs" dxfId="57" priority="1081" operator="equal">
      <formula>"Insert unit"</formula>
    </cfRule>
  </conditionalFormatting>
  <conditionalFormatting sqref="J1711">
    <cfRule type="cellIs" dxfId="56" priority="1042" operator="equal">
      <formula>"Insert data"</formula>
    </cfRule>
    <cfRule type="cellIs" dxfId="55" priority="1041" operator="equal">
      <formula>"Insert unit"</formula>
    </cfRule>
  </conditionalFormatting>
  <conditionalFormatting sqref="J1761">
    <cfRule type="cellIs" dxfId="54" priority="1001" operator="equal">
      <formula>"Insert unit"</formula>
    </cfRule>
    <cfRule type="cellIs" dxfId="53" priority="1002" operator="equal">
      <formula>"Insert data"</formula>
    </cfRule>
  </conditionalFormatting>
  <conditionalFormatting sqref="J1811">
    <cfRule type="cellIs" dxfId="52" priority="962" operator="equal">
      <formula>"Insert data"</formula>
    </cfRule>
    <cfRule type="cellIs" dxfId="51" priority="961" operator="equal">
      <formula>"Insert unit"</formula>
    </cfRule>
  </conditionalFormatting>
  <conditionalFormatting sqref="J1861">
    <cfRule type="cellIs" dxfId="50" priority="921" operator="equal">
      <formula>"Insert unit"</formula>
    </cfRule>
    <cfRule type="cellIs" dxfId="49" priority="922" operator="equal">
      <formula>"Insert data"</formula>
    </cfRule>
  </conditionalFormatting>
  <conditionalFormatting sqref="J1911">
    <cfRule type="cellIs" dxfId="48" priority="881" operator="equal">
      <formula>"Insert unit"</formula>
    </cfRule>
    <cfRule type="cellIs" dxfId="47" priority="882" operator="equal">
      <formula>"Insert data"</formula>
    </cfRule>
  </conditionalFormatting>
  <conditionalFormatting sqref="J1961">
    <cfRule type="cellIs" dxfId="46" priority="842" operator="equal">
      <formula>"Insert data"</formula>
    </cfRule>
    <cfRule type="cellIs" dxfId="45" priority="841" operator="equal">
      <formula>"Insert unit"</formula>
    </cfRule>
  </conditionalFormatting>
  <conditionalFormatting sqref="J2011">
    <cfRule type="cellIs" dxfId="44" priority="801" operator="equal">
      <formula>"Insert unit"</formula>
    </cfRule>
    <cfRule type="cellIs" dxfId="43" priority="802" operator="equal">
      <formula>"Insert data"</formula>
    </cfRule>
  </conditionalFormatting>
  <conditionalFormatting sqref="J2061">
    <cfRule type="cellIs" dxfId="42" priority="762" operator="equal">
      <formula>"Insert data"</formula>
    </cfRule>
    <cfRule type="cellIs" dxfId="41" priority="761" operator="equal">
      <formula>"Insert unit"</formula>
    </cfRule>
  </conditionalFormatting>
  <conditionalFormatting sqref="J2111">
    <cfRule type="cellIs" dxfId="40" priority="721" operator="equal">
      <formula>"Insert unit"</formula>
    </cfRule>
    <cfRule type="cellIs" dxfId="39" priority="722" operator="equal">
      <formula>"Insert data"</formula>
    </cfRule>
  </conditionalFormatting>
  <conditionalFormatting sqref="J2161">
    <cfRule type="cellIs" dxfId="38" priority="681" operator="equal">
      <formula>"Insert unit"</formula>
    </cfRule>
    <cfRule type="cellIs" dxfId="37" priority="682" operator="equal">
      <formula>"Insert data"</formula>
    </cfRule>
  </conditionalFormatting>
  <conditionalFormatting sqref="J2211">
    <cfRule type="cellIs" dxfId="36" priority="641" operator="equal">
      <formula>"Insert unit"</formula>
    </cfRule>
    <cfRule type="cellIs" dxfId="35" priority="642" operator="equal">
      <formula>"Insert data"</formula>
    </cfRule>
  </conditionalFormatting>
  <conditionalFormatting sqref="J2261">
    <cfRule type="cellIs" dxfId="34" priority="601" operator="equal">
      <formula>"Insert unit"</formula>
    </cfRule>
    <cfRule type="cellIs" dxfId="33" priority="602" operator="equal">
      <formula>"Insert data"</formula>
    </cfRule>
  </conditionalFormatting>
  <conditionalFormatting sqref="J2311">
    <cfRule type="cellIs" dxfId="32" priority="561" operator="equal">
      <formula>"Insert unit"</formula>
    </cfRule>
    <cfRule type="cellIs" dxfId="31" priority="562" operator="equal">
      <formula>"Insert data"</formula>
    </cfRule>
  </conditionalFormatting>
  <conditionalFormatting sqref="J2361">
    <cfRule type="cellIs" dxfId="30" priority="522" operator="equal">
      <formula>"Insert data"</formula>
    </cfRule>
    <cfRule type="cellIs" dxfId="29" priority="521" operator="equal">
      <formula>"Insert unit"</formula>
    </cfRule>
  </conditionalFormatting>
  <conditionalFormatting sqref="J2411">
    <cfRule type="cellIs" dxfId="28" priority="482" operator="equal">
      <formula>"Insert data"</formula>
    </cfRule>
    <cfRule type="cellIs" dxfId="27" priority="481" operator="equal">
      <formula>"Insert unit"</formula>
    </cfRule>
  </conditionalFormatting>
  <conditionalFormatting sqref="J2461">
    <cfRule type="cellIs" dxfId="26" priority="442" operator="equal">
      <formula>"Insert data"</formula>
    </cfRule>
    <cfRule type="cellIs" dxfId="25" priority="441" operator="equal">
      <formula>"Insert unit"</formula>
    </cfRule>
  </conditionalFormatting>
  <conditionalFormatting sqref="J2511">
    <cfRule type="expression" dxfId="24" priority="400">
      <formula>$D$463="No transport required"</formula>
    </cfRule>
    <cfRule type="cellIs" dxfId="23" priority="401" operator="equal">
      <formula>"Insert unit"</formula>
    </cfRule>
    <cfRule type="cellIs" dxfId="22" priority="402" operator="equal">
      <formula>"Insert data"</formula>
    </cfRule>
  </conditionalFormatting>
  <conditionalFormatting sqref="J2561">
    <cfRule type="cellIs" dxfId="21" priority="362" operator="equal">
      <formula>"Insert data"</formula>
    </cfRule>
    <cfRule type="cellIs" dxfId="20" priority="361" operator="equal">
      <formula>"Insert unit"</formula>
    </cfRule>
  </conditionalFormatting>
  <conditionalFormatting sqref="J2611">
    <cfRule type="cellIs" dxfId="19" priority="322" operator="equal">
      <formula>"Insert data"</formula>
    </cfRule>
    <cfRule type="cellIs" dxfId="18" priority="321" operator="equal">
      <formula>"Insert unit"</formula>
    </cfRule>
  </conditionalFormatting>
  <conditionalFormatting sqref="J61:XFD61">
    <cfRule type="cellIs" dxfId="17" priority="1912" operator="equal">
      <formula>"Insert data"</formula>
    </cfRule>
    <cfRule type="cellIs" dxfId="16" priority="1911" operator="equal">
      <formula>"Insert unit"</formula>
    </cfRule>
  </conditionalFormatting>
  <conditionalFormatting sqref="J111:XFD111">
    <cfRule type="cellIs" dxfId="15" priority="1908" operator="equal">
      <formula>"Insert unit"</formula>
    </cfRule>
    <cfRule type="cellIs" dxfId="14" priority="1909" operator="equal">
      <formula>"Insert data"</formula>
    </cfRule>
  </conditionalFormatting>
  <conditionalFormatting sqref="J161:XFD161">
    <cfRule type="cellIs" dxfId="13" priority="1906" operator="equal">
      <formula>"Insert data"</formula>
    </cfRule>
    <cfRule type="cellIs" dxfId="12" priority="1905" operator="equal">
      <formula>"Insert unit"</formula>
    </cfRule>
  </conditionalFormatting>
  <conditionalFormatting sqref="J211:XFD211">
    <cfRule type="cellIs" dxfId="11" priority="1903" operator="equal">
      <formula>"Insert data"</formula>
    </cfRule>
    <cfRule type="cellIs" dxfId="10" priority="1902" operator="equal">
      <formula>"Insert unit"</formula>
    </cfRule>
  </conditionalFormatting>
  <conditionalFormatting sqref="J261:XFD261">
    <cfRule type="cellIs" dxfId="9" priority="1899" operator="equal">
      <formula>"Insert unit"</formula>
    </cfRule>
    <cfRule type="cellIs" dxfId="8" priority="1900" operator="equal">
      <formula>"Insert data"</formula>
    </cfRule>
  </conditionalFormatting>
  <conditionalFormatting sqref="J311:XFD311">
    <cfRule type="cellIs" dxfId="7" priority="1896" operator="equal">
      <formula>"Insert unit"</formula>
    </cfRule>
    <cfRule type="cellIs" dxfId="6" priority="1897" operator="equal">
      <formula>"Insert data"</formula>
    </cfRule>
  </conditionalFormatting>
  <conditionalFormatting sqref="J361:XFD361">
    <cfRule type="cellIs" dxfId="5" priority="1894" operator="equal">
      <formula>"Insert data"</formula>
    </cfRule>
    <cfRule type="cellIs" dxfId="4" priority="1893" operator="equal">
      <formula>"Insert unit"</formula>
    </cfRule>
  </conditionalFormatting>
  <conditionalFormatting sqref="J411:XFD411">
    <cfRule type="cellIs" dxfId="3" priority="1890" operator="equal">
      <formula>"Insert unit"</formula>
    </cfRule>
    <cfRule type="cellIs" dxfId="2" priority="1891" operator="equal">
      <formula>"Insert data"</formula>
    </cfRule>
  </conditionalFormatting>
  <conditionalFormatting sqref="J461:XFD461">
    <cfRule type="cellIs" dxfId="1" priority="1887" operator="equal">
      <formula>"Insert unit"</formula>
    </cfRule>
    <cfRule type="cellIs" dxfId="0" priority="1888" operator="equal">
      <formula>"Insert data"</formula>
    </cfRule>
  </conditionalFormatting>
  <dataValidations count="6">
    <dataValidation type="list" allowBlank="1" showInputMessage="1" showErrorMessage="1" sqref="C33 C83 C133 C183 C233 C283 C333 C383 C433 C483 C533 C583 C633 C683 C733 C783 C833 C883 C933 C983 C1033 C1083 C1133 C1183 C1233 C1283 C1333 C1383 C1433 C1483 C1533 C1583 C1633 C1683 C1733 C1783 C1833 C1883 C1933 C1983 C2033 C2083 C2133 C2183 C2233 C2283 C2333 C2383 C2433 C2483 C2533 C2583 C2633 C2683 C2733" xr:uid="{00000000-0002-0000-0600-000000000000}">
      <formula1>"tonnes"</formula1>
    </dataValidation>
    <dataValidation type="list" allowBlank="1" showInputMessage="1" showErrorMessage="1" sqref="C29 C79 C129 C179 C229 C279 C329 C379 C429 C479 C529 C579 C629 C679 C729 C779 C829 C879 C929 C979 C1029 C1079 C1129 C1179 C1229 C1279 C1329 C1379 C1429 C1479 C1529 C1579 C1629 C1679 C1729 C1779 C1829 C1879 C1929 C1979 C2029 C2079 C2129 C2179 C2229 C2279 C2329 C2379 C2429 C2479 C2529 C2579 C2629 C2679 C2729" xr:uid="{00000000-0002-0000-0600-000001000000}">
      <formula1>"litres,m3,kg,tonnes,kWh,MWh"</formula1>
    </dataValidation>
    <dataValidation type="list" allowBlank="1" showInputMessage="1" showErrorMessage="1" sqref="E25 E75 E125 E175 E225 E275 E325 E375 E425 E475 E525 E575 E625 E675 E725 E775 E825 E875 E925 E975 E1025 E1075 E1125 E1175 E1225 E1275 E1325 E1375 E1425 E1475 E1525 E1575 E1625 E1675 E1725 E1775 E1825 E1875 E1925 E1975 E2025 E2075 E2125 E2175 E2225 E2275 E2325 E2375 E2425 E2475 E2525 E2575 E2625 E2675 E2725" xr:uid="{00000000-0002-0000-0600-000002000000}">
      <formula1>"Yes,No"</formula1>
    </dataValidation>
    <dataValidation type="list" allowBlank="1" showInputMessage="1" showErrorMessage="1" sqref="C23 C19 C73 C69 C123 C119 C173 C169 C223 C219 C273 C269 C323 C319 C373 C369 C423 C419 C473 C469 C523 C519 C573 C569 C623 C619 C673 C669 C723 C719 C773 C769 C823 C819 C873 C869 C923 C919 C973 C969 C1023 C1019 C1073 C1069 C1123 C1119 C1173 C1169 C1223 C1219 C1273 C1269 C1323 C1319 C1373 C1369 C1423 C1419 C1473 C1469 C1523 C1519 C1573 C1569 C1623 C1619 C1673 C1669 C1723 C1719 C1773 C1769 C1823 C1819 C1873 C1869 C1923 C1919 C1973 C1969 C2023 C2019 C2073 C2069 C2123 C2119 C2173 C2169 C2223 C2219 C2273 C2269 C2323 C2319 C2373 C2369 C2423 C2419 C2473 C2469 C2523 C2519 C2573 C2569 C2623 C2619 C2673 C2669 C2723 C2719" xr:uid="{00000000-0002-0000-0600-000003000000}">
      <formula1>"Default,Actual"</formula1>
    </dataValidation>
    <dataValidation type="list" allowBlank="1" showInputMessage="1" showErrorMessage="1" sqref="D13 D463 D63 D113 D213 D263 D313 D363 D413 D163 D513 D963 D563 D613 D713 D763 D813 D863 D913 D663 D1013 D1063 D1113 D1163 D1213 D1263 D1313 D1363 D1413 D1463 D1513 D1563 D1613 D1663 D1713 D1763 D1813 D1863 D1913 D1963 D2013 D2063 D2113 D2163 D2213 D2263 D2313 D2363 D2413 D2463 D2513 D2563 D2613 D2663 D2713" xr:uid="{00000000-0002-0000-0600-000004000000}">
      <formula1>Transport_Modes</formula1>
    </dataValidation>
    <dataValidation type="list" allowBlank="1" showInputMessage="1" showErrorMessage="1" sqref="D2715 D465 D65 D115 D215 D265 D315 D365 D415 D165 D515 D965 D565 D615 D715 D765 D815 D865 D915 D665 D1015 D1065 D1115 D1165 D1215 D1265 D1315 D1365 D1415 D1465 D1515 D1565 D1615 D1665 D1715 D1765 D1815 D1865 D1915 D1965 D2015 D2065 D2115 D2165 D2215 D2265 D2315 D2365 D2415 D2465 D2515 D2565 D2615 D2665 D15" xr:uid="{00000000-0002-0000-0600-000005000000}">
      <formula1>Fuels_for_EF</formula1>
    </dataValidation>
  </dataValidations>
  <pageMargins left="0.7" right="0.7" top="0.75" bottom="0.75" header="0.3" footer="0.3"/>
  <pageSetup paperSize="9" orientation="portrait" r:id="rId1"/>
  <headerFooter>
    <oddHeader>&amp;C&amp;"Calibri"&amp;10&amp;K000000 OFFICIAL&amp;1#_x000D_</oddHeader>
    <oddFooter>&amp;C_x000D_&amp;1#&amp;"Calibri"&amp;10&amp;K000000 OFFICIAL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B1:AJ273"/>
  <sheetViews>
    <sheetView zoomScale="47" zoomScaleNormal="90" workbookViewId="0">
      <selection activeCell="C154" sqref="C154"/>
    </sheetView>
  </sheetViews>
  <sheetFormatPr defaultColWidth="9.109375" defaultRowHeight="13.2" x14ac:dyDescent="0.3"/>
  <cols>
    <col min="1" max="1" width="3.6640625" style="170" customWidth="1"/>
    <col min="2" max="2" width="2.6640625" style="170" customWidth="1"/>
    <col min="3" max="3" width="45.5546875" style="170" customWidth="1"/>
    <col min="4" max="4" width="21" style="170" customWidth="1"/>
    <col min="5" max="5" width="22.44140625" style="170" bestFit="1" customWidth="1"/>
    <col min="6" max="6" width="22.6640625" style="170" customWidth="1"/>
    <col min="7" max="7" width="25.6640625" style="170" customWidth="1"/>
    <col min="8" max="8" width="5.6640625" style="170" customWidth="1"/>
    <col min="9" max="9" width="2.5546875" style="170" customWidth="1"/>
    <col min="10" max="10" width="37" style="170" customWidth="1"/>
    <col min="11" max="11" width="25.44140625" style="170" customWidth="1"/>
    <col min="12" max="13" width="2.6640625" style="170" customWidth="1"/>
    <col min="14" max="14" width="13.5546875" style="170" customWidth="1"/>
    <col min="15" max="15" width="2.88671875" style="170" customWidth="1"/>
    <col min="16" max="16" width="55.109375" style="170" customWidth="1"/>
    <col min="17" max="17" width="29.44140625" style="170" customWidth="1"/>
    <col min="18" max="18" width="24" style="170" customWidth="1"/>
    <col min="19" max="19" width="25.88671875" style="170" customWidth="1"/>
    <col min="20" max="20" width="23.44140625" style="170" customWidth="1"/>
    <col min="21" max="21" width="2.88671875" style="170" customWidth="1"/>
    <col min="22" max="16384" width="9.109375" style="170"/>
  </cols>
  <sheetData>
    <row r="1" spans="2:36" ht="24.75" customHeight="1" x14ac:dyDescent="0.4">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row>
    <row r="2" spans="2:36" ht="24.75" customHeight="1" x14ac:dyDescent="0.4">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row>
    <row r="3" spans="2:36" ht="24.75" customHeight="1" x14ac:dyDescent="0.3"/>
    <row r="4" spans="2:36" s="196" customFormat="1" ht="23.25" customHeight="1" x14ac:dyDescent="0.3"/>
    <row r="5" spans="2:36" s="12" customFormat="1" x14ac:dyDescent="0.3"/>
    <row r="6" spans="2:36" s="12" customFormat="1" ht="66.75" customHeight="1" x14ac:dyDescent="0.4">
      <c r="B6" s="728" t="s">
        <v>237</v>
      </c>
      <c r="C6" s="728"/>
      <c r="D6" s="728"/>
      <c r="E6" s="728"/>
      <c r="F6" s="728"/>
      <c r="G6" s="728"/>
      <c r="H6" s="728"/>
      <c r="I6" s="728"/>
      <c r="J6" s="728"/>
      <c r="K6" s="728"/>
      <c r="L6" s="728"/>
      <c r="M6" s="728"/>
    </row>
    <row r="7" spans="2:36" s="12" customFormat="1" x14ac:dyDescent="0.3"/>
    <row r="8" spans="2:36" s="12" customFormat="1" ht="19.2" x14ac:dyDescent="0.45">
      <c r="B8" s="754" t="s">
        <v>238</v>
      </c>
      <c r="C8" s="755"/>
      <c r="D8" s="755"/>
      <c r="E8" s="755"/>
      <c r="F8" s="755"/>
      <c r="G8" s="755"/>
      <c r="H8" s="755"/>
      <c r="I8" s="755"/>
      <c r="J8" s="755"/>
      <c r="K8" s="755"/>
      <c r="L8" s="755"/>
      <c r="M8" s="756"/>
    </row>
    <row r="9" spans="2:36" s="12" customFormat="1" ht="15" x14ac:dyDescent="0.35">
      <c r="B9" s="33"/>
      <c r="C9" s="1"/>
      <c r="D9" s="1"/>
      <c r="E9" s="1"/>
      <c r="F9" s="1"/>
      <c r="G9" s="1"/>
      <c r="H9" s="1"/>
      <c r="I9" s="1"/>
      <c r="J9" s="1"/>
      <c r="K9" s="1"/>
      <c r="M9" s="16"/>
    </row>
    <row r="10" spans="2:36" s="12" customFormat="1" ht="15" x14ac:dyDescent="0.35">
      <c r="B10" s="33"/>
      <c r="C10" s="1"/>
      <c r="D10" s="172" t="s">
        <v>239</v>
      </c>
      <c r="E10" s="168" t="s">
        <v>240</v>
      </c>
      <c r="F10" s="1"/>
      <c r="G10" s="1"/>
      <c r="H10" s="1"/>
      <c r="I10" s="1"/>
      <c r="J10" s="1"/>
      <c r="K10" s="1"/>
      <c r="M10" s="16"/>
    </row>
    <row r="11" spans="2:36" s="12" customFormat="1" ht="15" x14ac:dyDescent="0.35">
      <c r="B11" s="33"/>
      <c r="C11" s="164" t="s">
        <v>241</v>
      </c>
      <c r="D11" s="70">
        <f>IF(D92="yes", IF(F99&lt;IFERROR(F106/'Final conversion'!E11,0)+SUM(F111,F123,F135), IFERROR(F106/'Final conversion'!E11,0)+SUM(F111,F123,F135), F99), IFERROR(F106/'Final conversion'!E11,0)+SUM(F111,F123,F135))</f>
        <v>0</v>
      </c>
      <c r="E11" s="226" t="str">
        <f>IFERROR(D11/Sum_tonnage,"")</f>
        <v/>
      </c>
      <c r="F11" s="1"/>
      <c r="G11" s="1"/>
      <c r="H11" s="1"/>
      <c r="I11" s="1"/>
      <c r="J11" s="1"/>
      <c r="K11" s="1"/>
      <c r="M11" s="16"/>
    </row>
    <row r="12" spans="2:36" s="12" customFormat="1" ht="15.6" thickBot="1" x14ac:dyDescent="0.4">
      <c r="B12" s="33"/>
      <c r="C12" s="1"/>
      <c r="D12" s="1"/>
      <c r="E12" s="1"/>
      <c r="F12" s="1"/>
      <c r="G12" s="1"/>
      <c r="H12" s="1"/>
      <c r="I12" s="1"/>
      <c r="J12" s="1"/>
      <c r="K12" s="1"/>
      <c r="M12" s="16"/>
    </row>
    <row r="13" spans="2:36" s="12" customFormat="1" ht="15.6" thickBot="1" x14ac:dyDescent="0.4">
      <c r="B13" s="33"/>
      <c r="C13" s="71" t="s">
        <v>242</v>
      </c>
      <c r="D13" s="72"/>
      <c r="E13" s="72"/>
      <c r="F13" s="72"/>
      <c r="G13" s="72"/>
      <c r="H13" s="1"/>
      <c r="I13" s="1"/>
      <c r="J13" s="1"/>
      <c r="K13" s="1"/>
      <c r="M13" s="16"/>
    </row>
    <row r="14" spans="2:36" s="12" customFormat="1" ht="30.75" customHeight="1" x14ac:dyDescent="0.35">
      <c r="B14" s="33"/>
      <c r="C14" s="208" t="s">
        <v>46</v>
      </c>
      <c r="D14" s="208" t="s">
        <v>243</v>
      </c>
      <c r="E14" s="208" t="s">
        <v>244</v>
      </c>
      <c r="F14" s="208" t="s">
        <v>245</v>
      </c>
      <c r="G14" s="208" t="s">
        <v>246</v>
      </c>
      <c r="H14" s="72"/>
      <c r="I14" s="303" t="s">
        <v>122</v>
      </c>
      <c r="J14" s="79"/>
      <c r="K14" s="79"/>
      <c r="L14" s="80"/>
      <c r="M14" s="16"/>
    </row>
    <row r="15" spans="2:36" s="13" customFormat="1" ht="15" x14ac:dyDescent="0.35">
      <c r="B15" s="81"/>
      <c r="C15" s="794" t="s">
        <v>247</v>
      </c>
      <c r="D15" s="795"/>
      <c r="E15" s="795"/>
      <c r="F15" s="795"/>
      <c r="G15" s="796"/>
      <c r="H15" s="82"/>
      <c r="I15" s="131"/>
      <c r="J15" s="36"/>
      <c r="K15" s="164" t="s">
        <v>124</v>
      </c>
      <c r="L15" s="132"/>
      <c r="M15" s="83"/>
    </row>
    <row r="16" spans="2:36" s="12" customFormat="1" ht="15" x14ac:dyDescent="0.35">
      <c r="B16" s="33"/>
      <c r="C16" s="186" t="str">
        <f>IF(Feedstocks!C11&gt;0,Feedstocks!C11,"")</f>
        <v/>
      </c>
      <c r="D16" s="73" t="str">
        <f>IF(Feedstocks!D11&gt;0,Feedstocks!D11,"")</f>
        <v/>
      </c>
      <c r="E16" s="73" t="str">
        <f>IF(Feedstocks!D11&gt;0,IF(ISBLANK(Feedstocks!G11),"Insert data",Feedstocks!G11),"")</f>
        <v/>
      </c>
      <c r="F16" s="73" t="str">
        <f>IFERROR(E16*D16*Feedstocks!E11*Feedstocks!F11,"")</f>
        <v/>
      </c>
      <c r="G16" s="73" t="str">
        <f>IFERROR($D$11*(IFERROR(F16/(Sum_theoretical_methane),""))/D16,"")</f>
        <v/>
      </c>
      <c r="H16" s="1"/>
      <c r="I16" s="43"/>
      <c r="J16" s="164" t="s">
        <v>125</v>
      </c>
      <c r="K16" s="30" t="str">
        <f>IFERROR(K19*$K$23,"")</f>
        <v/>
      </c>
      <c r="L16" s="48"/>
      <c r="M16" s="16"/>
    </row>
    <row r="17" spans="2:13" s="12" customFormat="1" ht="15" x14ac:dyDescent="0.35">
      <c r="B17" s="33"/>
      <c r="C17" s="186" t="str">
        <f>IF(Feedstocks!C12&gt;0,Feedstocks!C12,"")</f>
        <v/>
      </c>
      <c r="D17" s="73" t="str">
        <f>IF(Feedstocks!D12&gt;0,Feedstocks!D12,"")</f>
        <v/>
      </c>
      <c r="E17" s="73" t="str">
        <f>IF(Feedstocks!D12&gt;0,IF(ISBLANK(Feedstocks!G12),"Insert data",Feedstocks!G12),"")</f>
        <v/>
      </c>
      <c r="F17" s="73" t="str">
        <f>IFERROR(E17*D17*Feedstocks!E12*Feedstocks!F12,"")</f>
        <v/>
      </c>
      <c r="G17" s="73" t="str">
        <f t="shared" ref="G17:G25" si="0">IFERROR($D$11*(IFERROR(F17/(Sum_theoretical_methane),""))/D17,"")</f>
        <v/>
      </c>
      <c r="H17" s="1"/>
      <c r="I17" s="43"/>
      <c r="J17" s="34"/>
      <c r="K17" s="34"/>
      <c r="L17" s="48"/>
      <c r="M17" s="16"/>
    </row>
    <row r="18" spans="2:13" s="12" customFormat="1" ht="15" x14ac:dyDescent="0.35">
      <c r="B18" s="33"/>
      <c r="C18" s="186" t="str">
        <f>IF(Feedstocks!C13&gt;0,Feedstocks!C13,"")</f>
        <v/>
      </c>
      <c r="D18" s="73" t="str">
        <f>IF(Feedstocks!D13&gt;0,Feedstocks!D13,"")</f>
        <v/>
      </c>
      <c r="E18" s="73" t="str">
        <f>IF(Feedstocks!D13&gt;0,IF(ISBLANK(Feedstocks!G13),"Insert data",Feedstocks!G13),"")</f>
        <v/>
      </c>
      <c r="F18" s="73" t="str">
        <f>IFERROR(E18*D18*Feedstocks!E13*Feedstocks!F13,"")</f>
        <v/>
      </c>
      <c r="G18" s="73" t="str">
        <f t="shared" si="0"/>
        <v/>
      </c>
      <c r="H18" s="1"/>
      <c r="I18" s="43"/>
      <c r="J18" s="129"/>
      <c r="K18" s="164" t="s">
        <v>124</v>
      </c>
      <c r="L18" s="48"/>
      <c r="M18" s="16"/>
    </row>
    <row r="19" spans="2:13" s="12" customFormat="1" ht="15" x14ac:dyDescent="0.35">
      <c r="B19" s="33"/>
      <c r="C19" s="186" t="str">
        <f>IF(Feedstocks!C14&gt;0,Feedstocks!C14,"")</f>
        <v/>
      </c>
      <c r="D19" s="73" t="str">
        <f>IF(Feedstocks!D14&gt;0,Feedstocks!D14,"")</f>
        <v/>
      </c>
      <c r="E19" s="73" t="str">
        <f>IF(Feedstocks!D14&gt;0,IF(ISBLANK(Feedstocks!G14),"Insert data",Feedstocks!G14),"")</f>
        <v/>
      </c>
      <c r="F19" s="73" t="str">
        <f>IFERROR(E19*D19*Feedstocks!E14*Feedstocks!F14,"")</f>
        <v/>
      </c>
      <c r="G19" s="73" t="str">
        <f t="shared" si="0"/>
        <v/>
      </c>
      <c r="H19" s="1"/>
      <c r="I19" s="43"/>
      <c r="J19" s="165" t="s">
        <v>248</v>
      </c>
      <c r="K19" s="22">
        <f>SUM(K154,K158, K162:K163,K167:K170,K174:K176)</f>
        <v>0</v>
      </c>
      <c r="L19" s="48"/>
      <c r="M19" s="16"/>
    </row>
    <row r="20" spans="2:13" s="12" customFormat="1" ht="15" x14ac:dyDescent="0.35">
      <c r="B20" s="33"/>
      <c r="C20" s="186" t="str">
        <f>IF(Feedstocks!C15&gt;0,Feedstocks!C15,"")</f>
        <v/>
      </c>
      <c r="D20" s="73" t="str">
        <f>IF(Feedstocks!D15&gt;0,Feedstocks!D15,"")</f>
        <v/>
      </c>
      <c r="E20" s="73" t="str">
        <f>IF(Feedstocks!D15&gt;0,IF(ISBLANK(Feedstocks!G15),"Insert data",Feedstocks!G15),"")</f>
        <v/>
      </c>
      <c r="F20" s="73" t="str">
        <f>IFERROR(E20*D20*Feedstocks!E15*Feedstocks!F15,"")</f>
        <v/>
      </c>
      <c r="G20" s="73" t="str">
        <f t="shared" si="0"/>
        <v/>
      </c>
      <c r="H20" s="1"/>
      <c r="I20" s="43"/>
      <c r="J20" s="34"/>
      <c r="K20" s="34"/>
      <c r="L20" s="48"/>
      <c r="M20" s="16"/>
    </row>
    <row r="21" spans="2:13" s="12" customFormat="1" ht="15" x14ac:dyDescent="0.35">
      <c r="B21" s="33"/>
      <c r="C21" s="186" t="str">
        <f>IF(Feedstocks!C16&gt;0,Feedstocks!C16,"")</f>
        <v/>
      </c>
      <c r="D21" s="74" t="str">
        <f>IF(Feedstocks!D16&gt;0,Feedstocks!D16,"")</f>
        <v/>
      </c>
      <c r="E21" s="73" t="str">
        <f>IF(Feedstocks!D16&gt;0,IF(ISBLANK(Feedstocks!G16),"Insert data",Feedstocks!G16),"")</f>
        <v/>
      </c>
      <c r="F21" s="73" t="str">
        <f>IFERROR(E21*D21*Feedstocks!E16*Feedstocks!F16,"")</f>
        <v/>
      </c>
      <c r="G21" s="73" t="str">
        <f t="shared" si="0"/>
        <v/>
      </c>
      <c r="H21" s="1"/>
      <c r="I21" s="43"/>
      <c r="J21" s="34"/>
      <c r="K21" s="34"/>
      <c r="L21" s="48"/>
      <c r="M21" s="16"/>
    </row>
    <row r="22" spans="2:13" s="12" customFormat="1" ht="15" x14ac:dyDescent="0.35">
      <c r="B22" s="33"/>
      <c r="C22" s="186" t="str">
        <f>IF(Feedstocks!C17&gt;0,Feedstocks!C17,"")</f>
        <v/>
      </c>
      <c r="D22" s="74" t="str">
        <f>IF(Feedstocks!D17&gt;0,Feedstocks!D17,"")</f>
        <v/>
      </c>
      <c r="E22" s="73" t="str">
        <f>IF(Feedstocks!D17&gt;0,IF(ISBLANK(Feedstocks!G17),"Insert data",Feedstocks!G17),"")</f>
        <v/>
      </c>
      <c r="F22" s="73" t="str">
        <f>IFERROR(E22*D22*Feedstocks!E17*Feedstocks!F17,"")</f>
        <v/>
      </c>
      <c r="G22" s="73" t="str">
        <f t="shared" si="0"/>
        <v/>
      </c>
      <c r="H22" s="1"/>
      <c r="I22" s="43"/>
      <c r="J22" s="129"/>
      <c r="K22" s="165" t="s">
        <v>195</v>
      </c>
      <c r="L22" s="48"/>
      <c r="M22" s="16"/>
    </row>
    <row r="23" spans="2:13" s="12" customFormat="1" ht="15" x14ac:dyDescent="0.35">
      <c r="B23" s="33"/>
      <c r="C23" s="186" t="str">
        <f>IF(Feedstocks!C18&gt;0,Feedstocks!C18,"")</f>
        <v/>
      </c>
      <c r="D23" s="74" t="str">
        <f>IF(Feedstocks!D18&gt;0,Feedstocks!D18,"")</f>
        <v/>
      </c>
      <c r="E23" s="73" t="str">
        <f>IF(Feedstocks!D18&gt;0,IF(ISBLANK(Feedstocks!G18),"Insert data",Feedstocks!G18),"")</f>
        <v/>
      </c>
      <c r="F23" s="73" t="str">
        <f>IFERROR(E23*D23*Feedstocks!E18*Feedstocks!F18,"")</f>
        <v/>
      </c>
      <c r="G23" s="73" t="str">
        <f t="shared" si="0"/>
        <v/>
      </c>
      <c r="H23" s="1"/>
      <c r="I23" s="43"/>
      <c r="J23" s="164" t="s">
        <v>249</v>
      </c>
      <c r="K23" s="75" t="str">
        <f>IFERROR($D$11/($D$11+SUM($K$147:$K$148)),"")</f>
        <v/>
      </c>
      <c r="L23" s="48"/>
      <c r="M23" s="16"/>
    </row>
    <row r="24" spans="2:13" s="12" customFormat="1" ht="15" x14ac:dyDescent="0.35">
      <c r="B24" s="33"/>
      <c r="C24" s="186" t="str">
        <f>IF(Feedstocks!C19&gt;0,Feedstocks!C19,"")</f>
        <v/>
      </c>
      <c r="D24" s="74" t="str">
        <f>IF(Feedstocks!D19&gt;0,Feedstocks!D19,"")</f>
        <v/>
      </c>
      <c r="E24" s="73" t="str">
        <f>IF(Feedstocks!D19&gt;0,IF(ISBLANK(Feedstocks!G19),"Insert data",Feedstocks!G19),"")</f>
        <v/>
      </c>
      <c r="F24" s="73" t="str">
        <f>IFERROR(E24*D24*Feedstocks!E19*Feedstocks!F19,"")</f>
        <v/>
      </c>
      <c r="G24" s="73" t="str">
        <f t="shared" si="0"/>
        <v/>
      </c>
      <c r="H24" s="1"/>
      <c r="I24" s="43"/>
      <c r="J24" s="164" t="s">
        <v>250</v>
      </c>
      <c r="K24" s="75" t="str">
        <f>IFERROR(SUM($K$147:$K$148)/($D$11+SUM($K$147:$K$148)),"")</f>
        <v/>
      </c>
      <c r="L24" s="133"/>
      <c r="M24" s="16"/>
    </row>
    <row r="25" spans="2:13" s="12" customFormat="1" ht="15" x14ac:dyDescent="0.35">
      <c r="B25" s="33"/>
      <c r="C25" s="186" t="str">
        <f>IF(Feedstocks!C20&gt;0,Feedstocks!C20,"")</f>
        <v/>
      </c>
      <c r="D25" s="74" t="str">
        <f>IF(Feedstocks!D20&gt;0,Feedstocks!D20,"")</f>
        <v/>
      </c>
      <c r="E25" s="73" t="str">
        <f>IF(Feedstocks!D20&gt;0,IF(ISBLANK(Feedstocks!G20),"Insert data",Feedstocks!G20),"")</f>
        <v/>
      </c>
      <c r="F25" s="73" t="str">
        <f>IFERROR(E25*D25*Feedstocks!E20*Feedstocks!F20,"")</f>
        <v/>
      </c>
      <c r="G25" s="73" t="str">
        <f t="shared" si="0"/>
        <v/>
      </c>
      <c r="H25" s="1"/>
      <c r="I25" s="49"/>
      <c r="J25" s="65"/>
      <c r="K25" s="65"/>
      <c r="L25" s="130"/>
      <c r="M25" s="16"/>
    </row>
    <row r="26" spans="2:13" s="12" customFormat="1" ht="15" x14ac:dyDescent="0.35">
      <c r="B26" s="33"/>
      <c r="C26" s="794" t="s">
        <v>247</v>
      </c>
      <c r="D26" s="795"/>
      <c r="E26" s="795"/>
      <c r="F26" s="795"/>
      <c r="G26" s="796"/>
      <c r="H26" s="1"/>
      <c r="I26" s="1"/>
      <c r="J26" s="1"/>
      <c r="K26" s="1"/>
      <c r="M26" s="16"/>
    </row>
    <row r="27" spans="2:13" s="12" customFormat="1" ht="15" x14ac:dyDescent="0.35">
      <c r="B27" s="33"/>
      <c r="C27" s="186" t="str">
        <f>IF(Feedstocks!C24&gt;0,Feedstocks!C24,"")</f>
        <v/>
      </c>
      <c r="D27" s="73" t="str">
        <f>IF(Feedstocks!D24&gt;0,Feedstocks!D24,"")</f>
        <v/>
      </c>
      <c r="E27" s="73" t="str">
        <f>IF(Feedstocks!D24&gt;0,IF(ISBLANK(Feedstocks!G24),"Insert data",Feedstocks!G24),"")</f>
        <v/>
      </c>
      <c r="F27" s="73" t="str">
        <f>IFERROR(E27*D27*Feedstocks!E24*Feedstocks!F24,"")</f>
        <v/>
      </c>
      <c r="G27" s="73" t="str">
        <f t="shared" ref="G27:G36" si="1">IFERROR($D$11*(IFERROR(F27/(Sum_theoretical_methane),""))/D27,"")</f>
        <v/>
      </c>
      <c r="H27" s="1"/>
      <c r="I27" s="1"/>
      <c r="J27" s="1"/>
      <c r="K27" s="1"/>
      <c r="M27" s="16"/>
    </row>
    <row r="28" spans="2:13" s="12" customFormat="1" ht="15" x14ac:dyDescent="0.35">
      <c r="B28" s="33"/>
      <c r="C28" s="186" t="str">
        <f>IF(Feedstocks!C25&gt;0,Feedstocks!C25,"")</f>
        <v/>
      </c>
      <c r="D28" s="73" t="str">
        <f>IF(Feedstocks!D25&gt;0,Feedstocks!D25,"")</f>
        <v/>
      </c>
      <c r="E28" s="73" t="str">
        <f>IF(Feedstocks!D25&gt;0,IF(ISBLANK(Feedstocks!G25),"Insert data",Feedstocks!G25),"")</f>
        <v/>
      </c>
      <c r="F28" s="73" t="str">
        <f>IFERROR(E28*D28*Feedstocks!E25*Feedstocks!F25,"")</f>
        <v/>
      </c>
      <c r="G28" s="73" t="str">
        <f t="shared" si="1"/>
        <v/>
      </c>
      <c r="H28" s="1"/>
      <c r="I28" s="1"/>
      <c r="J28" s="1"/>
      <c r="K28" s="1"/>
      <c r="M28" s="16"/>
    </row>
    <row r="29" spans="2:13" s="12" customFormat="1" ht="15" x14ac:dyDescent="0.35">
      <c r="B29" s="33"/>
      <c r="C29" s="186" t="str">
        <f>IF(Feedstocks!C26&gt;0,Feedstocks!C26,"")</f>
        <v/>
      </c>
      <c r="D29" s="73" t="str">
        <f>IF(Feedstocks!D26&gt;0,Feedstocks!D26,"")</f>
        <v/>
      </c>
      <c r="E29" s="73" t="str">
        <f>IF(Feedstocks!D26&gt;0,IF(ISBLANK(Feedstocks!G26),"Insert data",Feedstocks!G26),"")</f>
        <v/>
      </c>
      <c r="F29" s="73" t="str">
        <f>IFERROR(E29*D29*Feedstocks!E26*Feedstocks!F26,"")</f>
        <v/>
      </c>
      <c r="G29" s="73" t="str">
        <f t="shared" si="1"/>
        <v/>
      </c>
      <c r="H29" s="1"/>
      <c r="I29" s="1"/>
      <c r="J29" s="1"/>
      <c r="K29" s="1"/>
      <c r="M29" s="16"/>
    </row>
    <row r="30" spans="2:13" s="12" customFormat="1" ht="15" x14ac:dyDescent="0.35">
      <c r="B30" s="33"/>
      <c r="C30" s="186" t="str">
        <f>IF(Feedstocks!C27&gt;0,Feedstocks!C27,"")</f>
        <v/>
      </c>
      <c r="D30" s="73" t="str">
        <f>IF(Feedstocks!D27&gt;0,Feedstocks!D27,"")</f>
        <v/>
      </c>
      <c r="E30" s="73" t="str">
        <f>IF(Feedstocks!D27&gt;0,IF(ISBLANK(Feedstocks!G27),"Insert data",Feedstocks!G27),"")</f>
        <v/>
      </c>
      <c r="F30" s="73" t="str">
        <f>IFERROR(E30*D30*Feedstocks!E27*Feedstocks!F27,"")</f>
        <v/>
      </c>
      <c r="G30" s="73" t="str">
        <f t="shared" si="1"/>
        <v/>
      </c>
      <c r="H30" s="1"/>
      <c r="I30" s="1"/>
      <c r="J30" s="1"/>
      <c r="K30" s="1"/>
      <c r="M30" s="16"/>
    </row>
    <row r="31" spans="2:13" s="12" customFormat="1" ht="15" x14ac:dyDescent="0.35">
      <c r="B31" s="33"/>
      <c r="C31" s="186" t="str">
        <f>IF(Feedstocks!C28&gt;0,Feedstocks!C28,"")</f>
        <v/>
      </c>
      <c r="D31" s="73" t="str">
        <f>IF(Feedstocks!D28&gt;0,Feedstocks!D28,"")</f>
        <v/>
      </c>
      <c r="E31" s="73" t="str">
        <f>IF(Feedstocks!D28&gt;0,IF(ISBLANK(Feedstocks!G28),"Insert data",Feedstocks!G28),"")</f>
        <v/>
      </c>
      <c r="F31" s="73" t="str">
        <f>IFERROR(E31*D31*Feedstocks!E28*Feedstocks!F28,"")</f>
        <v/>
      </c>
      <c r="G31" s="73" t="str">
        <f t="shared" si="1"/>
        <v/>
      </c>
      <c r="H31" s="1"/>
      <c r="I31" s="1"/>
      <c r="J31" s="1"/>
      <c r="K31" s="1"/>
      <c r="M31" s="16"/>
    </row>
    <row r="32" spans="2:13" s="12" customFormat="1" ht="15" x14ac:dyDescent="0.35">
      <c r="B32" s="33"/>
      <c r="C32" s="186" t="str">
        <f>IF(Feedstocks!C29&gt;0,Feedstocks!C29,"")</f>
        <v/>
      </c>
      <c r="D32" s="73" t="str">
        <f>IF(Feedstocks!D29&gt;0,Feedstocks!D29,"")</f>
        <v/>
      </c>
      <c r="E32" s="73" t="str">
        <f>IF(Feedstocks!D29&gt;0,IF(ISBLANK(Feedstocks!G29),"Insert data",Feedstocks!G29),"")</f>
        <v/>
      </c>
      <c r="F32" s="73" t="str">
        <f>IFERROR(E32*D32*Feedstocks!E29*Feedstocks!F29,"")</f>
        <v/>
      </c>
      <c r="G32" s="73" t="str">
        <f t="shared" si="1"/>
        <v/>
      </c>
      <c r="H32" s="1"/>
      <c r="I32" s="1"/>
      <c r="J32" s="1"/>
      <c r="K32" s="1"/>
      <c r="M32" s="16"/>
    </row>
    <row r="33" spans="2:13" s="12" customFormat="1" ht="15" x14ac:dyDescent="0.35">
      <c r="B33" s="33"/>
      <c r="C33" s="186" t="str">
        <f>IF(Feedstocks!C30&gt;0,Feedstocks!C30,"")</f>
        <v/>
      </c>
      <c r="D33" s="73" t="str">
        <f>IF(Feedstocks!D30&gt;0,Feedstocks!D30,"")</f>
        <v/>
      </c>
      <c r="E33" s="73" t="str">
        <f>IF(Feedstocks!D30&gt;0,IF(ISBLANK(Feedstocks!G30),"Insert data",Feedstocks!G30),"")</f>
        <v/>
      </c>
      <c r="F33" s="73" t="str">
        <f>IFERROR(E33*D33*Feedstocks!E30*Feedstocks!F30,"")</f>
        <v/>
      </c>
      <c r="G33" s="73" t="str">
        <f t="shared" si="1"/>
        <v/>
      </c>
      <c r="H33" s="1"/>
      <c r="I33" s="1"/>
      <c r="J33" s="1"/>
      <c r="K33" s="1"/>
      <c r="M33" s="16"/>
    </row>
    <row r="34" spans="2:13" s="12" customFormat="1" ht="15" x14ac:dyDescent="0.35">
      <c r="B34" s="33"/>
      <c r="C34" s="186" t="str">
        <f>IF(Feedstocks!C31&gt;0,Feedstocks!C31,"")</f>
        <v/>
      </c>
      <c r="D34" s="73" t="str">
        <f>IF(Feedstocks!D31&gt;0,Feedstocks!D31,"")</f>
        <v/>
      </c>
      <c r="E34" s="73" t="str">
        <f>IF(Feedstocks!D31&gt;0,IF(ISBLANK(Feedstocks!G31),"Insert data",Feedstocks!G31),"")</f>
        <v/>
      </c>
      <c r="F34" s="73" t="str">
        <f>IFERROR(E34*D34*Feedstocks!E31*Feedstocks!F31,"")</f>
        <v/>
      </c>
      <c r="G34" s="73" t="str">
        <f t="shared" si="1"/>
        <v/>
      </c>
      <c r="H34" s="1"/>
      <c r="I34" s="1"/>
      <c r="J34" s="1"/>
      <c r="K34" s="1"/>
      <c r="M34" s="16"/>
    </row>
    <row r="35" spans="2:13" s="12" customFormat="1" ht="15" x14ac:dyDescent="0.35">
      <c r="B35" s="33"/>
      <c r="C35" s="186" t="str">
        <f>IF(Feedstocks!C32&gt;0,Feedstocks!C32,"")</f>
        <v/>
      </c>
      <c r="D35" s="73" t="str">
        <f>IF(Feedstocks!D32&gt;0,Feedstocks!D32,"")</f>
        <v/>
      </c>
      <c r="E35" s="73" t="str">
        <f>IF(Feedstocks!D32&gt;0,IF(ISBLANK(Feedstocks!G32),"Insert data",Feedstocks!G32),"")</f>
        <v/>
      </c>
      <c r="F35" s="73" t="str">
        <f>IFERROR(E35*D35*Feedstocks!E32*Feedstocks!F32,"")</f>
        <v/>
      </c>
      <c r="G35" s="73" t="str">
        <f t="shared" si="1"/>
        <v/>
      </c>
      <c r="H35" s="1"/>
      <c r="I35" s="1"/>
      <c r="J35" s="1"/>
      <c r="K35" s="1"/>
      <c r="M35" s="16"/>
    </row>
    <row r="36" spans="2:13" s="12" customFormat="1" ht="15" x14ac:dyDescent="0.35">
      <c r="B36" s="33"/>
      <c r="C36" s="186" t="str">
        <f>IF(Feedstocks!C33&gt;0,Feedstocks!C33,"")</f>
        <v/>
      </c>
      <c r="D36" s="73" t="str">
        <f>IF(Feedstocks!D33&gt;0,Feedstocks!D33,"")</f>
        <v/>
      </c>
      <c r="E36" s="73" t="str">
        <f>IF(Feedstocks!D33&gt;0,IF(ISBLANK(Feedstocks!G33),"Insert data",Feedstocks!G33),"")</f>
        <v/>
      </c>
      <c r="F36" s="73" t="str">
        <f>IFERROR(E36*D36*Feedstocks!E33*Feedstocks!F33,"")</f>
        <v/>
      </c>
      <c r="G36" s="73" t="str">
        <f t="shared" si="1"/>
        <v/>
      </c>
      <c r="H36" s="1"/>
      <c r="I36" s="1"/>
      <c r="J36" s="1"/>
      <c r="K36" s="1"/>
      <c r="M36" s="16"/>
    </row>
    <row r="37" spans="2:13" s="12" customFormat="1" ht="15" x14ac:dyDescent="0.35">
      <c r="B37" s="33"/>
      <c r="C37" s="186" t="str">
        <f>IF(Feedstocks!C34&gt;0,Feedstocks!C34,"")</f>
        <v/>
      </c>
      <c r="D37" s="73" t="str">
        <f>IF(Feedstocks!D34&gt;0,Feedstocks!D34,"")</f>
        <v/>
      </c>
      <c r="E37" s="73" t="str">
        <f>IF(Feedstocks!D34&gt;0,IF(ISBLANK(Feedstocks!G34),"Insert data",Feedstocks!G34),"")</f>
        <v/>
      </c>
      <c r="F37" s="73" t="str">
        <f>IFERROR(E37*D37*Feedstocks!E34*Feedstocks!F34,"")</f>
        <v/>
      </c>
      <c r="G37" s="73" t="str">
        <f t="shared" ref="G37:G41" si="2">IFERROR($D$11*(IFERROR(F37/(Sum_theoretical_methane),""))/D37,"")</f>
        <v/>
      </c>
      <c r="H37" s="1"/>
      <c r="I37" s="1"/>
      <c r="J37" s="1"/>
      <c r="K37" s="1"/>
      <c r="M37" s="16"/>
    </row>
    <row r="38" spans="2:13" s="12" customFormat="1" ht="15" x14ac:dyDescent="0.35">
      <c r="B38" s="33"/>
      <c r="C38" s="186" t="str">
        <f>IF(Feedstocks!C35&gt;0,Feedstocks!C35,"")</f>
        <v/>
      </c>
      <c r="D38" s="73" t="str">
        <f>IF(Feedstocks!D35&gt;0,Feedstocks!D35,"")</f>
        <v/>
      </c>
      <c r="E38" s="73" t="str">
        <f>IF(Feedstocks!D35&gt;0,IF(ISBLANK(Feedstocks!G35),"Insert data",Feedstocks!G35),"")</f>
        <v/>
      </c>
      <c r="F38" s="73" t="str">
        <f>IFERROR(E38*D38*Feedstocks!E35*Feedstocks!F35,"")</f>
        <v/>
      </c>
      <c r="G38" s="73" t="str">
        <f t="shared" si="2"/>
        <v/>
      </c>
      <c r="H38" s="1"/>
      <c r="I38" s="1"/>
      <c r="J38" s="1"/>
      <c r="K38" s="1"/>
      <c r="M38" s="16"/>
    </row>
    <row r="39" spans="2:13" s="12" customFormat="1" ht="15" x14ac:dyDescent="0.35">
      <c r="B39" s="33"/>
      <c r="C39" s="186" t="str">
        <f>IF(Feedstocks!C36&gt;0,Feedstocks!C36,"")</f>
        <v/>
      </c>
      <c r="D39" s="73" t="str">
        <f>IF(Feedstocks!D36&gt;0,Feedstocks!D36,"")</f>
        <v/>
      </c>
      <c r="E39" s="73" t="str">
        <f>IF(Feedstocks!D36&gt;0,IF(ISBLANK(Feedstocks!G36),"Insert data",Feedstocks!G36),"")</f>
        <v/>
      </c>
      <c r="F39" s="73" t="str">
        <f>IFERROR(E39*D39*Feedstocks!E36*Feedstocks!F36,"")</f>
        <v/>
      </c>
      <c r="G39" s="73" t="str">
        <f t="shared" si="2"/>
        <v/>
      </c>
      <c r="H39" s="1"/>
      <c r="I39" s="1"/>
      <c r="J39" s="1"/>
      <c r="K39" s="1"/>
      <c r="M39" s="16"/>
    </row>
    <row r="40" spans="2:13" s="12" customFormat="1" ht="15" x14ac:dyDescent="0.35">
      <c r="B40" s="33"/>
      <c r="C40" s="186" t="str">
        <f>IF(Feedstocks!C37&gt;0,Feedstocks!C37,"")</f>
        <v/>
      </c>
      <c r="D40" s="73" t="str">
        <f>IF(Feedstocks!D37&gt;0,Feedstocks!D37,"")</f>
        <v/>
      </c>
      <c r="E40" s="73" t="str">
        <f>IF(Feedstocks!D37&gt;0,IF(ISBLANK(Feedstocks!G37),"Insert data",Feedstocks!G37),"")</f>
        <v/>
      </c>
      <c r="F40" s="73" t="str">
        <f>IFERROR(E40*D40*Feedstocks!E37*Feedstocks!F37,"")</f>
        <v/>
      </c>
      <c r="G40" s="73" t="str">
        <f t="shared" si="2"/>
        <v/>
      </c>
      <c r="H40" s="1"/>
      <c r="I40" s="1"/>
      <c r="J40" s="1"/>
      <c r="K40" s="1"/>
      <c r="M40" s="16"/>
    </row>
    <row r="41" spans="2:13" s="12" customFormat="1" ht="15" x14ac:dyDescent="0.35">
      <c r="B41" s="33"/>
      <c r="C41" s="186" t="str">
        <f>IF(Feedstocks!C38&gt;0,Feedstocks!C38,"")</f>
        <v/>
      </c>
      <c r="D41" s="73" t="str">
        <f>IF(Feedstocks!D38&gt;0,Feedstocks!D38,"")</f>
        <v/>
      </c>
      <c r="E41" s="73" t="str">
        <f>IF(Feedstocks!D38&gt;0,IF(ISBLANK(Feedstocks!G38),"Insert data",Feedstocks!G38),"")</f>
        <v/>
      </c>
      <c r="F41" s="73" t="str">
        <f>IFERROR(E41*D41*Feedstocks!E38*Feedstocks!F38,"")</f>
        <v/>
      </c>
      <c r="G41" s="73" t="str">
        <f t="shared" si="2"/>
        <v/>
      </c>
      <c r="H41" s="1"/>
      <c r="I41" s="1"/>
      <c r="J41" s="1"/>
      <c r="K41" s="1"/>
      <c r="M41" s="16"/>
    </row>
    <row r="42" spans="2:13" s="12" customFormat="1" ht="15" x14ac:dyDescent="0.35">
      <c r="B42" s="33"/>
      <c r="C42" s="794" t="s">
        <v>251</v>
      </c>
      <c r="D42" s="795"/>
      <c r="E42" s="795"/>
      <c r="F42" s="795"/>
      <c r="G42" s="796"/>
      <c r="H42" s="1"/>
      <c r="M42" s="16"/>
    </row>
    <row r="43" spans="2:13" s="12" customFormat="1" ht="15" x14ac:dyDescent="0.35">
      <c r="B43" s="33"/>
      <c r="C43" s="186" t="str">
        <f>IF(Feedstocks!C42&gt;0,Feedstocks!C42,"")</f>
        <v/>
      </c>
      <c r="D43" s="73" t="str">
        <f>IF(Feedstocks!D42&gt;0,Feedstocks!D42,"")</f>
        <v/>
      </c>
      <c r="E43" s="73" t="str">
        <f>IF(Feedstocks!D42&gt;0,IF(Feedstocks!G42="Insert data","Insert data",Feedstocks!G42),"")</f>
        <v/>
      </c>
      <c r="F43" s="73" t="str">
        <f>IFERROR(E43*D43*Feedstocks!E42*Feedstocks!F42,"")</f>
        <v/>
      </c>
      <c r="G43" s="73" t="str">
        <f t="shared" ref="G43:G62" si="3">IFERROR($D$11*(IFERROR(F43/(Sum_theoretical_methane),""))/D43,"")</f>
        <v/>
      </c>
      <c r="H43" s="1"/>
      <c r="M43" s="16"/>
    </row>
    <row r="44" spans="2:13" s="12" customFormat="1" ht="15" x14ac:dyDescent="0.35">
      <c r="B44" s="33"/>
      <c r="C44" s="186" t="str">
        <f>IF(Feedstocks!C43&gt;0,Feedstocks!C43,"")</f>
        <v/>
      </c>
      <c r="D44" s="73" t="str">
        <f>IF(Feedstocks!D43&gt;0,Feedstocks!D43,"")</f>
        <v/>
      </c>
      <c r="E44" s="73" t="str">
        <f>IF(Feedstocks!D43&gt;0,IF(Feedstocks!G43="Insert data","Insert data",Feedstocks!G43),"")</f>
        <v/>
      </c>
      <c r="F44" s="73" t="str">
        <f>IFERROR(E44*D44*Feedstocks!E43*Feedstocks!F43,"")</f>
        <v/>
      </c>
      <c r="G44" s="73" t="str">
        <f t="shared" si="3"/>
        <v/>
      </c>
      <c r="H44" s="1"/>
      <c r="M44" s="16"/>
    </row>
    <row r="45" spans="2:13" s="12" customFormat="1" ht="15" x14ac:dyDescent="0.35">
      <c r="B45" s="33"/>
      <c r="C45" s="186" t="str">
        <f>IF(Feedstocks!C44&gt;0,Feedstocks!C44,"")</f>
        <v/>
      </c>
      <c r="D45" s="73" t="str">
        <f>IF(Feedstocks!D44&gt;0,Feedstocks!D44,"")</f>
        <v/>
      </c>
      <c r="E45" s="73" t="str">
        <f>IF(Feedstocks!D44&gt;0,IF(Feedstocks!G44="Insert data","Insert data",Feedstocks!G44),"")</f>
        <v/>
      </c>
      <c r="F45" s="73" t="str">
        <f>IFERROR(E45*D45*Feedstocks!E44*Feedstocks!F44,"")</f>
        <v/>
      </c>
      <c r="G45" s="73" t="str">
        <f t="shared" si="3"/>
        <v/>
      </c>
      <c r="H45" s="1"/>
      <c r="M45" s="16"/>
    </row>
    <row r="46" spans="2:13" s="12" customFormat="1" ht="15" x14ac:dyDescent="0.35">
      <c r="B46" s="33"/>
      <c r="C46" s="186" t="str">
        <f>IF(Feedstocks!C45&gt;0,Feedstocks!C45,"")</f>
        <v/>
      </c>
      <c r="D46" s="73" t="str">
        <f>IF(Feedstocks!D45&gt;0,Feedstocks!D45,"")</f>
        <v/>
      </c>
      <c r="E46" s="73" t="str">
        <f>IF(Feedstocks!D45&gt;0,IF(Feedstocks!G45="Insert data","Insert data",Feedstocks!G45),"")</f>
        <v/>
      </c>
      <c r="F46" s="73" t="str">
        <f>IFERROR(E46*D46*Feedstocks!E45*Feedstocks!F45,"")</f>
        <v/>
      </c>
      <c r="G46" s="73" t="str">
        <f t="shared" si="3"/>
        <v/>
      </c>
      <c r="H46" s="1"/>
      <c r="M46" s="16"/>
    </row>
    <row r="47" spans="2:13" s="12" customFormat="1" ht="15" x14ac:dyDescent="0.35">
      <c r="B47" s="33"/>
      <c r="C47" s="186" t="str">
        <f>IF(Feedstocks!C46&gt;0,Feedstocks!C46,"")</f>
        <v/>
      </c>
      <c r="D47" s="73" t="str">
        <f>IF(Feedstocks!D46&gt;0,Feedstocks!D46,"")</f>
        <v/>
      </c>
      <c r="E47" s="73" t="str">
        <f>IF(Feedstocks!D46&gt;0,IF(Feedstocks!G46="Insert data","Insert data",Feedstocks!G46),"")</f>
        <v/>
      </c>
      <c r="F47" s="73" t="str">
        <f>IFERROR(E47*D47*Feedstocks!E46*Feedstocks!F46,"")</f>
        <v/>
      </c>
      <c r="G47" s="73" t="str">
        <f t="shared" si="3"/>
        <v/>
      </c>
      <c r="H47" s="1"/>
      <c r="M47" s="16"/>
    </row>
    <row r="48" spans="2:13" s="12" customFormat="1" ht="15" x14ac:dyDescent="0.35">
      <c r="B48" s="33"/>
      <c r="C48" s="186" t="str">
        <f>IF(Feedstocks!C47&gt;0,Feedstocks!C47,"")</f>
        <v/>
      </c>
      <c r="D48" s="73" t="str">
        <f>IF(Feedstocks!D47&gt;0,Feedstocks!D47,"")</f>
        <v/>
      </c>
      <c r="E48" s="73" t="str">
        <f>IF(Feedstocks!D47&gt;0,IF(Feedstocks!G47="Insert data","Insert data",Feedstocks!G47),"")</f>
        <v/>
      </c>
      <c r="F48" s="73" t="str">
        <f>IFERROR(E48*D48*Feedstocks!E47*Feedstocks!F47,"")</f>
        <v/>
      </c>
      <c r="G48" s="73" t="str">
        <f t="shared" si="3"/>
        <v/>
      </c>
      <c r="H48" s="1"/>
      <c r="M48" s="16"/>
    </row>
    <row r="49" spans="2:13" s="12" customFormat="1" ht="15" x14ac:dyDescent="0.35">
      <c r="B49" s="33"/>
      <c r="C49" s="186" t="str">
        <f>IF(Feedstocks!C48&gt;0,Feedstocks!C48,"")</f>
        <v/>
      </c>
      <c r="D49" s="73" t="str">
        <f>IF(Feedstocks!D48&gt;0,Feedstocks!D48,"")</f>
        <v/>
      </c>
      <c r="E49" s="73" t="str">
        <f>IF(Feedstocks!D48&gt;0,IF(Feedstocks!G48="Insert data","Insert data",Feedstocks!G48),"")</f>
        <v/>
      </c>
      <c r="F49" s="73" t="str">
        <f>IFERROR(E49*D49*Feedstocks!E48*Feedstocks!F48,"")</f>
        <v/>
      </c>
      <c r="G49" s="73" t="str">
        <f t="shared" si="3"/>
        <v/>
      </c>
      <c r="H49" s="1"/>
      <c r="M49" s="16"/>
    </row>
    <row r="50" spans="2:13" s="12" customFormat="1" ht="15" x14ac:dyDescent="0.35">
      <c r="B50" s="33"/>
      <c r="C50" s="186" t="str">
        <f>IF(Feedstocks!C49&gt;0,Feedstocks!C49,"")</f>
        <v/>
      </c>
      <c r="D50" s="73" t="str">
        <f>IF(Feedstocks!D49&gt;0,Feedstocks!D49,"")</f>
        <v/>
      </c>
      <c r="E50" s="73" t="str">
        <f>IF(Feedstocks!D49&gt;0,IF(Feedstocks!G49="Insert data","Insert data",Feedstocks!G49),"")</f>
        <v/>
      </c>
      <c r="F50" s="73" t="str">
        <f>IFERROR(E50*D50*Feedstocks!E49*Feedstocks!F49,"")</f>
        <v/>
      </c>
      <c r="G50" s="73" t="str">
        <f t="shared" si="3"/>
        <v/>
      </c>
      <c r="H50" s="1"/>
      <c r="M50" s="16"/>
    </row>
    <row r="51" spans="2:13" s="12" customFormat="1" ht="15" x14ac:dyDescent="0.35">
      <c r="B51" s="33"/>
      <c r="C51" s="186" t="str">
        <f>IF(Feedstocks!C50&gt;0,Feedstocks!C50,"")</f>
        <v/>
      </c>
      <c r="D51" s="73" t="str">
        <f>IF(Feedstocks!D50&gt;0,Feedstocks!D50,"")</f>
        <v/>
      </c>
      <c r="E51" s="73" t="str">
        <f>IF(Feedstocks!D50&gt;0,IF(Feedstocks!G50="Insert data","Insert data",Feedstocks!G50),"")</f>
        <v/>
      </c>
      <c r="F51" s="73" t="str">
        <f>IFERROR(E51*D51*Feedstocks!E50*Feedstocks!F50,"")</f>
        <v/>
      </c>
      <c r="G51" s="73" t="str">
        <f t="shared" si="3"/>
        <v/>
      </c>
      <c r="H51" s="1"/>
      <c r="M51" s="16"/>
    </row>
    <row r="52" spans="2:13" s="12" customFormat="1" ht="15" x14ac:dyDescent="0.35">
      <c r="B52" s="33"/>
      <c r="C52" s="186" t="str">
        <f>IF(Feedstocks!C51&gt;0,Feedstocks!C51,"")</f>
        <v/>
      </c>
      <c r="D52" s="73" t="str">
        <f>IF(Feedstocks!D51&gt;0,Feedstocks!D51,"")</f>
        <v/>
      </c>
      <c r="E52" s="73" t="str">
        <f>IF(Feedstocks!D51&gt;0,IF(Feedstocks!G51="Insert data","Insert data",Feedstocks!G51),"")</f>
        <v/>
      </c>
      <c r="F52" s="73" t="str">
        <f>IFERROR(E52*D52*Feedstocks!E51*Feedstocks!F51,"")</f>
        <v/>
      </c>
      <c r="G52" s="73" t="str">
        <f t="shared" si="3"/>
        <v/>
      </c>
      <c r="H52" s="1"/>
      <c r="M52" s="16"/>
    </row>
    <row r="53" spans="2:13" s="12" customFormat="1" ht="15" x14ac:dyDescent="0.35">
      <c r="B53" s="33"/>
      <c r="C53" s="186" t="str">
        <f>IF(Feedstocks!C52&gt;0,Feedstocks!C52,"")</f>
        <v/>
      </c>
      <c r="D53" s="73" t="str">
        <f>IF(Feedstocks!D52&gt;0,Feedstocks!D52,"")</f>
        <v/>
      </c>
      <c r="E53" s="73" t="str">
        <f>IF(Feedstocks!D52&gt;0,IF(Feedstocks!G52="Insert data","Insert data",Feedstocks!G52),"")</f>
        <v/>
      </c>
      <c r="F53" s="73" t="str">
        <f>IFERROR(E53*D53*Feedstocks!E52*Feedstocks!F52,"")</f>
        <v/>
      </c>
      <c r="G53" s="73" t="str">
        <f t="shared" si="3"/>
        <v/>
      </c>
      <c r="H53" s="1"/>
      <c r="M53" s="16"/>
    </row>
    <row r="54" spans="2:13" s="12" customFormat="1" ht="15" x14ac:dyDescent="0.35">
      <c r="B54" s="33"/>
      <c r="C54" s="186" t="str">
        <f>IF(Feedstocks!C53&gt;0,Feedstocks!C53,"")</f>
        <v/>
      </c>
      <c r="D54" s="73" t="str">
        <f>IF(Feedstocks!D53&gt;0,Feedstocks!D53,"")</f>
        <v/>
      </c>
      <c r="E54" s="73" t="str">
        <f>IF(Feedstocks!D53&gt;0,IF(Feedstocks!G53="Insert data","Insert data",Feedstocks!G53),"")</f>
        <v/>
      </c>
      <c r="F54" s="73" t="str">
        <f>IFERROR(E54*D54*Feedstocks!E53*Feedstocks!F53,"")</f>
        <v/>
      </c>
      <c r="G54" s="73" t="str">
        <f t="shared" si="3"/>
        <v/>
      </c>
      <c r="H54" s="1"/>
      <c r="M54" s="16"/>
    </row>
    <row r="55" spans="2:13" s="12" customFormat="1" ht="15" x14ac:dyDescent="0.35">
      <c r="B55" s="33"/>
      <c r="C55" s="186" t="str">
        <f>IF(Feedstocks!C54&gt;0,Feedstocks!C54,"")</f>
        <v/>
      </c>
      <c r="D55" s="73" t="str">
        <f>IF(Feedstocks!D54&gt;0,Feedstocks!D54,"")</f>
        <v/>
      </c>
      <c r="E55" s="73" t="str">
        <f>IF(Feedstocks!D54&gt;0,IF(Feedstocks!G54="Insert data","Insert data",Feedstocks!G54),"")</f>
        <v/>
      </c>
      <c r="F55" s="73" t="str">
        <f>IFERROR(E55*D55*Feedstocks!E54*Feedstocks!F54,"")</f>
        <v/>
      </c>
      <c r="G55" s="73" t="str">
        <f t="shared" si="3"/>
        <v/>
      </c>
      <c r="H55" s="1"/>
      <c r="M55" s="16"/>
    </row>
    <row r="56" spans="2:13" s="12" customFormat="1" ht="15" x14ac:dyDescent="0.35">
      <c r="B56" s="33"/>
      <c r="C56" s="186" t="str">
        <f>IF(Feedstocks!C55&gt;0,Feedstocks!C55,"")</f>
        <v/>
      </c>
      <c r="D56" s="73" t="str">
        <f>IF(Feedstocks!D55&gt;0,Feedstocks!D55,"")</f>
        <v/>
      </c>
      <c r="E56" s="73" t="str">
        <f>IF(Feedstocks!D55&gt;0,IF(Feedstocks!G55="Insert data","Insert data",Feedstocks!G55),"")</f>
        <v/>
      </c>
      <c r="F56" s="73" t="str">
        <f>IFERROR(E56*D56*Feedstocks!E55*Feedstocks!F55,"")</f>
        <v/>
      </c>
      <c r="G56" s="73" t="str">
        <f t="shared" si="3"/>
        <v/>
      </c>
      <c r="H56" s="1"/>
      <c r="M56" s="16"/>
    </row>
    <row r="57" spans="2:13" s="12" customFormat="1" ht="15" x14ac:dyDescent="0.35">
      <c r="B57" s="33"/>
      <c r="C57" s="186" t="str">
        <f>IF(Feedstocks!C56&gt;0,Feedstocks!C56,"")</f>
        <v/>
      </c>
      <c r="D57" s="73" t="str">
        <f>IF(Feedstocks!D56&gt;0,Feedstocks!D56,"")</f>
        <v/>
      </c>
      <c r="E57" s="73" t="str">
        <f>IF(Feedstocks!D56&gt;0,IF(Feedstocks!G56="Insert data","Insert data",Feedstocks!G56),"")</f>
        <v/>
      </c>
      <c r="F57" s="73" t="str">
        <f>IFERROR(E57*D57*Feedstocks!E56*Feedstocks!F56,"")</f>
        <v/>
      </c>
      <c r="G57" s="73" t="str">
        <f t="shared" si="3"/>
        <v/>
      </c>
      <c r="H57" s="1"/>
      <c r="M57" s="16"/>
    </row>
    <row r="58" spans="2:13" s="12" customFormat="1" ht="15" x14ac:dyDescent="0.35">
      <c r="B58" s="33"/>
      <c r="C58" s="186" t="str">
        <f>IF(Feedstocks!C57&gt;0,Feedstocks!C57,"")</f>
        <v/>
      </c>
      <c r="D58" s="73" t="str">
        <f>IF(Feedstocks!D57&gt;0,Feedstocks!D57,"")</f>
        <v/>
      </c>
      <c r="E58" s="73" t="str">
        <f>IF(Feedstocks!D57&gt;0,IF(Feedstocks!G57="Insert data","Insert data",Feedstocks!G57),"")</f>
        <v/>
      </c>
      <c r="F58" s="73" t="str">
        <f>IFERROR(E58*D58*Feedstocks!E57*Feedstocks!F57,"")</f>
        <v/>
      </c>
      <c r="G58" s="73" t="str">
        <f t="shared" si="3"/>
        <v/>
      </c>
      <c r="H58" s="1"/>
      <c r="M58" s="16"/>
    </row>
    <row r="59" spans="2:13" s="12" customFormat="1" ht="15" x14ac:dyDescent="0.35">
      <c r="B59" s="33"/>
      <c r="C59" s="186" t="str">
        <f>IF(Feedstocks!C58&gt;0,Feedstocks!C58,"")</f>
        <v/>
      </c>
      <c r="D59" s="73" t="str">
        <f>IF(Feedstocks!D58&gt;0,Feedstocks!D58,"")</f>
        <v/>
      </c>
      <c r="E59" s="73" t="str">
        <f>IF(Feedstocks!D58&gt;0,IF(Feedstocks!G58="Insert data","Insert data",Feedstocks!G58),"")</f>
        <v/>
      </c>
      <c r="F59" s="73" t="str">
        <f>IFERROR(E59*D59*Feedstocks!E58*Feedstocks!F58,"")</f>
        <v/>
      </c>
      <c r="G59" s="73" t="str">
        <f t="shared" si="3"/>
        <v/>
      </c>
      <c r="H59" s="1"/>
      <c r="M59" s="16"/>
    </row>
    <row r="60" spans="2:13" s="12" customFormat="1" ht="15" x14ac:dyDescent="0.35">
      <c r="B60" s="33"/>
      <c r="C60" s="186" t="str">
        <f>IF(Feedstocks!C59&gt;0,Feedstocks!C59,"")</f>
        <v/>
      </c>
      <c r="D60" s="73" t="str">
        <f>IF(Feedstocks!D59&gt;0,Feedstocks!D59,"")</f>
        <v/>
      </c>
      <c r="E60" s="73" t="str">
        <f>IF(Feedstocks!D59&gt;0,IF(Feedstocks!G59="Insert data","Insert data",Feedstocks!G59),"")</f>
        <v/>
      </c>
      <c r="F60" s="73" t="str">
        <f>IFERROR(E60*D60*Feedstocks!E59*Feedstocks!F59,"")</f>
        <v/>
      </c>
      <c r="G60" s="73" t="str">
        <f t="shared" si="3"/>
        <v/>
      </c>
      <c r="H60" s="1"/>
      <c r="M60" s="16"/>
    </row>
    <row r="61" spans="2:13" s="12" customFormat="1" ht="15" x14ac:dyDescent="0.35">
      <c r="B61" s="33"/>
      <c r="C61" s="186" t="str">
        <f>IF(Feedstocks!C60&gt;0,Feedstocks!C60,"")</f>
        <v/>
      </c>
      <c r="D61" s="73" t="str">
        <f>IF(Feedstocks!D60&gt;0,Feedstocks!D60,"")</f>
        <v/>
      </c>
      <c r="E61" s="73" t="str">
        <f>IF(Feedstocks!D60&gt;0,IF(Feedstocks!G60="Insert data","Insert data",Feedstocks!G60),"")</f>
        <v/>
      </c>
      <c r="F61" s="73" t="str">
        <f>IFERROR(E61*D61*Feedstocks!E60*Feedstocks!F60,"")</f>
        <v/>
      </c>
      <c r="G61" s="73" t="str">
        <f t="shared" si="3"/>
        <v/>
      </c>
      <c r="H61" s="1"/>
      <c r="M61" s="16"/>
    </row>
    <row r="62" spans="2:13" s="12" customFormat="1" ht="15" x14ac:dyDescent="0.35">
      <c r="B62" s="33"/>
      <c r="C62" s="186" t="str">
        <f>IF(Feedstocks!C61&gt;0,Feedstocks!C61,"")</f>
        <v/>
      </c>
      <c r="D62" s="73" t="str">
        <f>IF(Feedstocks!D61&gt;0,Feedstocks!D61,"")</f>
        <v/>
      </c>
      <c r="E62" s="73" t="str">
        <f>IF(Feedstocks!D61&gt;0,IF(Feedstocks!G61="Insert data","Insert data",Feedstocks!G61),"")</f>
        <v/>
      </c>
      <c r="F62" s="73" t="str">
        <f>IFERROR(E62*D62*Feedstocks!E61*Feedstocks!F61,"")</f>
        <v/>
      </c>
      <c r="G62" s="73" t="str">
        <f t="shared" si="3"/>
        <v/>
      </c>
      <c r="H62" s="1"/>
      <c r="M62" s="16"/>
    </row>
    <row r="63" spans="2:13" s="12" customFormat="1" ht="15" x14ac:dyDescent="0.35">
      <c r="B63" s="33"/>
      <c r="C63" s="186" t="str">
        <f>IF(Feedstocks!C62&gt;0,Feedstocks!C62,"")</f>
        <v/>
      </c>
      <c r="D63" s="73" t="str">
        <f>IF(Feedstocks!D62&gt;0,Feedstocks!D62,"")</f>
        <v/>
      </c>
      <c r="E63" s="73" t="str">
        <f>IF(Feedstocks!D62&gt;0,IF(Feedstocks!G62="Insert data","Insert data",Feedstocks!G62),"")</f>
        <v/>
      </c>
      <c r="F63" s="73" t="str">
        <f>IFERROR(E63*D63*Feedstocks!E62*Feedstocks!F62,"")</f>
        <v/>
      </c>
      <c r="G63" s="73" t="str">
        <f t="shared" ref="G63:G67" si="4">IFERROR($D$11*(IFERROR(F63/(Sum_theoretical_methane),""))/D63,"")</f>
        <v/>
      </c>
      <c r="H63" s="1"/>
      <c r="M63" s="16"/>
    </row>
    <row r="64" spans="2:13" s="12" customFormat="1" ht="15" x14ac:dyDescent="0.35">
      <c r="B64" s="33"/>
      <c r="C64" s="186" t="str">
        <f>IF(Feedstocks!C63&gt;0,Feedstocks!C63,"")</f>
        <v/>
      </c>
      <c r="D64" s="73" t="str">
        <f>IF(Feedstocks!D63&gt;0,Feedstocks!D63,"")</f>
        <v/>
      </c>
      <c r="E64" s="73" t="str">
        <f>IF(Feedstocks!D63&gt;0,IF(Feedstocks!G63="Insert data","Insert data",Feedstocks!G63),"")</f>
        <v/>
      </c>
      <c r="F64" s="73" t="str">
        <f>IFERROR(E64*D64*Feedstocks!E63*Feedstocks!F63,"")</f>
        <v/>
      </c>
      <c r="G64" s="73" t="str">
        <f t="shared" si="4"/>
        <v/>
      </c>
      <c r="H64" s="1"/>
      <c r="M64" s="16"/>
    </row>
    <row r="65" spans="2:13" s="12" customFormat="1" ht="15" x14ac:dyDescent="0.35">
      <c r="B65" s="33"/>
      <c r="C65" s="186" t="str">
        <f>IF(Feedstocks!C64&gt;0,Feedstocks!C64,"")</f>
        <v/>
      </c>
      <c r="D65" s="73" t="str">
        <f>IF(Feedstocks!D64&gt;0,Feedstocks!D64,"")</f>
        <v/>
      </c>
      <c r="E65" s="73" t="str">
        <f>IF(Feedstocks!D64&gt;0,IF(Feedstocks!G64="Insert data","Insert data",Feedstocks!G64),"")</f>
        <v/>
      </c>
      <c r="F65" s="73" t="str">
        <f>IFERROR(E65*D65*Feedstocks!E64*Feedstocks!F64,"")</f>
        <v/>
      </c>
      <c r="G65" s="73" t="str">
        <f t="shared" si="4"/>
        <v/>
      </c>
      <c r="H65" s="1"/>
      <c r="M65" s="16"/>
    </row>
    <row r="66" spans="2:13" s="12" customFormat="1" ht="15" x14ac:dyDescent="0.35">
      <c r="B66" s="33"/>
      <c r="C66" s="186" t="str">
        <f>IF(Feedstocks!C65&gt;0,Feedstocks!C65,"")</f>
        <v/>
      </c>
      <c r="D66" s="73" t="str">
        <f>IF(Feedstocks!D65&gt;0,Feedstocks!D65,"")</f>
        <v/>
      </c>
      <c r="E66" s="73" t="str">
        <f>IF(Feedstocks!D65&gt;0,IF(Feedstocks!G65="Insert data","Insert data",Feedstocks!G65),"")</f>
        <v/>
      </c>
      <c r="F66" s="73" t="str">
        <f>IFERROR(E66*D66*Feedstocks!E65*Feedstocks!F65,"")</f>
        <v/>
      </c>
      <c r="G66" s="73" t="str">
        <f t="shared" si="4"/>
        <v/>
      </c>
      <c r="H66" s="1"/>
      <c r="M66" s="16"/>
    </row>
    <row r="67" spans="2:13" s="12" customFormat="1" ht="15" x14ac:dyDescent="0.35">
      <c r="B67" s="33"/>
      <c r="C67" s="186" t="str">
        <f>IF(Feedstocks!C66&gt;0,Feedstocks!C66,"")</f>
        <v/>
      </c>
      <c r="D67" s="73" t="str">
        <f>IF(Feedstocks!D66&gt;0,Feedstocks!D66,"")</f>
        <v/>
      </c>
      <c r="E67" s="73" t="str">
        <f>IF(Feedstocks!D66&gt;0,IF(Feedstocks!G66="Insert data","Insert data",Feedstocks!G66),"")</f>
        <v/>
      </c>
      <c r="F67" s="73" t="str">
        <f>IFERROR(E67*D67*Feedstocks!E66*Feedstocks!F66,"")</f>
        <v/>
      </c>
      <c r="G67" s="73" t="str">
        <f t="shared" si="4"/>
        <v/>
      </c>
      <c r="H67" s="1"/>
      <c r="M67" s="16"/>
    </row>
    <row r="68" spans="2:13" s="12" customFormat="1" ht="15" x14ac:dyDescent="0.35">
      <c r="B68" s="33"/>
      <c r="C68" s="794" t="s">
        <v>115</v>
      </c>
      <c r="D68" s="795"/>
      <c r="E68" s="795"/>
      <c r="F68" s="795"/>
      <c r="G68" s="796"/>
      <c r="H68" s="1"/>
      <c r="M68" s="16"/>
    </row>
    <row r="69" spans="2:13" s="12" customFormat="1" ht="15" x14ac:dyDescent="0.35">
      <c r="B69" s="33"/>
      <c r="C69" s="186" t="str">
        <f>IF(Feedstocks!C70&gt;0,Feedstocks!C70,"")</f>
        <v/>
      </c>
      <c r="D69" s="73" t="str">
        <f>IF(Feedstocks!D70&gt;0,Feedstocks!D70,"")</f>
        <v/>
      </c>
      <c r="E69" s="73" t="str">
        <f>IF(Feedstocks!D70&gt;0,IF(ISBLANK(Feedstocks!G70),"Insert data",Feedstocks!G70),"")</f>
        <v/>
      </c>
      <c r="F69" s="73" t="str">
        <f>IFERROR(E69*D69*Feedstocks!E70*Feedstocks!F70,"")</f>
        <v/>
      </c>
      <c r="G69" s="73" t="str">
        <f>IFERROR($D$11*(IFERROR(F69/Sum_theoretical_methane,""))/D69,"")</f>
        <v/>
      </c>
      <c r="H69" s="1"/>
      <c r="M69" s="16"/>
    </row>
    <row r="70" spans="2:13" s="12" customFormat="1" ht="15" x14ac:dyDescent="0.35">
      <c r="B70" s="33"/>
      <c r="C70" s="186" t="str">
        <f>IF(Feedstocks!C71&gt;0,Feedstocks!C71,"")</f>
        <v/>
      </c>
      <c r="D70" s="73" t="str">
        <f>IF(Feedstocks!D71&gt;0,Feedstocks!D71,"")</f>
        <v/>
      </c>
      <c r="E70" s="73" t="str">
        <f>IF(Feedstocks!D71&gt;0,IF(ISBLANK(Feedstocks!G71),"Insert data",Feedstocks!G71),"")</f>
        <v/>
      </c>
      <c r="F70" s="73" t="str">
        <f>IFERROR(E70*D70*Feedstocks!E71*Feedstocks!F71,"")</f>
        <v/>
      </c>
      <c r="G70" s="73" t="str">
        <f>IFERROR($D$11*(IFERROR(F70/Sum_theoretical_methane,""))/D70,"")</f>
        <v/>
      </c>
      <c r="H70" s="1"/>
      <c r="M70" s="16"/>
    </row>
    <row r="71" spans="2:13" s="12" customFormat="1" ht="15" x14ac:dyDescent="0.35">
      <c r="B71" s="33"/>
      <c r="C71" s="186" t="str">
        <f>IF(Feedstocks!C72&gt;0,Feedstocks!C72,"")</f>
        <v/>
      </c>
      <c r="D71" s="73" t="str">
        <f>IF(Feedstocks!D72&gt;0,Feedstocks!D72,"")</f>
        <v/>
      </c>
      <c r="E71" s="73" t="str">
        <f>IF(Feedstocks!D72&gt;0,IF(ISBLANK(Feedstocks!G72),"Insert data",Feedstocks!G72),"")</f>
        <v/>
      </c>
      <c r="F71" s="73" t="str">
        <f>IFERROR(E71*D71*Feedstocks!E72*Feedstocks!F72,"")</f>
        <v/>
      </c>
      <c r="G71" s="73" t="str">
        <f>IFERROR($D$11*(IFERROR(F71/Sum_theoretical_methane,""))/D71,"")</f>
        <v/>
      </c>
      <c r="H71" s="1"/>
      <c r="M71" s="16"/>
    </row>
    <row r="72" spans="2:13" s="12" customFormat="1" ht="15" x14ac:dyDescent="0.35">
      <c r="B72" s="33"/>
      <c r="C72" s="186" t="str">
        <f>IF(Feedstocks!C73&gt;0,Feedstocks!C73,"")</f>
        <v/>
      </c>
      <c r="D72" s="73" t="str">
        <f>IF(Feedstocks!D73&gt;0,Feedstocks!D73,"")</f>
        <v/>
      </c>
      <c r="E72" s="73" t="str">
        <f>IF(Feedstocks!D73&gt;0,IF(ISBLANK(Feedstocks!G73),"Insert data",Feedstocks!G73),"")</f>
        <v/>
      </c>
      <c r="F72" s="73" t="str">
        <f>IFERROR(E72*D72*Feedstocks!E73*Feedstocks!F73,"")</f>
        <v/>
      </c>
      <c r="G72" s="73" t="str">
        <f>IFERROR($D$11*(IFERROR(F72/Sum_theoretical_methane,""))/D72,"")</f>
        <v/>
      </c>
      <c r="H72" s="1"/>
      <c r="M72" s="16"/>
    </row>
    <row r="73" spans="2:13" s="12" customFormat="1" ht="15" x14ac:dyDescent="0.35">
      <c r="B73" s="33"/>
      <c r="C73" s="186" t="str">
        <f>IF(Feedstocks!C74&gt;0,Feedstocks!C74,"")</f>
        <v/>
      </c>
      <c r="D73" s="73" t="str">
        <f>IF(Feedstocks!D74&gt;0,Feedstocks!D74,"")</f>
        <v/>
      </c>
      <c r="E73" s="73" t="str">
        <f>IF(Feedstocks!D74&gt;0,IF(ISBLANK(Feedstocks!G74),"Insert data",Feedstocks!G74),"")</f>
        <v/>
      </c>
      <c r="F73" s="73" t="str">
        <f>IFERROR(E73*D73*Feedstocks!E74*Feedstocks!F74,"")</f>
        <v/>
      </c>
      <c r="G73" s="73" t="str">
        <f>IFERROR($D$11*(IFERROR(F73/Sum_theoretical_methane,""))/D73,"")</f>
        <v/>
      </c>
      <c r="H73" s="1"/>
      <c r="M73" s="16"/>
    </row>
    <row r="74" spans="2:13" s="12" customFormat="1" ht="15" x14ac:dyDescent="0.35">
      <c r="B74" s="33"/>
      <c r="C74" s="794" t="s">
        <v>252</v>
      </c>
      <c r="D74" s="795"/>
      <c r="E74" s="795"/>
      <c r="F74" s="795"/>
      <c r="G74" s="796"/>
      <c r="H74" s="1"/>
      <c r="M74" s="16"/>
    </row>
    <row r="75" spans="2:13" s="12" customFormat="1" ht="15" x14ac:dyDescent="0.35">
      <c r="B75" s="33"/>
      <c r="C75" s="186" t="str">
        <f>IF(Feedstocks!C78&gt;0,Feedstocks!C78,"")</f>
        <v/>
      </c>
      <c r="D75" s="73" t="str">
        <f>IF(Feedstocks!D78&gt;0,Feedstocks!D78,"")</f>
        <v/>
      </c>
      <c r="E75" s="73" t="str">
        <f>IF(Feedstocks!D78&gt;0,IF(ISBLANK(Feedstocks!G78),"Insert data",Feedstocks!G78),"")</f>
        <v/>
      </c>
      <c r="F75" s="73" t="str">
        <f>IFERROR(E75*D75*Feedstocks!E78*Feedstocks!F78,"")</f>
        <v/>
      </c>
      <c r="G75" s="73" t="str">
        <f>IFERROR($D$11*(IFERROR(F75/Sum_theoretical_methane,""))/D75,"")</f>
        <v/>
      </c>
      <c r="H75" s="1"/>
      <c r="M75" s="16"/>
    </row>
    <row r="76" spans="2:13" s="12" customFormat="1" ht="15" x14ac:dyDescent="0.35">
      <c r="B76" s="33"/>
      <c r="C76" s="186" t="str">
        <f>IF(Feedstocks!C79&gt;0,Feedstocks!C79,"")</f>
        <v/>
      </c>
      <c r="D76" s="73" t="str">
        <f>IF(Feedstocks!D79&gt;0,Feedstocks!D79,"")</f>
        <v/>
      </c>
      <c r="E76" s="73" t="str">
        <f>IF(Feedstocks!D79&gt;0,IF(ISBLANK(Feedstocks!G79),"Insert data",Feedstocks!G79),"")</f>
        <v/>
      </c>
      <c r="F76" s="73" t="str">
        <f>IFERROR(E76*D76*Feedstocks!E79*Feedstocks!F79,"")</f>
        <v/>
      </c>
      <c r="G76" s="73" t="str">
        <f>IFERROR($D$11*(IFERROR(F76/Sum_theoretical_methane,""))/D76,"")</f>
        <v/>
      </c>
      <c r="H76" s="1"/>
      <c r="M76" s="16"/>
    </row>
    <row r="77" spans="2:13" s="12" customFormat="1" ht="15" x14ac:dyDescent="0.35">
      <c r="B77" s="33"/>
      <c r="C77" s="186" t="str">
        <f>IF(Feedstocks!C80&gt;0,Feedstocks!C80,"")</f>
        <v/>
      </c>
      <c r="D77" s="73" t="str">
        <f>IF(Feedstocks!D80&gt;0,Feedstocks!D80,"")</f>
        <v/>
      </c>
      <c r="E77" s="73" t="str">
        <f>IF(Feedstocks!D80&gt;0,IF(ISBLANK(Feedstocks!G80),"Insert data",Feedstocks!G80),"")</f>
        <v/>
      </c>
      <c r="F77" s="73" t="str">
        <f>IFERROR(E77*D77*Feedstocks!E80*Feedstocks!F80,"")</f>
        <v/>
      </c>
      <c r="G77" s="73" t="str">
        <f>IFERROR($D$11*(IFERROR(F77/Sum_theoretical_methane,""))/D77,"")</f>
        <v/>
      </c>
      <c r="H77" s="1"/>
      <c r="M77" s="16"/>
    </row>
    <row r="78" spans="2:13" s="12" customFormat="1" ht="15" x14ac:dyDescent="0.35">
      <c r="B78" s="33"/>
      <c r="C78" s="186" t="str">
        <f>IF(Feedstocks!C81&gt;0,Feedstocks!C81,"")</f>
        <v/>
      </c>
      <c r="D78" s="73" t="str">
        <f>IF(Feedstocks!D81&gt;0,Feedstocks!D81,"")</f>
        <v/>
      </c>
      <c r="E78" s="73" t="str">
        <f>IF(Feedstocks!D81&gt;0,IF(ISBLANK(Feedstocks!G81),"Insert data",Feedstocks!G81),"")</f>
        <v/>
      </c>
      <c r="F78" s="73" t="str">
        <f>IFERROR(E78*D78*Feedstocks!E81*Feedstocks!F81,"")</f>
        <v/>
      </c>
      <c r="G78" s="73" t="str">
        <f>IFERROR($D$11*(IFERROR(F78/Sum_theoretical_methane,""))/D78,"")</f>
        <v/>
      </c>
      <c r="H78" s="1"/>
      <c r="M78" s="16"/>
    </row>
    <row r="79" spans="2:13" s="12" customFormat="1" ht="15" x14ac:dyDescent="0.35">
      <c r="B79" s="33"/>
      <c r="C79" s="186" t="str">
        <f>IF(Feedstocks!C82&gt;0,Feedstocks!C82,"")</f>
        <v/>
      </c>
      <c r="D79" s="73" t="str">
        <f>IF(Feedstocks!D82&gt;0,Feedstocks!D82,"")</f>
        <v/>
      </c>
      <c r="E79" s="73" t="str">
        <f>IF(Feedstocks!D82&gt;0,IF(ISBLANK(Feedstocks!G82),"Insert data",Feedstocks!G82),"")</f>
        <v/>
      </c>
      <c r="F79" s="73" t="str">
        <f>IFERROR(E79*D79*Feedstocks!E82*Feedstocks!F82,"")</f>
        <v/>
      </c>
      <c r="G79" s="73" t="str">
        <f>IFERROR($D$11*(IFERROR(F79/Sum_theoretical_methane,""))/D79,"")</f>
        <v/>
      </c>
      <c r="H79" s="1"/>
      <c r="M79" s="16"/>
    </row>
    <row r="80" spans="2:13" s="12" customFormat="1" ht="15" x14ac:dyDescent="0.35">
      <c r="B80" s="33"/>
      <c r="C80" s="367"/>
      <c r="D80" s="55"/>
      <c r="E80" s="55"/>
      <c r="F80" s="368"/>
      <c r="G80" s="55"/>
      <c r="H80" s="1"/>
      <c r="M80" s="16"/>
    </row>
    <row r="81" spans="2:17" s="12" customFormat="1" ht="15" x14ac:dyDescent="0.35">
      <c r="B81" s="33"/>
      <c r="C81" s="373" t="s">
        <v>253</v>
      </c>
      <c r="D81" s="370">
        <f>SUM(D16:D25,D27:D41,D43:D67,D69:D73)</f>
        <v>0</v>
      </c>
      <c r="E81" s="373" t="s">
        <v>254</v>
      </c>
      <c r="F81" s="370">
        <f>SUM(F16:F25,F27:F41,F43:F67,F69:F73,F75:F79)</f>
        <v>0</v>
      </c>
      <c r="G81" s="371"/>
      <c r="H81" s="1"/>
      <c r="M81" s="16"/>
      <c r="P81" s="12" t="s">
        <v>255</v>
      </c>
    </row>
    <row r="82" spans="2:17" s="12" customFormat="1" ht="15.6" thickBot="1" x14ac:dyDescent="0.4">
      <c r="B82" s="230"/>
      <c r="C82" s="231"/>
      <c r="D82" s="231"/>
      <c r="E82" s="231"/>
      <c r="F82" s="369"/>
      <c r="G82" s="234"/>
      <c r="H82" s="231"/>
      <c r="I82" s="231"/>
      <c r="J82" s="231"/>
      <c r="K82" s="231"/>
      <c r="L82" s="235"/>
      <c r="M82" s="233"/>
    </row>
    <row r="83" spans="2:17" s="12" customFormat="1" ht="15" x14ac:dyDescent="0.35">
      <c r="B83" s="33"/>
      <c r="C83" s="236" t="s">
        <v>256</v>
      </c>
      <c r="D83" s="1"/>
      <c r="E83" s="1"/>
      <c r="F83" s="1"/>
      <c r="G83" s="53"/>
      <c r="H83" s="1"/>
      <c r="I83" s="1"/>
      <c r="J83" s="1"/>
      <c r="K83" s="1"/>
      <c r="L83" s="95"/>
      <c r="M83" s="16"/>
    </row>
    <row r="84" spans="2:17" s="12" customFormat="1" ht="6" customHeight="1" x14ac:dyDescent="0.35">
      <c r="B84" s="33"/>
      <c r="C84" s="236"/>
      <c r="D84" s="1"/>
      <c r="E84" s="1"/>
      <c r="F84" s="1"/>
      <c r="G84" s="53"/>
      <c r="H84" s="1"/>
      <c r="I84" s="1"/>
      <c r="J84" s="1"/>
      <c r="K84" s="1"/>
      <c r="L84" s="95"/>
      <c r="M84" s="16"/>
    </row>
    <row r="85" spans="2:17" s="12" customFormat="1" ht="15.9" customHeight="1" x14ac:dyDescent="0.35">
      <c r="B85" s="33"/>
      <c r="C85" s="25" t="s">
        <v>257</v>
      </c>
      <c r="D85" s="1"/>
      <c r="E85" s="1"/>
      <c r="F85" s="1"/>
      <c r="G85" s="53"/>
      <c r="H85" s="1"/>
      <c r="I85" s="1"/>
      <c r="J85" s="1"/>
      <c r="K85" s="1"/>
      <c r="L85" s="95"/>
      <c r="M85" s="16"/>
      <c r="N85" s="33"/>
      <c r="P85" s="600"/>
      <c r="Q85" s="600"/>
    </row>
    <row r="86" spans="2:17" s="12" customFormat="1" ht="15.9" customHeight="1" x14ac:dyDescent="0.35">
      <c r="B86" s="33"/>
      <c r="C86" s="164" t="s">
        <v>258</v>
      </c>
      <c r="D86" s="146"/>
      <c r="E86" s="418" t="str">
        <f t="shared" ref="E86:E90" si="5">IF(ISBLANK(D86), "Please select yes or no", "")</f>
        <v>Please select yes or no</v>
      </c>
      <c r="F86" s="1"/>
      <c r="G86" s="53"/>
      <c r="H86" s="1"/>
      <c r="I86" s="1"/>
      <c r="J86" s="1"/>
      <c r="K86" s="1"/>
      <c r="L86" s="95"/>
      <c r="M86" s="16"/>
      <c r="N86" s="33"/>
      <c r="P86" s="600"/>
      <c r="Q86" s="600"/>
    </row>
    <row r="87" spans="2:17" s="12" customFormat="1" ht="15.9" customHeight="1" x14ac:dyDescent="0.35">
      <c r="B87" s="33"/>
      <c r="C87" s="164" t="s">
        <v>259</v>
      </c>
      <c r="D87" s="146"/>
      <c r="E87" s="418" t="str">
        <f t="shared" si="5"/>
        <v>Please select yes or no</v>
      </c>
      <c r="F87" s="1"/>
      <c r="G87" s="53"/>
      <c r="H87" s="1"/>
      <c r="I87" s="1"/>
      <c r="J87" s="1"/>
      <c r="K87" s="1"/>
      <c r="L87" s="95"/>
      <c r="M87" s="16"/>
      <c r="N87" s="33"/>
      <c r="P87" s="600"/>
      <c r="Q87" s="600"/>
    </row>
    <row r="88" spans="2:17" s="12" customFormat="1" ht="15.9" customHeight="1" x14ac:dyDescent="0.35">
      <c r="B88" s="33"/>
      <c r="C88" s="164" t="s">
        <v>260</v>
      </c>
      <c r="D88" s="146"/>
      <c r="E88" s="418" t="str">
        <f t="shared" si="5"/>
        <v>Please select yes or no</v>
      </c>
      <c r="F88" s="1"/>
      <c r="G88" s="53"/>
      <c r="H88" s="1"/>
      <c r="I88" s="1"/>
      <c r="J88" s="1"/>
      <c r="K88" s="1"/>
      <c r="L88" s="95"/>
      <c r="M88" s="16"/>
      <c r="N88" s="33"/>
    </row>
    <row r="89" spans="2:17" s="12" customFormat="1" ht="15.9" customHeight="1" x14ac:dyDescent="0.35">
      <c r="B89" s="33"/>
      <c r="C89" s="164" t="s">
        <v>261</v>
      </c>
      <c r="D89" s="146"/>
      <c r="E89" s="418" t="str">
        <f t="shared" si="5"/>
        <v>Please select yes or no</v>
      </c>
      <c r="F89" s="1"/>
      <c r="G89" s="53"/>
      <c r="H89" s="1"/>
      <c r="I89" s="1"/>
      <c r="J89" s="1"/>
      <c r="K89" s="1"/>
      <c r="L89" s="95"/>
      <c r="M89" s="16"/>
      <c r="N89" s="33"/>
    </row>
    <row r="90" spans="2:17" s="12" customFormat="1" ht="15.9" customHeight="1" x14ac:dyDescent="0.35">
      <c r="B90" s="33"/>
      <c r="C90" s="164" t="s">
        <v>262</v>
      </c>
      <c r="D90" s="146"/>
      <c r="E90" s="418" t="str">
        <f t="shared" si="5"/>
        <v>Please select yes or no</v>
      </c>
      <c r="F90" s="1"/>
      <c r="G90" s="53"/>
      <c r="H90" s="1"/>
      <c r="I90" s="1"/>
      <c r="J90" s="1"/>
      <c r="K90" s="1"/>
      <c r="L90" s="95"/>
      <c r="M90" s="16"/>
      <c r="N90" s="33"/>
    </row>
    <row r="91" spans="2:17" s="12" customFormat="1" ht="15" x14ac:dyDescent="0.35">
      <c r="B91" s="33"/>
      <c r="C91" s="164" t="s">
        <v>263</v>
      </c>
      <c r="D91" s="146"/>
      <c r="E91" s="418" t="str">
        <f>IF(ISBLANK(D91),"Please select an answer","")</f>
        <v>Please select an answer</v>
      </c>
      <c r="F91" s="1"/>
      <c r="G91" s="53"/>
      <c r="H91" s="1"/>
      <c r="I91" s="1"/>
      <c r="J91" s="1"/>
      <c r="K91" s="1"/>
      <c r="L91" s="95"/>
      <c r="M91" s="16"/>
    </row>
    <row r="92" spans="2:17" s="12" customFormat="1" ht="15.6" customHeight="1" x14ac:dyDescent="0.35">
      <c r="B92" s="33"/>
      <c r="C92" s="164" t="s">
        <v>264</v>
      </c>
      <c r="D92" s="146"/>
      <c r="E92" s="418" t="str">
        <f>IF(ISBLANK(D92), "Please select an answer", "")</f>
        <v>Please select an answer</v>
      </c>
      <c r="F92" s="1"/>
      <c r="G92" s="53"/>
      <c r="H92" s="1"/>
      <c r="I92" s="1"/>
      <c r="J92" s="1"/>
      <c r="K92" s="1"/>
      <c r="L92" s="95"/>
      <c r="M92" s="16"/>
      <c r="P92" s="600"/>
      <c r="Q92" s="600"/>
    </row>
    <row r="93" spans="2:17" s="12" customFormat="1" ht="15.6" customHeight="1" x14ac:dyDescent="0.35">
      <c r="B93" s="33"/>
      <c r="C93" s="1"/>
      <c r="D93" s="53"/>
      <c r="E93" s="1"/>
      <c r="F93" s="1"/>
      <c r="G93" s="53"/>
      <c r="H93" s="1"/>
      <c r="I93" s="1"/>
      <c r="J93" s="1"/>
      <c r="K93" s="1"/>
      <c r="L93" s="95"/>
      <c r="M93" s="16"/>
      <c r="P93" s="600"/>
      <c r="Q93" s="600"/>
    </row>
    <row r="94" spans="2:17" s="12" customFormat="1" ht="15.6" customHeight="1" x14ac:dyDescent="0.35">
      <c r="B94" s="33"/>
      <c r="C94" s="25" t="s">
        <v>265</v>
      </c>
      <c r="D94" s="53"/>
      <c r="E94" s="1"/>
      <c r="F94" s="1"/>
      <c r="G94" s="53"/>
      <c r="H94" s="1"/>
      <c r="I94" s="1"/>
      <c r="J94" s="1"/>
      <c r="K94" s="1"/>
      <c r="L94" s="95"/>
      <c r="M94" s="16"/>
      <c r="P94" s="600"/>
      <c r="Q94" s="600"/>
    </row>
    <row r="95" spans="2:17" s="12" customFormat="1" ht="15.6" customHeight="1" x14ac:dyDescent="0.35">
      <c r="B95" s="33"/>
      <c r="C95" s="164" t="s">
        <v>266</v>
      </c>
      <c r="D95" s="146"/>
      <c r="E95" s="418" t="str">
        <f t="shared" ref="E95" si="6">IF(ISBLANK(D95), "Please select yes or no", "")</f>
        <v>Please select yes or no</v>
      </c>
      <c r="F95" s="1"/>
      <c r="G95" s="53"/>
      <c r="H95" s="1"/>
      <c r="I95" s="1"/>
      <c r="J95" s="1"/>
      <c r="K95" s="1"/>
      <c r="L95" s="95"/>
      <c r="M95" s="16"/>
      <c r="P95" s="600"/>
      <c r="Q95" s="600"/>
    </row>
    <row r="96" spans="2:17" s="12" customFormat="1" ht="20.399999999999999" x14ac:dyDescent="0.35">
      <c r="B96" s="33"/>
      <c r="C96" s="236"/>
      <c r="D96" s="1"/>
      <c r="E96" s="1"/>
      <c r="F96" s="1"/>
      <c r="G96" s="53"/>
      <c r="H96" s="1"/>
      <c r="I96" s="1"/>
      <c r="J96" s="1"/>
      <c r="K96" s="1"/>
      <c r="L96" s="95"/>
      <c r="M96" s="16"/>
      <c r="P96" s="600"/>
      <c r="Q96" s="600"/>
    </row>
    <row r="97" spans="2:18" s="12" customFormat="1" ht="15.9" customHeight="1" x14ac:dyDescent="0.35">
      <c r="B97" s="33"/>
      <c r="C97" s="25" t="s">
        <v>267</v>
      </c>
      <c r="D97" s="1"/>
      <c r="E97" s="1"/>
      <c r="F97" s="25"/>
      <c r="G97" s="53"/>
      <c r="H97" s="1"/>
      <c r="I97" s="1"/>
      <c r="J97" s="1"/>
      <c r="K97" s="1"/>
      <c r="L97" s="95"/>
      <c r="M97" s="16"/>
    </row>
    <row r="98" spans="2:18" s="12" customFormat="1" ht="15.9" customHeight="1" x14ac:dyDescent="0.35">
      <c r="B98" s="33"/>
      <c r="C98" s="164"/>
      <c r="D98" s="166" t="s">
        <v>151</v>
      </c>
      <c r="E98" s="166" t="s">
        <v>140</v>
      </c>
      <c r="F98" s="164" t="s">
        <v>268</v>
      </c>
      <c r="G98" s="53"/>
      <c r="H98" s="1"/>
      <c r="I98" s="1"/>
      <c r="J98" s="1"/>
      <c r="K98" s="1"/>
      <c r="L98" s="95"/>
      <c r="M98" s="16"/>
    </row>
    <row r="99" spans="2:18" s="12" customFormat="1" ht="15.9" customHeight="1" x14ac:dyDescent="0.35">
      <c r="B99" s="33"/>
      <c r="C99" s="164" t="s">
        <v>267</v>
      </c>
      <c r="D99" s="404" t="s">
        <v>269</v>
      </c>
      <c r="E99" s="146"/>
      <c r="F99" s="70">
        <f>IF(D92="no", "", E99*E100*'Reference values'!D30*'Reference values'!D16)</f>
        <v>0</v>
      </c>
      <c r="G99" s="643" t="str">
        <f>IF(AND(D92="yes", F99&lt;SUM(F104,F111,F123,F135)), "Warning: total biogas generated is too low to give the outputs listed. A calculated value is being used instead.", "")</f>
        <v/>
      </c>
      <c r="H99" s="1"/>
      <c r="I99" s="1"/>
      <c r="J99" s="1"/>
      <c r="K99" s="1"/>
      <c r="L99" s="95"/>
      <c r="M99" s="16"/>
      <c r="P99" s="600"/>
      <c r="Q99" s="600"/>
      <c r="R99" s="88"/>
    </row>
    <row r="100" spans="2:18" s="12" customFormat="1" ht="15.9" customHeight="1" x14ac:dyDescent="0.35">
      <c r="B100" s="33"/>
      <c r="C100" s="164" t="s">
        <v>270</v>
      </c>
      <c r="D100" s="404" t="s">
        <v>271</v>
      </c>
      <c r="E100" s="148"/>
      <c r="F100" s="642"/>
      <c r="G100" s="53"/>
      <c r="H100" s="1"/>
      <c r="I100" s="1"/>
      <c r="J100" s="1"/>
      <c r="K100" s="1"/>
      <c r="L100" s="95"/>
      <c r="M100" s="16"/>
      <c r="O100" s="261"/>
      <c r="P100" s="626" t="s">
        <v>272</v>
      </c>
      <c r="Q100" s="626"/>
      <c r="R100" s="262"/>
    </row>
    <row r="101" spans="2:18" s="12" customFormat="1" ht="15.9" customHeight="1" x14ac:dyDescent="0.35">
      <c r="B101" s="33"/>
      <c r="C101" s="236"/>
      <c r="D101" s="1"/>
      <c r="E101" s="1"/>
      <c r="F101" s="1"/>
      <c r="G101" s="53"/>
      <c r="H101" s="1"/>
      <c r="I101" s="1"/>
      <c r="J101" s="1"/>
      <c r="K101" s="1"/>
      <c r="L101" s="95"/>
      <c r="M101" s="16"/>
      <c r="O101" s="263"/>
      <c r="P101" s="627"/>
      <c r="Q101" s="627"/>
      <c r="R101" s="264"/>
    </row>
    <row r="102" spans="2:18" s="12" customFormat="1" ht="15" x14ac:dyDescent="0.35">
      <c r="B102" s="33"/>
      <c r="C102" s="25" t="s">
        <v>273</v>
      </c>
      <c r="D102" s="1"/>
      <c r="E102" s="1"/>
      <c r="F102" s="25"/>
      <c r="G102" s="1"/>
      <c r="H102" s="1"/>
      <c r="I102" s="304" t="s">
        <v>274</v>
      </c>
      <c r="J102" s="79"/>
      <c r="K102" s="237"/>
      <c r="L102" s="80"/>
      <c r="M102" s="16"/>
      <c r="O102" s="263"/>
      <c r="P102" s="268" t="s">
        <v>275</v>
      </c>
      <c r="Q102" s="148">
        <v>0.8</v>
      </c>
      <c r="R102" s="264"/>
    </row>
    <row r="103" spans="2:18" s="12" customFormat="1" ht="15" x14ac:dyDescent="0.35">
      <c r="B103" s="33"/>
      <c r="C103" s="164"/>
      <c r="D103" s="166" t="s">
        <v>151</v>
      </c>
      <c r="E103" s="166" t="s">
        <v>140</v>
      </c>
      <c r="F103" s="164" t="s">
        <v>268</v>
      </c>
      <c r="G103" s="1"/>
      <c r="H103" s="1"/>
      <c r="I103" s="43"/>
      <c r="J103" s="129"/>
      <c r="K103" s="165" t="s">
        <v>276</v>
      </c>
      <c r="L103" s="48"/>
      <c r="M103" s="16"/>
      <c r="O103" s="263"/>
      <c r="P103" s="268" t="s">
        <v>277</v>
      </c>
      <c r="Q103" s="148">
        <v>0.1</v>
      </c>
      <c r="R103" s="264"/>
    </row>
    <row r="104" spans="2:18" s="12" customFormat="1" ht="15" x14ac:dyDescent="0.35">
      <c r="B104" s="33"/>
      <c r="C104" s="164" t="s">
        <v>278</v>
      </c>
      <c r="D104" s="141" t="s">
        <v>279</v>
      </c>
      <c r="E104" s="146"/>
      <c r="F104" s="70" cm="1">
        <f t="array" ref="F104">IFERROR(E104*'Reference values'!D$49*HHV_to_LHV_Table[Conversion factor], "")</f>
        <v>0</v>
      </c>
      <c r="G104" s="1"/>
      <c r="H104" s="1"/>
      <c r="I104" s="43"/>
      <c r="J104" s="164" t="s">
        <v>280</v>
      </c>
      <c r="K104" s="31">
        <f>Q169</f>
        <v>0</v>
      </c>
      <c r="L104" s="48"/>
      <c r="M104" s="16"/>
      <c r="O104" s="263"/>
      <c r="P104" s="268" t="s">
        <v>281</v>
      </c>
      <c r="Q104" s="148">
        <v>0.15</v>
      </c>
      <c r="R104" s="264"/>
    </row>
    <row r="105" spans="2:18" s="12" customFormat="1" ht="15" x14ac:dyDescent="0.35">
      <c r="B105" s="33"/>
      <c r="C105" s="164" t="s">
        <v>282</v>
      </c>
      <c r="D105" s="141" t="s">
        <v>279</v>
      </c>
      <c r="E105" s="146"/>
      <c r="F105" s="70" cm="1">
        <f t="array" ref="F105">IFERROR(E105*'Reference values'!D$49*HHV_to_LHV_Table[Conversion factor], "")</f>
        <v>0</v>
      </c>
      <c r="G105" s="672"/>
      <c r="H105" s="1"/>
      <c r="I105" s="43"/>
      <c r="J105" s="164" t="s">
        <v>283</v>
      </c>
      <c r="K105" s="31">
        <f>Q170</f>
        <v>0</v>
      </c>
      <c r="L105" s="48"/>
      <c r="M105" s="16"/>
      <c r="O105" s="263"/>
      <c r="P105" s="260"/>
      <c r="Q105" s="260"/>
      <c r="R105" s="264"/>
    </row>
    <row r="106" spans="2:18" s="12" customFormat="1" ht="15" x14ac:dyDescent="0.35">
      <c r="B106" s="33"/>
      <c r="C106" s="164" t="s">
        <v>284</v>
      </c>
      <c r="D106" s="141" t="s">
        <v>279</v>
      </c>
      <c r="E106" s="431" t="str">
        <f>IF(E104-E105&gt;0, E104-E105, "")</f>
        <v/>
      </c>
      <c r="F106" s="70" cm="1">
        <f t="array" ref="F106">IFERROR(E106*'Reference values'!D$49*HHV_to_LHV_Table[Conversion factor], 0)</f>
        <v>0</v>
      </c>
      <c r="G106" s="76"/>
      <c r="H106" s="1"/>
      <c r="I106" s="43"/>
      <c r="J106" s="164" t="s">
        <v>285</v>
      </c>
      <c r="K106" s="31">
        <f>Q171</f>
        <v>0</v>
      </c>
      <c r="L106" s="48"/>
      <c r="M106" s="16"/>
      <c r="O106" s="263"/>
      <c r="P106" s="270" t="s">
        <v>286</v>
      </c>
      <c r="Q106" s="260"/>
      <c r="R106" s="264"/>
    </row>
    <row r="107" spans="2:18" s="12" customFormat="1" ht="15" x14ac:dyDescent="0.35">
      <c r="B107" s="33"/>
      <c r="C107" s="401"/>
      <c r="D107" s="306"/>
      <c r="E107" s="430"/>
      <c r="F107" s="76"/>
      <c r="G107" s="1"/>
      <c r="H107" s="1"/>
      <c r="I107" s="43"/>
      <c r="J107" s="164" t="s">
        <v>287</v>
      </c>
      <c r="K107" s="31">
        <f>Q172</f>
        <v>0</v>
      </c>
      <c r="L107" s="48"/>
      <c r="M107" s="16"/>
      <c r="O107" s="263"/>
      <c r="P107" s="268" t="s">
        <v>288</v>
      </c>
      <c r="Q107" s="74">
        <f>Sum_theoretical_methane*(1-G154)*(1-'Final conversion'!F20)*(1-'Final conversion'!F24)*Q102</f>
        <v>0</v>
      </c>
      <c r="R107" s="264"/>
    </row>
    <row r="108" spans="2:18" s="12" customFormat="1" ht="15" x14ac:dyDescent="0.35">
      <c r="B108" s="33"/>
      <c r="C108" s="25" t="s">
        <v>289</v>
      </c>
      <c r="G108" s="229" t="str">
        <f>IF(AND(NOT(ISBLANK(E106)),ISBLANK(D106)),"Insert unit","")</f>
        <v/>
      </c>
      <c r="H108" s="1"/>
      <c r="I108" s="43"/>
      <c r="J108" s="129"/>
      <c r="K108" s="165" t="s">
        <v>195</v>
      </c>
      <c r="L108" s="48"/>
      <c r="M108" s="16"/>
      <c r="O108" s="263"/>
      <c r="P108" s="268" t="s">
        <v>290</v>
      </c>
      <c r="Q108" s="74">
        <f>Q107*INDEX(Fuel_Densities,MATCH("Methane (NTP)",Fuels_for_Densities,0))*INDEX(Fuel_LHV,MATCH("Methane (NTP)",Fuels_for_LHV,0))/'Reference values'!D49</f>
        <v>0</v>
      </c>
      <c r="R108" s="264"/>
    </row>
    <row r="109" spans="2:18" s="12" customFormat="1" ht="15" x14ac:dyDescent="0.35">
      <c r="B109" s="33"/>
      <c r="C109" s="164" t="s">
        <v>291</v>
      </c>
      <c r="D109" s="134"/>
      <c r="E109" s="1"/>
      <c r="F109" s="25"/>
      <c r="G109" s="1"/>
      <c r="H109" s="1"/>
      <c r="I109" s="43"/>
      <c r="J109" s="164" t="s">
        <v>292</v>
      </c>
      <c r="K109" s="75">
        <f>IFERROR(IFERROR(F127,0)/(IFERROR(F127,0)+IFERROR(F129*E131,0)),0)</f>
        <v>0</v>
      </c>
      <c r="L109" s="48"/>
      <c r="M109" s="16"/>
      <c r="O109" s="263"/>
      <c r="P109" s="270" t="s">
        <v>293</v>
      </c>
      <c r="Q109" s="260"/>
      <c r="R109" s="264"/>
    </row>
    <row r="110" spans="2:18" s="12" customFormat="1" ht="15" x14ac:dyDescent="0.35">
      <c r="B110" s="33"/>
      <c r="C110" s="164"/>
      <c r="D110" s="166" t="s">
        <v>151</v>
      </c>
      <c r="E110" s="166" t="s">
        <v>140</v>
      </c>
      <c r="F110" s="164" t="s">
        <v>233</v>
      </c>
      <c r="G110" s="1"/>
      <c r="H110" s="1"/>
      <c r="I110" s="43"/>
      <c r="J110" s="164" t="s">
        <v>294</v>
      </c>
      <c r="K110" s="75">
        <f>IFERROR(IFERROR(F129*E131,0)/(IFERROR(F127,0)+IFERROR(F129*E131,0)),0)</f>
        <v>0</v>
      </c>
      <c r="L110" s="48"/>
      <c r="M110" s="16"/>
      <c r="O110" s="263"/>
      <c r="P110" s="268" t="s">
        <v>295</v>
      </c>
      <c r="Q110" s="74">
        <f>(Q112*'Reference values'!D49)/Q111/'Reference values'!D42</f>
        <v>0</v>
      </c>
      <c r="R110" s="264"/>
    </row>
    <row r="111" spans="2:18" s="12" customFormat="1" ht="15" x14ac:dyDescent="0.35">
      <c r="B111" s="33"/>
      <c r="C111" s="164" t="s">
        <v>296</v>
      </c>
      <c r="D111" s="141" t="s">
        <v>297</v>
      </c>
      <c r="E111" s="146">
        <v>15000</v>
      </c>
      <c r="F111" s="70">
        <f>IF(D86="no", "", IF(D109="biogas in", E111*E112*E113, F115/Q111))</f>
        <v>0</v>
      </c>
      <c r="H111" s="1"/>
      <c r="I111" s="49"/>
      <c r="J111" s="65"/>
      <c r="K111" s="65"/>
      <c r="L111" s="130"/>
      <c r="M111" s="16"/>
      <c r="O111" s="263"/>
      <c r="P111" s="268" t="s">
        <v>298</v>
      </c>
      <c r="Q111" s="148">
        <v>0.9</v>
      </c>
      <c r="R111" s="264"/>
    </row>
    <row r="112" spans="2:18" s="12" customFormat="1" ht="15" x14ac:dyDescent="0.35">
      <c r="B112" s="33"/>
      <c r="C112" s="165" t="s">
        <v>299</v>
      </c>
      <c r="D112" s="141" t="s">
        <v>271</v>
      </c>
      <c r="E112" s="148">
        <v>0.55000000000000004</v>
      </c>
      <c r="F112" s="70" t="s">
        <v>300</v>
      </c>
      <c r="H112" s="1"/>
      <c r="M112" s="16"/>
      <c r="O112" s="263"/>
      <c r="P112" s="268" t="s">
        <v>301</v>
      </c>
      <c r="Q112" s="74">
        <f>(Sum_theoretical_methane*(1-G154)*'Reference values'!D30*'Reference values'!D16/'Reference values'!D49*Q111)*Q103</f>
        <v>0</v>
      </c>
      <c r="R112" s="264"/>
    </row>
    <row r="113" spans="2:20" s="12" customFormat="1" ht="15" x14ac:dyDescent="0.35">
      <c r="B113" s="33"/>
      <c r="C113" s="164" t="s">
        <v>302</v>
      </c>
      <c r="D113" s="141" t="s">
        <v>303</v>
      </c>
      <c r="E113" s="629">
        <f>'Reference values'!D30*'Reference values'!D16</f>
        <v>33.4</v>
      </c>
      <c r="F113" s="70" t="s">
        <v>300</v>
      </c>
      <c r="H113" s="1"/>
      <c r="M113" s="16"/>
      <c r="O113" s="263"/>
      <c r="P113" s="270" t="s">
        <v>304</v>
      </c>
      <c r="Q113" s="260"/>
      <c r="R113" s="264"/>
    </row>
    <row r="114" spans="2:20" s="12" customFormat="1" ht="15" x14ac:dyDescent="0.35">
      <c r="B114" s="33"/>
      <c r="C114" s="164"/>
      <c r="D114" s="141"/>
      <c r="E114" s="524"/>
      <c r="F114" s="70"/>
      <c r="H114" s="1"/>
      <c r="M114" s="16"/>
      <c r="O114" s="263"/>
      <c r="P114" s="268" t="s">
        <v>305</v>
      </c>
      <c r="Q114" s="74">
        <f>(Q116*'Reference values'!D49)/Q115/'Reference values'!D42</f>
        <v>0</v>
      </c>
      <c r="R114" s="264"/>
    </row>
    <row r="115" spans="2:20" s="12" customFormat="1" ht="15" x14ac:dyDescent="0.35">
      <c r="B115" s="33"/>
      <c r="C115" s="164" t="s">
        <v>306</v>
      </c>
      <c r="D115" s="141" t="s">
        <v>307</v>
      </c>
      <c r="E115" s="146"/>
      <c r="F115" s="70">
        <f>IFERROR(IF($D$86 = "no", "",IF(D115="kWh",E115*'Reference values'!$D$49,IF(D115="MWh",E115*'Reference values'!$D$47,""))), 0)</f>
        <v>0</v>
      </c>
      <c r="G115" s="418" t="str">
        <f>IF(F115&gt;F111, "Warning: heat generated cannot be higher than biogas to boiler", "")</f>
        <v/>
      </c>
      <c r="H115" s="1"/>
      <c r="M115" s="16"/>
      <c r="O115" s="263"/>
      <c r="P115" s="268" t="s">
        <v>308</v>
      </c>
      <c r="Q115" s="148">
        <v>0.39900000000000002</v>
      </c>
      <c r="R115" s="264"/>
    </row>
    <row r="116" spans="2:20" s="12" customFormat="1" ht="15" x14ac:dyDescent="0.35">
      <c r="B116" s="33"/>
      <c r="C116" s="166" t="s">
        <v>309</v>
      </c>
      <c r="D116" s="141" t="s">
        <v>307</v>
      </c>
      <c r="E116" s="146"/>
      <c r="F116" s="70">
        <f>IFERROR(IF($D$86 = "no", "",IF(D116="kWh",E116*'Reference values'!$D$49,IF(D116="MWh",E116*'Reference values'!$D$47,""))), 0)</f>
        <v>0</v>
      </c>
      <c r="G116" s="229" t="str">
        <f>IF(D86="yes", IF(AND(OR($E$117&gt;0),(ISBLANK(E116))),"Insert data",IF(AND(NOT(ISBLANK(E116)),ISBLANK(D116)),"Insert unit","")), "")</f>
        <v/>
      </c>
      <c r="H116" s="1"/>
      <c r="J116" s="418" t="str">
        <f>IF(F116&gt;F115, "Warning: exported heat cannot be higher than generated heat", "")</f>
        <v/>
      </c>
      <c r="M116" s="16"/>
      <c r="O116" s="263"/>
      <c r="P116" s="268" t="s">
        <v>310</v>
      </c>
      <c r="Q116" s="74">
        <f>(Sum_theoretical_methane*(1-G154)*'Reference values'!D30*'Reference values'!D16/'Reference values'!D49*Q115)*Q104</f>
        <v>0</v>
      </c>
      <c r="R116" s="264"/>
    </row>
    <row r="117" spans="2:20" s="12" customFormat="1" ht="15" x14ac:dyDescent="0.35">
      <c r="B117" s="33"/>
      <c r="C117" s="164" t="s">
        <v>311</v>
      </c>
      <c r="D117" s="141" t="s">
        <v>312</v>
      </c>
      <c r="E117" s="146">
        <v>85</v>
      </c>
      <c r="F117" s="70" t="s">
        <v>300</v>
      </c>
      <c r="G117" s="229" t="str">
        <f>IF(AND(OR($E$116&gt;0),(ISBLANK(E117))),"Insert data",IF(AND(NOT(ISBLANK(E117)),ISBLANK(D117)),"Insert unit",""))</f>
        <v/>
      </c>
      <c r="H117" s="1"/>
      <c r="M117" s="16"/>
      <c r="O117" s="263"/>
      <c r="P117" s="268" t="s">
        <v>298</v>
      </c>
      <c r="Q117" s="148">
        <v>0.44</v>
      </c>
      <c r="R117" s="264"/>
    </row>
    <row r="118" spans="2:20" s="12" customFormat="1" ht="15" x14ac:dyDescent="0.35">
      <c r="B118" s="33"/>
      <c r="C118" s="164" t="s">
        <v>313</v>
      </c>
      <c r="D118" s="74" t="s">
        <v>271</v>
      </c>
      <c r="E118" s="225">
        <f>IF(D117="°C",IF(E117&lt;150,0.3456,(E117)/(E117+273)),IF(D117="°K",IF(E117&lt;423,0.3456,(E117-273)/E117),""))</f>
        <v>0.34560000000000002</v>
      </c>
      <c r="H118" s="1"/>
      <c r="M118" s="16"/>
      <c r="O118" s="263"/>
      <c r="P118" s="268" t="s">
        <v>301</v>
      </c>
      <c r="Q118" s="74">
        <f>(Sum_theoretical_methane*(1-G154)*'Reference values'!D30*'Reference values'!D16/'Reference values'!D49*Q117)*Q104</f>
        <v>0</v>
      </c>
      <c r="R118" s="264"/>
    </row>
    <row r="119" spans="2:20" s="12" customFormat="1" ht="15" x14ac:dyDescent="0.35">
      <c r="B119" s="33"/>
      <c r="C119" s="1"/>
      <c r="D119" s="1"/>
      <c r="E119" s="1"/>
      <c r="F119" s="1"/>
      <c r="G119" s="1"/>
      <c r="H119" s="1"/>
      <c r="I119" s="1"/>
      <c r="J119" s="1"/>
      <c r="M119" s="16"/>
      <c r="O119" s="265"/>
      <c r="P119" s="266"/>
      <c r="Q119" s="266"/>
      <c r="R119" s="267"/>
    </row>
    <row r="120" spans="2:20" s="12" customFormat="1" ht="15" x14ac:dyDescent="0.35">
      <c r="B120" s="33"/>
      <c r="C120" s="25" t="s">
        <v>314</v>
      </c>
      <c r="D120" s="1"/>
      <c r="E120" s="1"/>
      <c r="F120" s="1"/>
      <c r="G120" s="1"/>
      <c r="H120" s="1"/>
      <c r="I120" s="1"/>
      <c r="J120" s="1"/>
      <c r="K120" s="1"/>
      <c r="L120" s="1"/>
      <c r="M120" s="16"/>
    </row>
    <row r="121" spans="2:20" s="12" customFormat="1" ht="15" x14ac:dyDescent="0.35">
      <c r="B121" s="33"/>
      <c r="C121" s="164" t="s">
        <v>315</v>
      </c>
      <c r="D121" s="134"/>
      <c r="F121" s="1"/>
      <c r="G121" s="1"/>
      <c r="H121" s="1"/>
      <c r="I121" s="1"/>
      <c r="J121" s="1"/>
      <c r="K121" s="1"/>
      <c r="L121" s="1"/>
      <c r="M121" s="16"/>
    </row>
    <row r="122" spans="2:20" s="12" customFormat="1" ht="15" x14ac:dyDescent="0.35">
      <c r="B122" s="33"/>
      <c r="C122" s="164"/>
      <c r="D122" s="166" t="s">
        <v>151</v>
      </c>
      <c r="E122" s="166" t="s">
        <v>140</v>
      </c>
      <c r="F122" s="164" t="s">
        <v>233</v>
      </c>
      <c r="G122" s="1"/>
      <c r="H122" s="1"/>
      <c r="I122" s="1"/>
      <c r="J122" s="1"/>
      <c r="K122" s="1"/>
      <c r="L122" s="1"/>
      <c r="M122" s="16"/>
    </row>
    <row r="123" spans="2:20" s="12" customFormat="1" ht="15" x14ac:dyDescent="0.35">
      <c r="B123" s="33"/>
      <c r="C123" s="164" t="s">
        <v>316</v>
      </c>
      <c r="D123" s="141" t="s">
        <v>297</v>
      </c>
      <c r="E123" s="146">
        <v>350000</v>
      </c>
      <c r="F123" s="70">
        <f>IF(D87="no",0,IF(D121="biogas in",E123*E124*E125,IF(D121="electricity out",F126/Q115,IF(D121="heat out",F128/Q117,(F126+F128)/(Q115+Q117)))))</f>
        <v>0</v>
      </c>
      <c r="G123" s="418" t="str">
        <f>IFERROR(IF((F126+F128)&gt;F123, "Warning: energy generated cannot be higher than biogas to CHP", ""), "")</f>
        <v/>
      </c>
      <c r="H123" s="1"/>
      <c r="I123" s="1"/>
      <c r="J123" s="1"/>
      <c r="K123" s="1"/>
      <c r="L123" s="1"/>
      <c r="M123" s="16"/>
    </row>
    <row r="124" spans="2:20" s="12" customFormat="1" ht="15" x14ac:dyDescent="0.35">
      <c r="B124" s="33"/>
      <c r="C124" s="165" t="s">
        <v>317</v>
      </c>
      <c r="D124" s="141" t="s">
        <v>271</v>
      </c>
      <c r="E124" s="148">
        <v>0.55000000000000004</v>
      </c>
      <c r="F124" s="70" t="s">
        <v>300</v>
      </c>
      <c r="G124" s="1"/>
      <c r="H124" s="1"/>
      <c r="I124" s="1"/>
      <c r="J124" s="1"/>
      <c r="K124" s="1"/>
      <c r="L124" s="1"/>
      <c r="M124" s="16"/>
    </row>
    <row r="125" spans="2:20" s="12" customFormat="1" ht="15" x14ac:dyDescent="0.35">
      <c r="B125" s="33"/>
      <c r="C125" s="164" t="s">
        <v>318</v>
      </c>
      <c r="D125" s="141" t="s">
        <v>303</v>
      </c>
      <c r="E125" s="629">
        <f>'Reference values'!D30*'Reference values'!D16</f>
        <v>33.4</v>
      </c>
      <c r="F125" s="70" t="s">
        <v>300</v>
      </c>
      <c r="G125" s="1"/>
      <c r="H125" s="1"/>
      <c r="I125" s="1"/>
      <c r="J125" s="1"/>
      <c r="K125" s="1"/>
      <c r="L125" s="1"/>
      <c r="M125" s="16"/>
    </row>
    <row r="126" spans="2:20" s="12" customFormat="1" ht="14.25" customHeight="1" x14ac:dyDescent="0.35">
      <c r="B126" s="33"/>
      <c r="C126" s="164" t="s">
        <v>319</v>
      </c>
      <c r="D126" s="141" t="s">
        <v>307</v>
      </c>
      <c r="E126" s="146"/>
      <c r="F126" s="70">
        <f>IFERROR(IF($D$87="no", "", (IF(D126="kWh",E126*'Reference values'!$D$49,IF(D126="MWh",E126*'Reference values'!$D$47,"")))), 0)</f>
        <v>0</v>
      </c>
      <c r="G126" s="229" t="str">
        <f>IF(AND(OR($E$126&gt;0,$E$127&gt;0),(ISBLANK(E126))),"Insert data",IF(AND(NOT(ISBLANK(E126)),ISBLANK(D126)),"Insert unit",""))</f>
        <v/>
      </c>
      <c r="H126" s="76"/>
      <c r="I126" s="76"/>
      <c r="J126" s="1"/>
      <c r="K126" s="1"/>
      <c r="L126" s="1"/>
      <c r="M126" s="16"/>
    </row>
    <row r="127" spans="2:20" s="12" customFormat="1" ht="15" x14ac:dyDescent="0.35">
      <c r="B127" s="33"/>
      <c r="C127" s="165" t="s">
        <v>320</v>
      </c>
      <c r="D127" s="141" t="s">
        <v>307</v>
      </c>
      <c r="E127" s="146"/>
      <c r="F127" s="70">
        <f>IFERROR(IF($D$87="no", "", (IF(D127="kWh",E127*'Reference values'!$D$49,IF(D127="MWh",E127*'Reference values'!$D$47,"")))), 0)</f>
        <v>0</v>
      </c>
      <c r="G127" s="229" t="str">
        <f>IF(AND(NOT(ISBLANK(E127)),ISBLANK(D127)),"Insert unit","")</f>
        <v/>
      </c>
      <c r="H127" s="1"/>
      <c r="I127" s="1"/>
      <c r="J127" s="432" t="str">
        <f>IF(F127&gt;F126,"Warning: exported electricity cannot be higher than generated electricity", "")</f>
        <v/>
      </c>
      <c r="K127" s="76"/>
      <c r="L127" s="1"/>
      <c r="M127" s="16"/>
      <c r="S127" s="269"/>
      <c r="T127" s="269"/>
    </row>
    <row r="128" spans="2:20" s="12" customFormat="1" ht="14.25" customHeight="1" x14ac:dyDescent="0.35">
      <c r="B128" s="33"/>
      <c r="C128" s="164" t="s">
        <v>306</v>
      </c>
      <c r="D128" s="141" t="s">
        <v>307</v>
      </c>
      <c r="E128" s="146"/>
      <c r="F128" s="70">
        <f>IFERROR(IF($D$87="no", "", (IF(D128="kWh",E128*'Reference values'!$D$49,IF(D128="MWh",E128*'Reference values'!$D$47,"")))), 0)</f>
        <v>0</v>
      </c>
      <c r="G128" s="229"/>
      <c r="H128" s="1"/>
      <c r="I128" s="1"/>
      <c r="J128" s="1"/>
      <c r="K128" s="1"/>
      <c r="L128" s="1"/>
      <c r="M128" s="16"/>
    </row>
    <row r="129" spans="2:21" s="12" customFormat="1" ht="15" x14ac:dyDescent="0.35">
      <c r="B129" s="33"/>
      <c r="C129" s="166" t="s">
        <v>321</v>
      </c>
      <c r="D129" s="141" t="s">
        <v>307</v>
      </c>
      <c r="E129" s="146"/>
      <c r="F129" s="70">
        <f>IFERROR(IF($D$87="no", "", (IF(D129="kWh",E129*'Reference values'!$D$49,IF(D129="MWh",E129*'Reference values'!$D$47,"")))), 0)</f>
        <v>0</v>
      </c>
      <c r="G129" s="229"/>
      <c r="H129" s="1"/>
      <c r="I129" s="1"/>
      <c r="J129" s="432" t="str">
        <f>IF(F129&gt;F128, "Warning: exported heat cannot be higher than generated heat", "")</f>
        <v/>
      </c>
      <c r="K129" s="1"/>
      <c r="L129" s="1"/>
      <c r="M129" s="16"/>
    </row>
    <row r="130" spans="2:21" s="12" customFormat="1" ht="15" x14ac:dyDescent="0.35">
      <c r="B130" s="33"/>
      <c r="C130" s="164" t="s">
        <v>311</v>
      </c>
      <c r="D130" s="141" t="s">
        <v>312</v>
      </c>
      <c r="E130" s="146">
        <v>85</v>
      </c>
      <c r="F130" s="70" t="s">
        <v>300</v>
      </c>
      <c r="G130" s="229" t="str">
        <f>IF(AND(OR($E$129&gt;0),(ISBLANK(E130))),"Insert data",IF(AND(NOT(ISBLANK(E130)),ISBLANK(D130)),"Insert unit",""))</f>
        <v/>
      </c>
      <c r="H130" s="1"/>
      <c r="I130" s="1"/>
      <c r="J130" s="1"/>
      <c r="K130" s="1"/>
      <c r="L130" s="1"/>
      <c r="M130" s="16"/>
    </row>
    <row r="131" spans="2:21" s="12" customFormat="1" ht="15" x14ac:dyDescent="0.35">
      <c r="B131" s="33"/>
      <c r="C131" s="164" t="s">
        <v>313</v>
      </c>
      <c r="D131" s="74" t="s">
        <v>271</v>
      </c>
      <c r="E131" s="225">
        <f>IF(D130="°C",IF(E130&lt;150,0.3456,(E130)/(E130+273)),IF(D130="°K",IF(E130&lt;423,0.3456,(E130-273)/E130),""))</f>
        <v>0.34560000000000002</v>
      </c>
      <c r="G131" s="1"/>
      <c r="H131" s="1"/>
      <c r="I131" s="1"/>
      <c r="K131" s="1"/>
      <c r="L131" s="1"/>
      <c r="M131" s="16"/>
    </row>
    <row r="132" spans="2:21" s="12" customFormat="1" ht="15" x14ac:dyDescent="0.35">
      <c r="B132" s="33"/>
      <c r="C132" s="401"/>
      <c r="D132" s="55"/>
      <c r="E132" s="630"/>
      <c r="G132" s="1"/>
      <c r="H132" s="1"/>
      <c r="I132" s="1"/>
      <c r="K132" s="1"/>
      <c r="L132" s="1"/>
      <c r="M132" s="16"/>
    </row>
    <row r="133" spans="2:21" s="12" customFormat="1" ht="15" x14ac:dyDescent="0.35">
      <c r="B133" s="33"/>
      <c r="C133" s="243" t="s">
        <v>322</v>
      </c>
      <c r="D133" s="21"/>
      <c r="E133" s="21"/>
      <c r="F133" s="21"/>
      <c r="G133" s="1"/>
      <c r="H133" s="1"/>
      <c r="I133" s="1"/>
      <c r="K133" s="1"/>
      <c r="L133" s="1"/>
      <c r="M133" s="16"/>
    </row>
    <row r="134" spans="2:21" s="12" customFormat="1" ht="15" x14ac:dyDescent="0.35">
      <c r="B134" s="33"/>
      <c r="C134" s="799"/>
      <c r="D134" s="800"/>
      <c r="E134" s="384"/>
      <c r="F134" s="384" t="s">
        <v>233</v>
      </c>
      <c r="G134" s="1"/>
      <c r="H134" s="1"/>
      <c r="I134" s="1"/>
      <c r="K134" s="1"/>
      <c r="L134" s="1"/>
      <c r="M134" s="16"/>
    </row>
    <row r="135" spans="2:21" s="12" customFormat="1" ht="15" x14ac:dyDescent="0.35">
      <c r="B135" s="33"/>
      <c r="C135" s="801" t="s">
        <v>323</v>
      </c>
      <c r="D135" s="800"/>
      <c r="E135" s="631" t="s">
        <v>324</v>
      </c>
      <c r="F135" s="632">
        <f>IF(E138="energy consumed",(E139*'Reference values'!D49),IF(E138="volume of gas consumed",(E140*'Reference values'!D42),IF(E138="hours of operation",(E141*E142*'Reference values'!D42),0)))</f>
        <v>0</v>
      </c>
      <c r="G135" s="1"/>
      <c r="H135" s="1"/>
      <c r="I135" s="1"/>
      <c r="K135" s="1"/>
      <c r="L135" s="1"/>
      <c r="M135" s="16"/>
    </row>
    <row r="136" spans="2:21" s="12" customFormat="1" ht="15" x14ac:dyDescent="0.35">
      <c r="B136" s="33"/>
      <c r="C136" s="21"/>
      <c r="D136" s="157"/>
      <c r="E136" s="633"/>
      <c r="F136" s="634"/>
      <c r="G136" s="1"/>
      <c r="H136" s="1"/>
      <c r="I136" s="1"/>
      <c r="K136" s="1"/>
      <c r="L136" s="1"/>
      <c r="M136" s="16"/>
    </row>
    <row r="137" spans="2:21" s="12" customFormat="1" ht="15" x14ac:dyDescent="0.35">
      <c r="B137" s="33"/>
      <c r="C137" s="243" t="s">
        <v>325</v>
      </c>
      <c r="D137" s="635"/>
      <c r="E137" s="634"/>
      <c r="F137" s="634"/>
      <c r="G137" s="1"/>
      <c r="H137" s="1"/>
      <c r="I137" s="1"/>
      <c r="K137" s="1"/>
      <c r="L137" s="1"/>
      <c r="M137" s="16"/>
    </row>
    <row r="138" spans="2:21" s="12" customFormat="1" ht="15" x14ac:dyDescent="0.35">
      <c r="B138" s="33"/>
      <c r="C138" s="797" t="s">
        <v>326</v>
      </c>
      <c r="D138" s="798"/>
      <c r="E138" s="636"/>
      <c r="F138" s="418" t="str">
        <f>IF(D92="no", IF(ISBLANK(E138), "Please select an answer", ""), "")</f>
        <v/>
      </c>
      <c r="G138" s="1"/>
      <c r="H138" s="1"/>
      <c r="I138" s="1"/>
      <c r="K138" s="1"/>
      <c r="L138" s="1"/>
      <c r="M138" s="16"/>
    </row>
    <row r="139" spans="2:21" s="12" customFormat="1" ht="15" x14ac:dyDescent="0.35">
      <c r="B139" s="33"/>
      <c r="C139" s="384" t="s">
        <v>327</v>
      </c>
      <c r="D139" s="631" t="s">
        <v>307</v>
      </c>
      <c r="E139" s="636"/>
      <c r="F139" s="634"/>
      <c r="G139" s="1"/>
      <c r="H139" s="1"/>
      <c r="I139" s="1"/>
      <c r="K139" s="1"/>
      <c r="L139" s="1"/>
      <c r="M139" s="16"/>
    </row>
    <row r="140" spans="2:21" s="12" customFormat="1" ht="15" x14ac:dyDescent="0.35">
      <c r="B140" s="33"/>
      <c r="C140" s="384" t="s">
        <v>328</v>
      </c>
      <c r="D140" s="631" t="s">
        <v>269</v>
      </c>
      <c r="E140" s="637"/>
      <c r="F140" s="634"/>
      <c r="G140" s="1"/>
      <c r="H140" s="1"/>
      <c r="I140" s="1"/>
      <c r="K140" s="1"/>
      <c r="L140" s="1"/>
      <c r="M140" s="16"/>
    </row>
    <row r="141" spans="2:21" s="12" customFormat="1" ht="15" x14ac:dyDescent="0.35">
      <c r="B141" s="33"/>
      <c r="C141" s="384" t="s">
        <v>329</v>
      </c>
      <c r="D141" s="631" t="s">
        <v>330</v>
      </c>
      <c r="E141" s="637"/>
      <c r="F141" s="634"/>
      <c r="G141" s="1"/>
      <c r="H141" s="1"/>
      <c r="I141" s="1"/>
      <c r="K141" s="1"/>
      <c r="L141" s="1"/>
      <c r="M141" s="16"/>
    </row>
    <row r="142" spans="2:21" s="12" customFormat="1" ht="15" x14ac:dyDescent="0.35">
      <c r="B142" s="33"/>
      <c r="C142" s="384" t="s">
        <v>331</v>
      </c>
      <c r="D142" s="631" t="s">
        <v>332</v>
      </c>
      <c r="E142" s="637"/>
      <c r="F142" s="634"/>
      <c r="G142" s="1"/>
      <c r="H142" s="1"/>
      <c r="I142" s="1"/>
      <c r="K142" s="1"/>
      <c r="L142" s="1"/>
      <c r="M142" s="16"/>
      <c r="O142" s="305" t="s">
        <v>333</v>
      </c>
      <c r="P142" s="249"/>
      <c r="Q142" s="249"/>
      <c r="R142" s="249"/>
      <c r="S142" s="249"/>
      <c r="T142" s="249"/>
      <c r="U142" s="255"/>
    </row>
    <row r="143" spans="2:21" s="12" customFormat="1" ht="15" customHeight="1" x14ac:dyDescent="0.35">
      <c r="B143" s="33"/>
      <c r="G143" s="1"/>
      <c r="H143" s="1"/>
      <c r="J143" s="1"/>
      <c r="M143" s="16"/>
      <c r="O143" s="250"/>
      <c r="P143" s="251"/>
      <c r="Q143" s="780" t="s">
        <v>334</v>
      </c>
      <c r="R143" s="273"/>
      <c r="S143" s="781" t="s">
        <v>335</v>
      </c>
      <c r="T143" s="782"/>
      <c r="U143" s="256"/>
    </row>
    <row r="144" spans="2:21" s="12" customFormat="1" ht="15" customHeight="1" x14ac:dyDescent="0.35">
      <c r="B144" s="33"/>
      <c r="C144" s="25" t="s">
        <v>250</v>
      </c>
      <c r="D144" s="1"/>
      <c r="E144" s="1"/>
      <c r="F144" s="1"/>
      <c r="G144" s="670"/>
      <c r="H144" s="1"/>
      <c r="J144" s="1"/>
      <c r="M144" s="16"/>
      <c r="O144" s="250"/>
      <c r="P144" s="251"/>
      <c r="Q144" s="780"/>
      <c r="R144" s="273"/>
      <c r="S144" s="783"/>
      <c r="T144" s="784"/>
      <c r="U144" s="256"/>
    </row>
    <row r="145" spans="2:21" s="12" customFormat="1" ht="15" x14ac:dyDescent="0.35">
      <c r="B145" s="33"/>
      <c r="C145" s="173"/>
      <c r="D145" s="164" t="s">
        <v>151</v>
      </c>
      <c r="E145" s="164" t="s">
        <v>140</v>
      </c>
      <c r="F145" s="164" t="s">
        <v>336</v>
      </c>
      <c r="G145" s="164" t="s">
        <v>233</v>
      </c>
      <c r="H145" s="1"/>
      <c r="I145" s="1"/>
      <c r="J145" s="1"/>
      <c r="K145" s="164" t="s">
        <v>337</v>
      </c>
      <c r="M145" s="16"/>
      <c r="O145" s="250"/>
      <c r="P145" s="251"/>
      <c r="Q145" s="780"/>
      <c r="R145" s="273"/>
      <c r="S145" s="783"/>
      <c r="T145" s="784"/>
      <c r="U145" s="256"/>
    </row>
    <row r="146" spans="2:21" s="12" customFormat="1" ht="14.25" customHeight="1" x14ac:dyDescent="0.35">
      <c r="B146" s="33"/>
      <c r="C146" s="164" t="s">
        <v>338</v>
      </c>
      <c r="D146" s="141" t="s">
        <v>181</v>
      </c>
      <c r="E146" s="147"/>
      <c r="F146" s="148"/>
      <c r="G146" s="74">
        <f>IFERROR(IF((INDEX(Digestate_LHV,MATCH(0,Digestate_moisture_content,0))*F146 -(1-F146)*2.441)*E146*1000&lt;0,0,(INDEX(Digestate_LHV,MATCH(0,Digestate_moisture_content,0))*F146-(1-F146)*2.441)*E146*1000),0)</f>
        <v>0</v>
      </c>
      <c r="H146" s="1"/>
      <c r="I146" s="1"/>
      <c r="K146" s="74">
        <f>IF($D$95="no",0,IFERROR(IF((INDEX(Digestate_LHV,MATCH(0,Digestate_moisture_content,0))*F146-(1-F146)*2.441)*('Digestion &amp; outputs'!E146-((E146/(E146+E147+E148))*Total_digestate_used))*1000&lt;0,0,(INDEX(Digestate_LHV,MATCH(0,Digestate_moisture_content,0))*F146-(1-F146)*2.441)*('Digestion &amp; outputs'!E146-((E146/(E146+E147+E148))*Total_digestate_used))*1000),0))</f>
        <v>0</v>
      </c>
      <c r="M146" s="16"/>
      <c r="O146" s="250"/>
      <c r="P146" s="169" t="s">
        <v>339</v>
      </c>
      <c r="Q146" s="247">
        <f>IFERROR(F106/'Final conversion'!E11,0)</f>
        <v>0</v>
      </c>
      <c r="R146" s="273"/>
      <c r="S146" s="783"/>
      <c r="T146" s="784"/>
      <c r="U146" s="256"/>
    </row>
    <row r="147" spans="2:21" s="12" customFormat="1" ht="15" x14ac:dyDescent="0.35">
      <c r="B147" s="33"/>
      <c r="C147" s="164" t="s">
        <v>340</v>
      </c>
      <c r="D147" s="141" t="s">
        <v>181</v>
      </c>
      <c r="E147" s="147"/>
      <c r="F147" s="148"/>
      <c r="G147" s="74">
        <f>IFERROR(IF((INDEX(Digestate_LHV,MATCH(0,Digestate_moisture_content,0))*F147 -(1-F147)*2.441)*E147*1000&lt;0,0,(INDEX(Digestate_LHV,MATCH(0,Digestate_moisture_content,0))*F147-(1-F147)*2.441)*E147*1000),0)</f>
        <v>0</v>
      </c>
      <c r="H147" s="1"/>
      <c r="I147" s="1"/>
      <c r="J147" s="432" t="str">
        <f>IF(SUM(E146*F146,E147*F147, E148*F148)&gt;Sum_DM_input,"Warning, digestate higher than input","")</f>
        <v/>
      </c>
      <c r="K147" s="74">
        <f>IF($D$95="no",0,IFERROR(IF((INDEX(Digestate_LHV,MATCH(0,Digestate_moisture_content,0))*F147-(1-F147)*2.441)*('Digestion &amp; outputs'!E147-((E147/(E146+E147+E148))*Total_digestate_used))*1000&lt;0,0,(INDEX(Digestate_LHV,MATCH(0,Digestate_moisture_content,0))*F147-(1-F147)*2.441)*('Digestion &amp; outputs'!E147-((E147/(E146+E147+E148))*Total_digestate_used))*1000),0))</f>
        <v>0</v>
      </c>
      <c r="M147" s="16"/>
      <c r="O147" s="250"/>
      <c r="P147" s="169" t="s">
        <v>341</v>
      </c>
      <c r="Q147" s="247">
        <f>IFERROR(F116/(F115/F111),0)</f>
        <v>0</v>
      </c>
      <c r="R147" s="273"/>
      <c r="S147" s="783"/>
      <c r="T147" s="784"/>
      <c r="U147" s="256"/>
    </row>
    <row r="148" spans="2:21" s="12" customFormat="1" ht="15" x14ac:dyDescent="0.35">
      <c r="B148" s="33"/>
      <c r="C148" s="164" t="s">
        <v>342</v>
      </c>
      <c r="D148" s="141" t="s">
        <v>181</v>
      </c>
      <c r="E148" s="147"/>
      <c r="F148" s="148"/>
      <c r="G148" s="74">
        <f>IFERROR(IF((INDEX(Digestate_LHV,MATCH(0,Digestate_moisture_content,0))*F148-(1-F148)*2.441)*E148*1000&lt;0,0,(INDEX(Digestate_LHV,MATCH(0,Digestate_moisture_content,0))*F148-(1-F148)*2.441)*E148*1000),0)</f>
        <v>0</v>
      </c>
      <c r="H148" s="1"/>
      <c r="I148" s="1"/>
      <c r="J148" s="432"/>
      <c r="K148" s="74">
        <f>IF($D$95="no",0,IFERROR(IF((INDEX(Digestate_LHV,MATCH(0,Digestate_moisture_content,0))*F148-(1-F148)*2.441)*('Digestion &amp; outputs'!E148-((E148/(E148+E147+E146))*Total_digestate_used))*1000&lt;0,0,(INDEX(Digestate_LHV,MATCH(0,Digestate_moisture_content,0))*F148-(1-F148)*2.441)*('Digestion &amp; outputs'!E148-((E148/(E148+E147+E146))*Total_digestate_used))*1000),0))</f>
        <v>0</v>
      </c>
      <c r="M148" s="16"/>
      <c r="O148" s="250"/>
      <c r="P148" s="169" t="s">
        <v>343</v>
      </c>
      <c r="Q148" s="247">
        <f>IFERROR(F129/(F128/F123)*K110,0)</f>
        <v>0</v>
      </c>
      <c r="R148" s="251"/>
      <c r="S148" s="783"/>
      <c r="T148" s="784"/>
      <c r="U148" s="256"/>
    </row>
    <row r="149" spans="2:21" s="12" customFormat="1" ht="15.6" thickBot="1" x14ac:dyDescent="0.4">
      <c r="B149" s="230"/>
      <c r="C149" s="231"/>
      <c r="D149" s="231"/>
      <c r="E149" s="671"/>
      <c r="F149" s="231"/>
      <c r="G149" s="231"/>
      <c r="H149" s="231"/>
      <c r="I149" s="231"/>
      <c r="J149" s="231"/>
      <c r="K149" s="231"/>
      <c r="L149" s="232"/>
      <c r="M149" s="233"/>
      <c r="O149" s="250"/>
      <c r="P149" s="169" t="s">
        <v>344</v>
      </c>
      <c r="Q149" s="247">
        <f>IFERROR(F127/(F126/F123)*K109,0)</f>
        <v>0</v>
      </c>
      <c r="R149" s="273"/>
      <c r="S149" s="783"/>
      <c r="T149" s="784"/>
      <c r="U149" s="256"/>
    </row>
    <row r="150" spans="2:21" s="12" customFormat="1" ht="15" x14ac:dyDescent="0.35">
      <c r="B150" s="33"/>
      <c r="C150" s="236" t="s">
        <v>345</v>
      </c>
      <c r="D150" s="1"/>
      <c r="E150" s="1"/>
      <c r="F150" s="1"/>
      <c r="G150" s="1"/>
      <c r="H150" s="1"/>
      <c r="I150" s="1"/>
      <c r="J150" s="1"/>
      <c r="K150" s="1"/>
      <c r="M150" s="16"/>
      <c r="O150" s="250"/>
      <c r="P150" s="169" t="s">
        <v>346</v>
      </c>
      <c r="Q150" s="247">
        <f>SUM(Q146:Q149)</f>
        <v>0</v>
      </c>
      <c r="R150" s="251"/>
      <c r="S150" s="783"/>
      <c r="T150" s="784"/>
      <c r="U150" s="256"/>
    </row>
    <row r="151" spans="2:21" s="12" customFormat="1" ht="6" customHeight="1" x14ac:dyDescent="0.35">
      <c r="B151" s="33"/>
      <c r="C151" s="1"/>
      <c r="D151" s="1"/>
      <c r="E151" s="1"/>
      <c r="F151" s="1"/>
      <c r="G151" s="1"/>
      <c r="H151" s="1"/>
      <c r="M151" s="16"/>
      <c r="O151" s="250"/>
      <c r="P151" s="251"/>
      <c r="Q151" s="251"/>
      <c r="R151" s="251"/>
      <c r="S151" s="783"/>
      <c r="T151" s="784"/>
      <c r="U151" s="256"/>
    </row>
    <row r="152" spans="2:21" s="12" customFormat="1" ht="15" customHeight="1" x14ac:dyDescent="0.35">
      <c r="B152" s="33"/>
      <c r="C152" s="25" t="s">
        <v>744</v>
      </c>
      <c r="G152" s="1"/>
      <c r="H152" s="1"/>
      <c r="I152" s="303" t="s">
        <v>136</v>
      </c>
      <c r="J152" s="79"/>
      <c r="K152" s="79"/>
      <c r="L152" s="80"/>
      <c r="M152" s="16"/>
      <c r="O152" s="250"/>
      <c r="P152" s="169" t="s">
        <v>347</v>
      </c>
      <c r="Q152" s="247">
        <f>D11</f>
        <v>0</v>
      </c>
      <c r="R152" s="251"/>
      <c r="S152" s="783"/>
      <c r="T152" s="784"/>
      <c r="U152" s="256"/>
    </row>
    <row r="153" spans="2:21" s="12" customFormat="1" ht="15" x14ac:dyDescent="0.35">
      <c r="B153" s="33"/>
      <c r="C153" s="164" t="s">
        <v>742</v>
      </c>
      <c r="D153" s="164" t="s">
        <v>348</v>
      </c>
      <c r="E153" s="164" t="s">
        <v>349</v>
      </c>
      <c r="F153" s="166" t="s">
        <v>737</v>
      </c>
      <c r="G153" s="164" t="s">
        <v>140</v>
      </c>
      <c r="H153" s="1"/>
      <c r="I153" s="43"/>
      <c r="J153" s="34"/>
      <c r="K153" s="164" t="s">
        <v>124</v>
      </c>
      <c r="L153" s="48"/>
      <c r="M153" s="16"/>
      <c r="O153" s="250"/>
      <c r="P153" s="169" t="s">
        <v>350</v>
      </c>
      <c r="Q153" s="247">
        <f>IFERROR('Final conversion'!E29 * 'Reference values'!D49 / (F126 / F123) * K109, 0)</f>
        <v>0</v>
      </c>
      <c r="R153" s="251"/>
      <c r="S153" s="783"/>
      <c r="T153" s="784"/>
      <c r="U153" s="256"/>
    </row>
    <row r="154" spans="2:21" s="12" customFormat="1" ht="15" x14ac:dyDescent="0.35">
      <c r="B154" s="33"/>
      <c r="C154" s="704" t="s">
        <v>749</v>
      </c>
      <c r="D154" s="678">
        <v>0</v>
      </c>
      <c r="E154" s="678">
        <v>0.06</v>
      </c>
      <c r="F154" s="583"/>
      <c r="G154" s="679">
        <f>IF(C154="Standard (Covered)",D154,IF(C154="Standard (Open)",E154, IF(C154="Actual",IF(F154&gt;0, F154, "insert data"), "error")))</f>
        <v>0</v>
      </c>
      <c r="H154" s="1"/>
      <c r="I154" s="43"/>
      <c r="J154" s="164" t="s">
        <v>746</v>
      </c>
      <c r="K154" s="22" t="str">
        <f>IFERROR((((($D$11/(1-$G$154))/(INDEX(Fuel_LHV,MATCH("Methane (NTP)",Fuels_for_LHV,0))))*1000*$G$154)/$D$11)*'Reference values'!$D$57,"")</f>
        <v/>
      </c>
      <c r="L154" s="48"/>
      <c r="M154" s="16"/>
      <c r="O154" s="250"/>
      <c r="P154" s="169" t="s">
        <v>351</v>
      </c>
      <c r="Q154" s="247">
        <f>IFERROR(SUM(F123,F111)-Q147-Q148-Q149-Q153, "")</f>
        <v>0</v>
      </c>
      <c r="R154" s="251"/>
      <c r="S154" s="785"/>
      <c r="T154" s="786"/>
      <c r="U154" s="256"/>
    </row>
    <row r="155" spans="2:21" s="12" customFormat="1" ht="15" x14ac:dyDescent="0.35">
      <c r="B155" s="33"/>
      <c r="C155" s="1"/>
      <c r="D155" s="1"/>
      <c r="E155" s="1"/>
      <c r="F155" s="1"/>
      <c r="G155" s="1"/>
      <c r="H155" s="1"/>
      <c r="I155" s="43"/>
      <c r="J155" s="34"/>
      <c r="K155" s="34"/>
      <c r="L155" s="48"/>
      <c r="M155" s="16"/>
      <c r="O155" s="250"/>
      <c r="P155" s="251"/>
      <c r="Q155" s="251"/>
      <c r="R155" s="251"/>
      <c r="S155" s="251"/>
      <c r="T155" s="251"/>
      <c r="U155" s="256"/>
    </row>
    <row r="156" spans="2:21" s="12" customFormat="1" ht="15" x14ac:dyDescent="0.35">
      <c r="B156" s="33"/>
      <c r="C156" s="25" t="s">
        <v>745</v>
      </c>
      <c r="D156" s="1"/>
      <c r="E156" s="1"/>
      <c r="F156" s="1"/>
      <c r="G156" s="1"/>
      <c r="H156" s="1"/>
      <c r="I156" s="43"/>
      <c r="J156" s="34"/>
      <c r="K156" s="34"/>
      <c r="L156" s="48"/>
      <c r="M156" s="16"/>
      <c r="O156" s="250"/>
      <c r="P156" s="251"/>
      <c r="Q156" s="251"/>
      <c r="R156" s="251"/>
      <c r="S156" s="251"/>
      <c r="T156" s="251"/>
      <c r="U156" s="256"/>
    </row>
    <row r="157" spans="2:21" s="12" customFormat="1" ht="30" x14ac:dyDescent="0.35">
      <c r="B157" s="33"/>
      <c r="C157" s="703" t="s">
        <v>743</v>
      </c>
      <c r="D157" s="166" t="s">
        <v>735</v>
      </c>
      <c r="E157" s="166" t="s">
        <v>736</v>
      </c>
      <c r="F157" s="166" t="s">
        <v>737</v>
      </c>
      <c r="G157" s="164" t="s">
        <v>140</v>
      </c>
      <c r="H157" s="1"/>
      <c r="I157" s="43"/>
      <c r="J157" s="34"/>
      <c r="K157" s="164" t="s">
        <v>124</v>
      </c>
      <c r="L157" s="48"/>
      <c r="M157" s="16"/>
      <c r="O157" s="250"/>
      <c r="P157" s="251"/>
      <c r="Q157" s="251"/>
      <c r="R157" s="251"/>
      <c r="S157" s="251"/>
      <c r="T157" s="251"/>
      <c r="U157" s="256"/>
    </row>
    <row r="158" spans="2:21" s="12" customFormat="1" ht="15" x14ac:dyDescent="0.35">
      <c r="B158" s="33"/>
      <c r="C158" s="134" t="s">
        <v>748</v>
      </c>
      <c r="D158" s="582">
        <v>0.01</v>
      </c>
      <c r="E158" s="583">
        <v>0.2</v>
      </c>
      <c r="F158" s="583"/>
      <c r="G158" s="75">
        <f>IF(C158="Standard (LDAR)",D158,IF(C158="Standard (no LDAR)",E158, IF(C158="Actual",IF(F158&gt;0, F158, "insert data"), "error")))</f>
        <v>0.01</v>
      </c>
      <c r="H158" s="1"/>
      <c r="I158" s="43"/>
      <c r="J158" s="164" t="s">
        <v>746</v>
      </c>
      <c r="K158" s="22" t="str">
        <f>IFERROR((((($D$11/(1-$G$158))/(INDEX(Fuel_LHV,MATCH("Methane (NTP)",Fuels_for_LHV,0))))*1000*$G$158)/$D$11)*'Reference values'!$D$57,"")</f>
        <v/>
      </c>
      <c r="L158" s="48"/>
      <c r="M158" s="16"/>
      <c r="O158" s="250"/>
      <c r="P158" s="251"/>
      <c r="Q158" s="251"/>
      <c r="R158" s="251"/>
      <c r="S158" s="251"/>
      <c r="T158" s="251"/>
      <c r="U158" s="256"/>
    </row>
    <row r="159" spans="2:21" s="12" customFormat="1" ht="15" x14ac:dyDescent="0.35">
      <c r="B159" s="33"/>
      <c r="C159" s="1"/>
      <c r="D159" s="1"/>
      <c r="E159" s="1"/>
      <c r="F159" s="1"/>
      <c r="G159" s="1"/>
      <c r="H159" s="1"/>
      <c r="I159" s="43"/>
      <c r="J159" s="34"/>
      <c r="K159" s="34"/>
      <c r="L159" s="48"/>
      <c r="M159" s="16"/>
      <c r="O159" s="250"/>
      <c r="P159" s="251"/>
      <c r="Q159" s="251"/>
      <c r="R159" s="251"/>
      <c r="S159" s="251"/>
      <c r="T159" s="251"/>
      <c r="U159" s="256"/>
    </row>
    <row r="160" spans="2:21" s="12" customFormat="1" ht="15" x14ac:dyDescent="0.35">
      <c r="B160" s="33"/>
      <c r="C160" s="25" t="s">
        <v>352</v>
      </c>
      <c r="D160" s="1"/>
      <c r="E160" s="1"/>
      <c r="F160" s="25"/>
      <c r="G160" s="53"/>
      <c r="H160" s="1"/>
      <c r="I160" s="43"/>
      <c r="J160" s="34"/>
      <c r="K160" s="34"/>
      <c r="L160" s="48"/>
      <c r="M160" s="16"/>
      <c r="O160" s="250"/>
      <c r="P160" s="251"/>
      <c r="Q160" s="272" t="s">
        <v>353</v>
      </c>
      <c r="R160" s="272" t="s">
        <v>354</v>
      </c>
      <c r="S160" s="272" t="s">
        <v>355</v>
      </c>
      <c r="T160" s="272" t="s">
        <v>356</v>
      </c>
      <c r="U160" s="256"/>
    </row>
    <row r="161" spans="2:25" s="12" customFormat="1" ht="15" x14ac:dyDescent="0.35">
      <c r="B161" s="33"/>
      <c r="C161" s="166" t="s">
        <v>188</v>
      </c>
      <c r="D161" s="164" t="s">
        <v>151</v>
      </c>
      <c r="E161" s="164" t="s">
        <v>140</v>
      </c>
      <c r="F161" s="1"/>
      <c r="G161" s="1"/>
      <c r="H161" s="1"/>
      <c r="I161" s="43"/>
      <c r="J161" s="34"/>
      <c r="K161" s="164" t="s">
        <v>124</v>
      </c>
      <c r="L161" s="48"/>
      <c r="M161" s="16"/>
      <c r="O161" s="250"/>
      <c r="P161" s="169" t="s">
        <v>339</v>
      </c>
      <c r="Q161" s="247">
        <f>F106</f>
        <v>0</v>
      </c>
      <c r="R161" s="274">
        <f>IFERROR(Q161/$Q$166,0)</f>
        <v>0</v>
      </c>
      <c r="S161" s="247">
        <f>IFERROR($Q$154*R161+Q153,0)</f>
        <v>0</v>
      </c>
      <c r="T161" s="247">
        <f>Q146+S161</f>
        <v>0</v>
      </c>
      <c r="U161" s="256"/>
      <c r="Y161" s="257"/>
    </row>
    <row r="162" spans="2:25" s="12" customFormat="1" ht="15" x14ac:dyDescent="0.35">
      <c r="B162" s="33"/>
      <c r="C162" s="383" t="str">
        <f>'Reference values'!C267</f>
        <v>Electricity (UK mix)</v>
      </c>
      <c r="D162" s="405" t="str">
        <f>D183</f>
        <v>kWh</v>
      </c>
      <c r="E162" s="405" t="str">
        <f>IFERROR(E183*Electricity_to_digestion_percent, "")</f>
        <v/>
      </c>
      <c r="F162" s="382"/>
      <c r="G162" s="1" t="str">
        <f>IF(C162="Electricity produced by anaerobic digestion","","")</f>
        <v/>
      </c>
      <c r="H162" s="1"/>
      <c r="I162" s="43"/>
      <c r="J162" s="164" t="s">
        <v>357</v>
      </c>
      <c r="K162" s="22" t="str">
        <f>IFERROR(  IF( ISBLANK(E162), "",  (E162*'Reference values'!$D$47*INDEX(Electricity_Emission_Factors,MATCH(C162,Electricity_Source,0))/1000)/$D$11    ),    "")</f>
        <v/>
      </c>
      <c r="L162" s="48"/>
      <c r="M162" s="16"/>
      <c r="O162" s="250"/>
      <c r="P162" s="169" t="s">
        <v>358</v>
      </c>
      <c r="Q162" s="247">
        <f>IFERROR(F116*E118,"")</f>
        <v>0</v>
      </c>
      <c r="R162" s="274">
        <f>IFERROR(Q162/$Q$166,0)</f>
        <v>0</v>
      </c>
      <c r="S162" s="247">
        <f>IFERROR($Q$154*R162,0)</f>
        <v>0</v>
      </c>
      <c r="T162" s="247">
        <f>Q147+S162</f>
        <v>0</v>
      </c>
      <c r="U162" s="256"/>
    </row>
    <row r="163" spans="2:25" s="12" customFormat="1" ht="15" x14ac:dyDescent="0.35">
      <c r="B163" s="33"/>
      <c r="C163" s="383" t="s">
        <v>359</v>
      </c>
      <c r="D163" s="405" t="str">
        <f>D184</f>
        <v>kWh</v>
      </c>
      <c r="E163" s="405" t="e">
        <f>IF(D87="no","",E184*Electricity_to_digestion_percent)</f>
        <v>#DIV/0!</v>
      </c>
      <c r="F163" s="1"/>
      <c r="G163" s="1" t="str">
        <f>IF(C163="Electricity produced by anaerobic digestion","","")</f>
        <v/>
      </c>
      <c r="H163" s="1"/>
      <c r="I163" s="43"/>
      <c r="J163" s="164" t="s">
        <v>360</v>
      </c>
      <c r="K163" s="22" t="str">
        <f>IFERROR(  IF( ISBLANK(E163), "",  (E163*'Reference values'!$D$47*INDEX(Electricity_Emission_Factors,MATCH(C163,Electricity_Source,0))/1000)/$D$11    ),    "")</f>
        <v/>
      </c>
      <c r="L163" s="48"/>
      <c r="M163" s="16"/>
      <c r="O163" s="250"/>
      <c r="P163" s="169" t="s">
        <v>361</v>
      </c>
      <c r="Q163" s="247">
        <f>IFERROR(F129*E131,"")</f>
        <v>0</v>
      </c>
      <c r="R163" s="274">
        <f>IFERROR(Q163/$Q$166,0)</f>
        <v>0</v>
      </c>
      <c r="S163" s="247">
        <f>IFERROR($Q$154*R163,0)</f>
        <v>0</v>
      </c>
      <c r="T163" s="338">
        <f>Q148+S163</f>
        <v>0</v>
      </c>
      <c r="U163" s="256"/>
      <c r="W163" s="257"/>
    </row>
    <row r="164" spans="2:25" s="12" customFormat="1" ht="15" x14ac:dyDescent="0.35">
      <c r="B164" s="33"/>
      <c r="C164" s="1"/>
      <c r="D164" s="1"/>
      <c r="E164" s="1"/>
      <c r="F164" s="1"/>
      <c r="G164" s="1"/>
      <c r="H164" s="1"/>
      <c r="I164" s="43"/>
      <c r="J164" s="34"/>
      <c r="K164" s="34"/>
      <c r="L164" s="48"/>
      <c r="M164" s="16"/>
      <c r="O164" s="250"/>
      <c r="P164" s="169" t="s">
        <v>362</v>
      </c>
      <c r="Q164" s="247">
        <f>F127</f>
        <v>0</v>
      </c>
      <c r="R164" s="274">
        <f>IFERROR(Q164/$Q$166,0)</f>
        <v>0</v>
      </c>
      <c r="S164" s="247">
        <f>IFERROR($Q$154*R164,0)</f>
        <v>0</v>
      </c>
      <c r="T164" s="338">
        <f>Q149+S164</f>
        <v>0</v>
      </c>
      <c r="U164" s="256"/>
    </row>
    <row r="165" spans="2:25" s="12" customFormat="1" ht="15" x14ac:dyDescent="0.35">
      <c r="B165" s="33"/>
      <c r="C165" s="25" t="s">
        <v>363</v>
      </c>
      <c r="D165" s="1"/>
      <c r="E165" s="1"/>
      <c r="F165" s="1"/>
      <c r="G165" s="1"/>
      <c r="H165" s="1"/>
      <c r="I165" s="43"/>
      <c r="J165" s="34"/>
      <c r="K165" s="34"/>
      <c r="L165" s="48"/>
      <c r="M165" s="16"/>
      <c r="O165" s="250"/>
      <c r="P165" s="169" t="s">
        <v>364</v>
      </c>
      <c r="Q165" s="338" t="s">
        <v>300</v>
      </c>
      <c r="R165" s="339" t="s">
        <v>300</v>
      </c>
      <c r="S165" s="338" t="s">
        <v>300</v>
      </c>
      <c r="T165" s="247">
        <f>T164+T163</f>
        <v>0</v>
      </c>
      <c r="U165" s="256"/>
    </row>
    <row r="166" spans="2:25" s="12" customFormat="1" ht="15" x14ac:dyDescent="0.35">
      <c r="B166" s="33"/>
      <c r="C166" s="164" t="s">
        <v>160</v>
      </c>
      <c r="D166" s="164" t="s">
        <v>151</v>
      </c>
      <c r="E166" s="164" t="s">
        <v>140</v>
      </c>
      <c r="F166" s="1"/>
      <c r="G166" s="1"/>
      <c r="H166" s="1"/>
      <c r="I166" s="43"/>
      <c r="J166" s="164" t="s">
        <v>160</v>
      </c>
      <c r="K166" s="164" t="s">
        <v>124</v>
      </c>
      <c r="L166" s="48"/>
      <c r="M166" s="16"/>
      <c r="O166" s="250"/>
      <c r="P166" s="169" t="s">
        <v>365</v>
      </c>
      <c r="Q166" s="248">
        <f>SUM(Q161:Q164)</f>
        <v>0</v>
      </c>
      <c r="R166" s="248">
        <f>SUM(R161:R164)</f>
        <v>0</v>
      </c>
      <c r="S166" s="248">
        <f>SUM(S161:S164)</f>
        <v>0</v>
      </c>
      <c r="T166" s="248">
        <f>SUM(T161:T162,T165)</f>
        <v>0</v>
      </c>
      <c r="U166" s="256"/>
    </row>
    <row r="167" spans="2:25" s="12" customFormat="1" ht="15" x14ac:dyDescent="0.35">
      <c r="B167" s="33"/>
      <c r="C167" s="454" t="s">
        <v>166</v>
      </c>
      <c r="D167" s="404" t="str">
        <f>D220</f>
        <v>litres</v>
      </c>
      <c r="E167" s="405" t="str">
        <f>IF(D90="no","",IF(E216="by electricity generated",F220*Electricity_to_digestion_percent,IF(E216="by fuel consumption",E220*Electricity_to_digestion_percent,"other")))</f>
        <v>other</v>
      </c>
      <c r="F167" s="1"/>
      <c r="G167" s="1"/>
      <c r="H167" s="1"/>
      <c r="I167" s="43"/>
      <c r="J167" s="27" t="str">
        <f>IF(C167&gt;0,C167,"")</f>
        <v>Diesel</v>
      </c>
      <c r="K167" s="22" t="str">
        <f>IFERROR(E167*(INDEX(Fuel_Densities,MATCH(C167,Fuels_for_Densities,0))/1000)*INDEX(Fuel_LHV,MATCH(C167,Fuels_for_LHV,0))*INDEX(Fuel_EFs,MATCH(C167,Fuels_for_EF,0))/$D$11, "")</f>
        <v/>
      </c>
      <c r="L167" s="48"/>
      <c r="M167" s="16"/>
      <c r="O167" s="250"/>
      <c r="P167" s="251"/>
      <c r="Q167" s="251"/>
      <c r="R167" s="251"/>
      <c r="S167" s="249"/>
      <c r="T167" s="275"/>
      <c r="U167" s="256"/>
    </row>
    <row r="168" spans="2:25" s="12" customFormat="1" ht="15" x14ac:dyDescent="0.35">
      <c r="B168" s="33"/>
      <c r="C168" s="454" t="s">
        <v>366</v>
      </c>
      <c r="D168" s="404" t="s">
        <v>324</v>
      </c>
      <c r="E168" s="405" t="str">
        <f>IFERROR(IF(AND(D88="no", D89="no"), "",
IF(AND(D88="no", D89="yes"), (E195+(E194*Electricity_to_digestion_percent)),
IF(AND(D88="yes",D89="no"), F227*((F229-F230)/F229), IF(AND(D88="yes",D89="yes"), F227*((F229-F230)/F229) + E195+(E194*Electricity_to_digestion_percent), "")))), "")</f>
        <v/>
      </c>
      <c r="F168" s="1"/>
      <c r="G168" s="1"/>
      <c r="H168" s="1"/>
      <c r="I168" s="43"/>
      <c r="J168" s="27" t="str">
        <f>IF(C168&gt;0,C168,"")</f>
        <v>Natural gas</v>
      </c>
      <c r="K168" s="22" t="str">
        <f>IFERROR(E168 *INDEX(Fuel_EFs,MATCH(C168,Fuels_for_EF,0)) / $D$11,"")</f>
        <v/>
      </c>
      <c r="L168" s="48"/>
      <c r="M168" s="16"/>
      <c r="O168" s="250"/>
      <c r="P168" s="251"/>
      <c r="Q168" s="336" t="s">
        <v>367</v>
      </c>
      <c r="R168" s="337" t="s">
        <v>368</v>
      </c>
      <c r="S168" s="644" t="s">
        <v>369</v>
      </c>
      <c r="T168" s="251"/>
      <c r="U168" s="256"/>
    </row>
    <row r="169" spans="2:25" s="12" customFormat="1" ht="15" x14ac:dyDescent="0.35">
      <c r="B169" s="33"/>
      <c r="C169" s="329"/>
      <c r="D169" s="141"/>
      <c r="E169" s="144"/>
      <c r="F169" s="1"/>
      <c r="G169" s="1"/>
      <c r="H169" s="1"/>
      <c r="I169" s="43"/>
      <c r="J169" s="27" t="str">
        <f>IF(C169&gt;0,C169,"")</f>
        <v/>
      </c>
      <c r="K169" s="22" t="str">
        <f>IFERROR(IF(C169&gt;0,IF(ISBLANK(E169),"Insert data",(IF(D169="litres",(E169*(INDEX(Fuel_Densities,MATCH(C169,Fuels_for_Densities,0))/1000)*INDEX(Fuel_LHV,MATCH(C169,Fuels_for_LHV,0))*INDEX(Fuel_EFs,MATCH(C169,Fuels_for_EF,0)))/$D$11,(IF(D169="m3",(E169*(INDEX(Fuel_Densities,MATCH(C169,Fuels_for_Densities,0)))*INDEX(Fuel_LHV,MATCH(C169,Fuels_for_LHV,0))*INDEX(Fuel_EFs,MATCH(C169,Fuels_for_EF,0)))/$D$11,IF(D169="kg",(E169*INDEX(Fuel_LHV,MATCH(C169,Fuels_for_LHV,0))*INDEX(Fuel_EFs,MATCH(C169,Fuels_for_EF,0)))/$D$11,IF(D169="tonnes",(E169*INDEX(Fuel_LHV,MATCH(C169,Fuels_for_LHV,0))*1000*INDEX(Fuel_EFs,MATCH(C169,Fuels_for_EF,0)))/$D$11,IF(D169="MWh",(E169*'Reference values'!$D$47*INDEX(Fuel_EFs,MATCH(C169,Fuels_for_EF,0)))/$D$11,IF(D169="kWh",(E169*'Reference values'!$D$49*INDEX(Fuel_EFs,MATCH(C169,Fuels_for_EF,0)))/$D$11,IF(D169="MJ",(E169*INDEX(Fuel_EFs,MATCH(C169,Fuels_for_EF,0)))/$D$11,"Insert unit")))))))))),""),"Insert data")</f>
        <v/>
      </c>
      <c r="L169" s="48"/>
      <c r="M169" s="16"/>
      <c r="O169" s="250"/>
      <c r="P169" s="169" t="s">
        <v>339</v>
      </c>
      <c r="Q169" s="340">
        <f>IFERROR(F106/T161,0)</f>
        <v>0</v>
      </c>
      <c r="R169" s="247">
        <f>IFERROR(F106/Q169,0)</f>
        <v>0</v>
      </c>
      <c r="S169" s="787" t="str">
        <f>IF(ROUND(R173,1)=ROUND(D11,1),"In Balance","Out of Balance")</f>
        <v>In Balance</v>
      </c>
      <c r="T169" s="251"/>
      <c r="U169" s="256"/>
    </row>
    <row r="170" spans="2:25" s="12" customFormat="1" ht="14.25" customHeight="1" x14ac:dyDescent="0.35">
      <c r="B170" s="33"/>
      <c r="C170" s="329"/>
      <c r="D170" s="141"/>
      <c r="E170" s="144"/>
      <c r="F170" s="1"/>
      <c r="G170" s="1"/>
      <c r="H170" s="1"/>
      <c r="I170" s="43"/>
      <c r="J170" s="27" t="str">
        <f>IF(C170&gt;0,C170,"")</f>
        <v/>
      </c>
      <c r="K170" s="22" t="str">
        <f>IFERROR(IF(C170&gt;0,IF(ISBLANK(E170),"Insert data",(IF(D170="litres",(E170*(INDEX(Fuel_Densities,MATCH(C170,Fuels_for_Densities,0))/1000)*INDEX(Fuel_LHV,MATCH(C170,Fuels_for_LHV,0))*INDEX(Fuel_EFs,MATCH(C170,Fuels_for_EF,0)))/$D$11,(IF(D170="m3",(E170*(INDEX(Fuel_Densities,MATCH(C170,Fuels_for_Densities,0)))*INDEX(Fuel_LHV,MATCH(C170,Fuels_for_LHV,0))*INDEX(Fuel_EFs,MATCH(C170,Fuels_for_EF,0)))/$D$11,IF(D170="kg",(E170*INDEX(Fuel_LHV,MATCH(C170,Fuels_for_LHV,0))*INDEX(Fuel_EFs,MATCH(C170,Fuels_for_EF,0)))/$D$11,IF(D170="tonnes",(E170*INDEX(Fuel_LHV,MATCH(C170,Fuels_for_LHV,0))*1000*INDEX(Fuel_EFs,MATCH(C170,Fuels_for_EF,0)))/$D$11,IF(D170="MWh",(E170*'Reference values'!$D$47*INDEX(Fuel_EFs,MATCH(C170,Fuels_for_EF,0)))/$D$11,IF(D170="kWh",(E170*'Reference values'!$D$49*INDEX(Fuel_EFs,MATCH(C170,Fuels_for_EF,0)))/$D$11,IF(D170="MJ",(E170*INDEX(Fuel_EFs,MATCH(C170,Fuels_for_EF,0)))/$D$11,"Insert unit")))))))))),""),"Insert data")</f>
        <v/>
      </c>
      <c r="L170" s="48"/>
      <c r="M170" s="16"/>
      <c r="O170" s="250"/>
      <c r="P170" s="169" t="s">
        <v>358</v>
      </c>
      <c r="Q170" s="340">
        <f>IFERROR(F116/T162,0)</f>
        <v>0</v>
      </c>
      <c r="R170" s="247">
        <f>IFERROR(F116/Q170,0)</f>
        <v>0</v>
      </c>
      <c r="S170" s="787"/>
      <c r="T170" s="251"/>
      <c r="U170" s="256"/>
    </row>
    <row r="171" spans="2:25" s="12" customFormat="1" ht="14.25" customHeight="1" x14ac:dyDescent="0.35">
      <c r="B171" s="33"/>
      <c r="C171" s="1"/>
      <c r="D171" s="1"/>
      <c r="E171" s="1"/>
      <c r="F171" s="1"/>
      <c r="G171" s="1"/>
      <c r="H171" s="1"/>
      <c r="I171" s="43"/>
      <c r="J171" s="57"/>
      <c r="K171" s="34"/>
      <c r="L171" s="48"/>
      <c r="M171" s="16"/>
      <c r="O171" s="250"/>
      <c r="P171" s="169" t="s">
        <v>362</v>
      </c>
      <c r="Q171" s="340">
        <f>IFERROR(F127/T165,0)</f>
        <v>0</v>
      </c>
      <c r="R171" s="247">
        <f>IFERROR(F127/Q171*K109,0)</f>
        <v>0</v>
      </c>
      <c r="S171" s="787"/>
      <c r="T171" s="251"/>
      <c r="U171" s="256"/>
    </row>
    <row r="172" spans="2:25" s="12" customFormat="1" ht="15" x14ac:dyDescent="0.35">
      <c r="B172" s="33"/>
      <c r="C172" s="25" t="s">
        <v>370</v>
      </c>
      <c r="D172" s="1"/>
      <c r="E172" s="1"/>
      <c r="F172" s="1"/>
      <c r="G172" s="1"/>
      <c r="H172" s="1"/>
      <c r="I172" s="43"/>
      <c r="J172" s="34"/>
      <c r="K172" s="34"/>
      <c r="L172" s="48"/>
      <c r="M172" s="16"/>
      <c r="O172" s="250"/>
      <c r="P172" s="169" t="s">
        <v>361</v>
      </c>
      <c r="Q172" s="340">
        <f>IFERROR(F129/T165,0)</f>
        <v>0</v>
      </c>
      <c r="R172" s="247">
        <f>IFERROR(F129/Q172*K110,0)</f>
        <v>0</v>
      </c>
      <c r="S172" s="787"/>
      <c r="T172" s="251"/>
      <c r="U172" s="256"/>
    </row>
    <row r="173" spans="2:25" s="12" customFormat="1" ht="15" x14ac:dyDescent="0.35">
      <c r="B173" s="33"/>
      <c r="C173" s="164" t="s">
        <v>192</v>
      </c>
      <c r="D173" s="164" t="s">
        <v>151</v>
      </c>
      <c r="E173" s="164" t="s">
        <v>140</v>
      </c>
      <c r="F173" s="1"/>
      <c r="G173" s="1"/>
      <c r="H173" s="1"/>
      <c r="I173" s="43"/>
      <c r="J173" s="164" t="s">
        <v>192</v>
      </c>
      <c r="K173" s="164" t="s">
        <v>124</v>
      </c>
      <c r="L173" s="48"/>
      <c r="M173" s="16"/>
      <c r="O173" s="250"/>
      <c r="P173" s="766" t="s">
        <v>70</v>
      </c>
      <c r="Q173" s="767"/>
      <c r="R173" s="248">
        <f>SUM(R169+R170+R171+R172)</f>
        <v>0</v>
      </c>
      <c r="S173" s="787"/>
      <c r="T173" s="251"/>
      <c r="U173" s="256"/>
    </row>
    <row r="174" spans="2:25" s="12" customFormat="1" ht="15" x14ac:dyDescent="0.35">
      <c r="B174" s="33"/>
      <c r="C174" s="329"/>
      <c r="D174" s="141"/>
      <c r="E174" s="144"/>
      <c r="F174" s="1"/>
      <c r="G174" s="1"/>
      <c r="H174" s="1"/>
      <c r="I174" s="43"/>
      <c r="J174" s="27" t="str">
        <f t="shared" ref="J174:J176" si="7">IF(C174&gt;0,C174,"")</f>
        <v/>
      </c>
      <c r="K174" s="22" t="str">
        <f t="shared" ref="K174:K176" si="8">IFERROR(IF(C174&gt;0,IF(ISBLANK(E174),"Insert data",IF(D174="kg",E174*INDEX(Chemical_Emission_Factors,MATCH(C174,Chemicals,0))/$D$11,IF(D174="tonnes",E174*INDEX(Chemical_Emission_Factors,MATCH(C174,Chemicals,0))*1000/$D$11,"Insert unit"))),""),"Insert data")</f>
        <v/>
      </c>
      <c r="L174" s="48"/>
      <c r="M174" s="16"/>
      <c r="O174" s="252"/>
      <c r="P174" s="253"/>
      <c r="Q174" s="253"/>
      <c r="R174" s="253"/>
      <c r="S174" s="253"/>
      <c r="T174" s="253"/>
      <c r="U174" s="254"/>
    </row>
    <row r="175" spans="2:25" s="12" customFormat="1" ht="15" x14ac:dyDescent="0.35">
      <c r="B175" s="33"/>
      <c r="C175" s="329"/>
      <c r="D175" s="141"/>
      <c r="E175" s="144"/>
      <c r="F175" s="1"/>
      <c r="G175" s="1"/>
      <c r="H175" s="1"/>
      <c r="I175" s="43"/>
      <c r="J175" s="27" t="str">
        <f t="shared" si="7"/>
        <v/>
      </c>
      <c r="K175" s="22" t="str">
        <f t="shared" si="8"/>
        <v/>
      </c>
      <c r="L175" s="48"/>
      <c r="M175" s="16"/>
    </row>
    <row r="176" spans="2:25" s="12" customFormat="1" ht="15" x14ac:dyDescent="0.35">
      <c r="B176" s="33"/>
      <c r="C176" s="329"/>
      <c r="D176" s="141"/>
      <c r="E176" s="144"/>
      <c r="F176" s="1"/>
      <c r="G176" s="1"/>
      <c r="H176" s="1"/>
      <c r="I176" s="43"/>
      <c r="J176" s="27" t="str">
        <f t="shared" si="7"/>
        <v/>
      </c>
      <c r="K176" s="22" t="str">
        <f t="shared" si="8"/>
        <v/>
      </c>
      <c r="L176" s="48"/>
      <c r="M176" s="16"/>
    </row>
    <row r="177" spans="2:19" s="12" customFormat="1" ht="15" x14ac:dyDescent="0.35">
      <c r="B177" s="33"/>
      <c r="C177" s="1"/>
      <c r="D177" s="55"/>
      <c r="E177" s="1"/>
      <c r="F177" s="1"/>
      <c r="G177" s="1"/>
      <c r="H177" s="1"/>
      <c r="I177" s="49"/>
      <c r="J177" s="65"/>
      <c r="K177" s="65"/>
      <c r="L177" s="130"/>
      <c r="M177" s="16"/>
    </row>
    <row r="178" spans="2:19" s="12" customFormat="1" ht="14.25" customHeight="1" x14ac:dyDescent="0.35">
      <c r="B178" s="84"/>
      <c r="C178" s="85"/>
      <c r="D178" s="85"/>
      <c r="E178" s="85"/>
      <c r="F178" s="86"/>
      <c r="G178" s="87"/>
      <c r="H178" s="85"/>
      <c r="I178" s="85"/>
      <c r="J178" s="85"/>
      <c r="K178" s="85"/>
      <c r="L178" s="88"/>
      <c r="M178" s="89"/>
      <c r="O178" s="269"/>
      <c r="P178" s="269"/>
      <c r="Q178" s="269"/>
      <c r="R178" s="269"/>
      <c r="S178" s="269"/>
    </row>
    <row r="179" spans="2:19" s="12" customFormat="1" ht="15" x14ac:dyDescent="0.35">
      <c r="B179" s="385"/>
      <c r="C179" s="372"/>
      <c r="D179" s="372"/>
      <c r="E179" s="372"/>
      <c r="F179" s="372"/>
      <c r="G179" s="372"/>
      <c r="H179" s="372"/>
      <c r="I179" s="372"/>
      <c r="J179" s="372"/>
      <c r="K179" s="372"/>
      <c r="L179" s="386"/>
      <c r="M179" s="387"/>
      <c r="O179" s="269"/>
      <c r="P179" s="269"/>
      <c r="Q179" s="269"/>
      <c r="R179" s="269"/>
      <c r="S179" s="269"/>
    </row>
    <row r="180" spans="2:19" s="12" customFormat="1" ht="15" x14ac:dyDescent="0.35">
      <c r="B180" s="33"/>
      <c r="C180" s="25" t="s">
        <v>371</v>
      </c>
      <c r="D180" s="21"/>
      <c r="E180" s="21"/>
      <c r="F180" s="21"/>
      <c r="G180" s="1"/>
      <c r="H180" s="1"/>
      <c r="I180" s="1"/>
      <c r="J180" s="1"/>
      <c r="K180" s="1"/>
      <c r="M180" s="16"/>
      <c r="O180" s="269"/>
      <c r="P180" s="269"/>
      <c r="Q180" s="269"/>
      <c r="R180" s="269"/>
      <c r="S180" s="269"/>
    </row>
    <row r="181" spans="2:19" s="12" customFormat="1" ht="15.9" customHeight="1" x14ac:dyDescent="0.35">
      <c r="B181" s="33"/>
      <c r="C181" s="384"/>
      <c r="D181" s="384" t="s">
        <v>151</v>
      </c>
      <c r="E181" s="384" t="s">
        <v>140</v>
      </c>
      <c r="F181" s="21"/>
      <c r="G181" s="1"/>
      <c r="H181" s="1"/>
      <c r="I181" s="1"/>
      <c r="J181" s="1"/>
      <c r="K181" s="1"/>
      <c r="M181" s="16"/>
      <c r="O181" s="261"/>
      <c r="P181" s="788" t="s">
        <v>272</v>
      </c>
      <c r="Q181" s="788"/>
      <c r="R181" s="262"/>
      <c r="S181" s="269"/>
    </row>
    <row r="182" spans="2:19" s="12" customFormat="1" ht="15.9" customHeight="1" x14ac:dyDescent="0.35">
      <c r="B182" s="33"/>
      <c r="C182" s="588" t="s">
        <v>372</v>
      </c>
      <c r="D182" s="589" t="s">
        <v>307</v>
      </c>
      <c r="E182" s="603">
        <f>SUM(E183:E186)</f>
        <v>0</v>
      </c>
      <c r="F182" s="792" t="str">
        <f>IF(E182&lt;(Q183+'Final conversion'!P30), "Electricity consumption seems low", "")</f>
        <v/>
      </c>
      <c r="G182" s="793"/>
      <c r="H182" s="1"/>
      <c r="I182" s="1"/>
      <c r="J182" s="1"/>
      <c r="K182" s="1"/>
      <c r="M182" s="16"/>
      <c r="O182" s="263"/>
      <c r="P182" s="789"/>
      <c r="Q182" s="789"/>
      <c r="R182" s="264"/>
      <c r="S182" s="269"/>
    </row>
    <row r="183" spans="2:19" s="12" customFormat="1" ht="15" x14ac:dyDescent="0.35">
      <c r="B183" s="33"/>
      <c r="C183" s="590" t="s">
        <v>373</v>
      </c>
      <c r="D183" s="591" t="s">
        <v>307</v>
      </c>
      <c r="E183" s="604">
        <f>E190</f>
        <v>0</v>
      </c>
      <c r="F183" s="21"/>
      <c r="G183" s="1"/>
      <c r="H183" s="1"/>
      <c r="I183" s="1"/>
      <c r="J183" s="1"/>
      <c r="K183" s="1"/>
      <c r="M183" s="16"/>
      <c r="O183" s="263"/>
      <c r="P183" s="268" t="s">
        <v>374</v>
      </c>
      <c r="Q183" s="406">
        <f>Sum_theoretical_methane*0.25</f>
        <v>0</v>
      </c>
      <c r="R183" s="264"/>
      <c r="S183" s="269"/>
    </row>
    <row r="184" spans="2:19" s="12" customFormat="1" ht="15" x14ac:dyDescent="0.35">
      <c r="B184" s="33"/>
      <c r="C184" s="590" t="s">
        <v>375</v>
      </c>
      <c r="D184" s="591" t="s">
        <v>307</v>
      </c>
      <c r="E184" s="604">
        <f>IF(D87="no", "", $E$126-$E$127)</f>
        <v>0</v>
      </c>
      <c r="F184" s="21"/>
      <c r="G184" s="1"/>
      <c r="H184" s="1"/>
      <c r="I184" s="1"/>
      <c r="J184" s="1"/>
      <c r="K184" s="1"/>
      <c r="M184" s="16"/>
      <c r="O184" s="265"/>
      <c r="P184" s="266"/>
      <c r="Q184" s="266"/>
      <c r="R184" s="267"/>
      <c r="S184" s="269"/>
    </row>
    <row r="185" spans="2:19" s="12" customFormat="1" ht="15" x14ac:dyDescent="0.35">
      <c r="B185" s="33"/>
      <c r="C185" s="590" t="s">
        <v>376</v>
      </c>
      <c r="D185" s="591" t="s">
        <v>307</v>
      </c>
      <c r="E185" s="604" t="str">
        <f>IF(D90="no", "", IF(E216="by electricity generated", F221, IF(E216="by fuel consumption", E221, "")))</f>
        <v/>
      </c>
      <c r="F185" s="21"/>
      <c r="G185" s="1"/>
      <c r="H185" s="1"/>
      <c r="I185" s="1"/>
      <c r="J185" s="1"/>
      <c r="K185" s="1"/>
      <c r="M185" s="16"/>
      <c r="P185" s="393"/>
      <c r="Q185" s="394"/>
      <c r="S185" s="269"/>
    </row>
    <row r="186" spans="2:19" s="12" customFormat="1" ht="15" x14ac:dyDescent="0.35">
      <c r="B186" s="33"/>
      <c r="C186" s="590" t="s">
        <v>377</v>
      </c>
      <c r="D186" s="591" t="s">
        <v>307</v>
      </c>
      <c r="E186" s="604">
        <f>IF(D89="no","",E204-E205)</f>
        <v>0</v>
      </c>
      <c r="F186" s="21"/>
      <c r="G186" s="1"/>
      <c r="H186" s="1"/>
      <c r="I186" s="1"/>
      <c r="J186" s="1"/>
      <c r="K186" s="1"/>
      <c r="M186" s="16"/>
      <c r="S186" s="269"/>
    </row>
    <row r="187" spans="2:19" s="12" customFormat="1" ht="15" x14ac:dyDescent="0.35">
      <c r="B187" s="33"/>
      <c r="C187" s="21"/>
      <c r="D187" s="21"/>
      <c r="E187" s="21"/>
      <c r="F187" s="21"/>
      <c r="G187" s="1"/>
      <c r="H187" s="1"/>
      <c r="I187" s="1"/>
      <c r="J187" s="1"/>
      <c r="K187" s="1"/>
      <c r="M187" s="16"/>
      <c r="P187" s="392"/>
      <c r="S187" s="269"/>
    </row>
    <row r="188" spans="2:19" s="12" customFormat="1" ht="15" x14ac:dyDescent="0.35">
      <c r="B188" s="33"/>
      <c r="C188" s="25" t="s">
        <v>378</v>
      </c>
      <c r="D188" s="1"/>
      <c r="E188" s="1"/>
      <c r="F188" s="21"/>
      <c r="G188" s="1"/>
      <c r="H188" s="1"/>
      <c r="I188" s="1"/>
      <c r="J188" s="1"/>
      <c r="K188" s="1"/>
      <c r="M188" s="16"/>
      <c r="P188" s="392"/>
      <c r="S188" s="269"/>
    </row>
    <row r="189" spans="2:19" s="12" customFormat="1" ht="15" x14ac:dyDescent="0.35">
      <c r="B189" s="33"/>
      <c r="C189" s="166" t="s">
        <v>188</v>
      </c>
      <c r="D189" s="164" t="s">
        <v>151</v>
      </c>
      <c r="E189" s="164" t="s">
        <v>140</v>
      </c>
      <c r="F189" s="21"/>
      <c r="G189" s="1"/>
      <c r="H189" s="1"/>
      <c r="I189" s="1"/>
      <c r="J189" s="1"/>
      <c r="K189" s="1"/>
      <c r="M189" s="16"/>
      <c r="P189" s="392"/>
      <c r="S189" s="269"/>
    </row>
    <row r="190" spans="2:19" s="12" customFormat="1" ht="15" x14ac:dyDescent="0.35">
      <c r="B190" s="33"/>
      <c r="C190" s="383" t="s">
        <v>379</v>
      </c>
      <c r="D190" s="404" t="s">
        <v>307</v>
      </c>
      <c r="E190" s="144"/>
      <c r="F190" s="418" t="str">
        <f>IF(ISBLANK(E190), "Insert data", "")</f>
        <v>Insert data</v>
      </c>
      <c r="G190" s="1"/>
      <c r="H190" s="1"/>
      <c r="I190" s="1"/>
      <c r="J190" s="1"/>
      <c r="K190" s="1"/>
      <c r="M190" s="16"/>
      <c r="P190" s="392"/>
      <c r="S190" s="269"/>
    </row>
    <row r="191" spans="2:19" s="12" customFormat="1" ht="15" x14ac:dyDescent="0.35">
      <c r="B191" s="33"/>
      <c r="C191" s="599"/>
      <c r="D191" s="306"/>
      <c r="E191" s="306"/>
      <c r="F191" s="21"/>
      <c r="G191" s="1"/>
      <c r="H191" s="1"/>
      <c r="I191" s="1"/>
      <c r="J191" s="1"/>
      <c r="K191" s="1"/>
      <c r="M191" s="16"/>
      <c r="P191" s="392"/>
      <c r="S191" s="269"/>
    </row>
    <row r="192" spans="2:19" s="12" customFormat="1" ht="15" x14ac:dyDescent="0.35">
      <c r="B192" s="385"/>
      <c r="C192" s="698"/>
      <c r="D192" s="699"/>
      <c r="E192" s="699"/>
      <c r="F192" s="434"/>
      <c r="G192" s="372"/>
      <c r="H192" s="372"/>
      <c r="I192" s="372"/>
      <c r="J192" s="372"/>
      <c r="K192" s="372"/>
      <c r="L192" s="386"/>
      <c r="M192" s="387"/>
      <c r="P192" s="392"/>
      <c r="S192" s="269"/>
    </row>
    <row r="193" spans="2:20" s="12" customFormat="1" ht="15" x14ac:dyDescent="0.35">
      <c r="B193" s="33"/>
      <c r="C193" s="25" t="s">
        <v>380</v>
      </c>
      <c r="D193" s="21"/>
      <c r="E193" s="21"/>
      <c r="F193" s="21"/>
      <c r="G193" s="1"/>
      <c r="H193" s="1"/>
      <c r="I193" s="1"/>
      <c r="J193" s="1"/>
      <c r="K193" s="1"/>
      <c r="M193" s="16"/>
      <c r="P193" s="392"/>
      <c r="S193" s="269"/>
    </row>
    <row r="194" spans="2:20" s="12" customFormat="1" ht="15" x14ac:dyDescent="0.35">
      <c r="B194" s="33"/>
      <c r="C194" s="384" t="s">
        <v>381</v>
      </c>
      <c r="D194" s="602" t="s">
        <v>324</v>
      </c>
      <c r="E194" s="605">
        <f>IF(D89="no","",IFERROR((F202-E196-E197)*K203, 0))</f>
        <v>0</v>
      </c>
      <c r="F194" s="21"/>
      <c r="G194" s="1"/>
      <c r="H194" s="1"/>
      <c r="I194" s="1"/>
      <c r="J194" s="1"/>
      <c r="K194" s="1"/>
      <c r="M194" s="16"/>
      <c r="P194" s="392"/>
      <c r="S194" s="269"/>
    </row>
    <row r="195" spans="2:20" s="12" customFormat="1" ht="15" x14ac:dyDescent="0.35">
      <c r="B195" s="33"/>
      <c r="C195" s="384" t="s">
        <v>382</v>
      </c>
      <c r="D195" s="602" t="s">
        <v>324</v>
      </c>
      <c r="E195" s="605">
        <f>IF(D89="no","",IFERROR((F202-E196-E197)*K204, 0))</f>
        <v>0</v>
      </c>
      <c r="F195" s="20"/>
      <c r="G195" s="1"/>
      <c r="H195" s="1"/>
      <c r="I195" s="1"/>
      <c r="J195" s="1"/>
      <c r="K195" s="1"/>
      <c r="M195" s="16"/>
      <c r="P195" s="392"/>
      <c r="S195" s="269"/>
    </row>
    <row r="196" spans="2:20" s="12" customFormat="1" ht="15" x14ac:dyDescent="0.35">
      <c r="B196" s="33"/>
      <c r="C196" s="384" t="s">
        <v>383</v>
      </c>
      <c r="D196" s="602" t="s">
        <v>324</v>
      </c>
      <c r="E196" s="605">
        <f>IF(D89="no","",IFERROR(F205/(F204/F202)*K205,0))</f>
        <v>0</v>
      </c>
      <c r="F196" s="21"/>
      <c r="G196" s="1"/>
      <c r="H196" s="1"/>
      <c r="I196" s="1"/>
      <c r="J196" s="1"/>
      <c r="K196" s="1"/>
      <c r="M196" s="16"/>
      <c r="P196" s="392"/>
      <c r="S196" s="269"/>
    </row>
    <row r="197" spans="2:20" s="12" customFormat="1" ht="15" x14ac:dyDescent="0.35">
      <c r="B197" s="33"/>
      <c r="C197" s="384" t="s">
        <v>384</v>
      </c>
      <c r="D197" s="602" t="s">
        <v>324</v>
      </c>
      <c r="E197" s="605">
        <f>IF(D89="no", "", IFERROR(E207/(E206/F202)*K206, 0))</f>
        <v>0</v>
      </c>
      <c r="F197" s="21"/>
      <c r="G197" s="1"/>
      <c r="H197" s="1"/>
      <c r="I197" s="1"/>
      <c r="J197" s="1"/>
      <c r="K197" s="1"/>
      <c r="M197" s="16"/>
      <c r="P197" s="392"/>
      <c r="S197" s="269"/>
    </row>
    <row r="198" spans="2:20" s="12" customFormat="1" ht="8.4" customHeight="1" x14ac:dyDescent="0.35">
      <c r="B198" s="33"/>
      <c r="C198" s="401"/>
      <c r="D198" s="1"/>
      <c r="E198" s="1"/>
      <c r="F198" s="1"/>
      <c r="G198" s="1"/>
      <c r="H198" s="1"/>
      <c r="I198" s="1"/>
      <c r="J198" s="1"/>
      <c r="K198" s="1"/>
      <c r="M198" s="16"/>
      <c r="P198" s="392"/>
      <c r="S198" s="269"/>
    </row>
    <row r="199" spans="2:20" s="12" customFormat="1" ht="15" x14ac:dyDescent="0.35">
      <c r="B199" s="33"/>
      <c r="C199" s="25" t="s">
        <v>385</v>
      </c>
      <c r="D199" s="1"/>
      <c r="E199" s="697"/>
      <c r="F199" s="1"/>
      <c r="G199" s="1"/>
      <c r="H199" s="1"/>
      <c r="I199" s="1"/>
      <c r="J199" s="1"/>
      <c r="K199" s="1"/>
      <c r="L199" s="1"/>
      <c r="M199" s="16"/>
    </row>
    <row r="200" spans="2:20" s="12" customFormat="1" ht="15" x14ac:dyDescent="0.35">
      <c r="B200" s="33"/>
      <c r="C200" s="164" t="s">
        <v>386</v>
      </c>
      <c r="D200" s="134"/>
      <c r="F200" s="1"/>
      <c r="G200" s="1"/>
      <c r="H200" s="1"/>
      <c r="I200" s="1"/>
      <c r="J200" s="1"/>
      <c r="K200" s="1"/>
      <c r="L200" s="1"/>
      <c r="M200" s="16"/>
    </row>
    <row r="201" spans="2:20" s="12" customFormat="1" ht="15" x14ac:dyDescent="0.35">
      <c r="B201" s="33"/>
      <c r="C201" s="164"/>
      <c r="D201" s="166" t="s">
        <v>151</v>
      </c>
      <c r="E201" s="166" t="s">
        <v>140</v>
      </c>
      <c r="F201" s="164" t="s">
        <v>233</v>
      </c>
      <c r="G201" s="1"/>
      <c r="H201" s="1"/>
      <c r="I201" s="304" t="s">
        <v>387</v>
      </c>
      <c r="J201" s="79"/>
      <c r="K201" s="237"/>
      <c r="L201" s="80"/>
      <c r="M201" s="16"/>
    </row>
    <row r="202" spans="2:20" s="12" customFormat="1" ht="15" x14ac:dyDescent="0.35">
      <c r="B202" s="33"/>
      <c r="C202" s="164" t="s">
        <v>388</v>
      </c>
      <c r="D202" s="141" t="s">
        <v>279</v>
      </c>
      <c r="E202" s="146">
        <v>2050000</v>
      </c>
      <c r="F202" s="70" t="e">
        <f>IF(D89="no",0,IF(D200="natural gas in",E202*E203,IF(D200="electricity out",F204/E211,IF(D200="heat out",F206/E212,(F204+F206)/(E211+E212)))))</f>
        <v>#DIV/0!</v>
      </c>
      <c r="G202" s="418" t="str">
        <f>IFERROR(IF((F204+F206)&gt;F202, "Warning: energy generated is high", ""), "")</f>
        <v/>
      </c>
      <c r="H202" s="1"/>
      <c r="I202" s="43"/>
      <c r="J202" s="129"/>
      <c r="K202" s="165" t="s">
        <v>195</v>
      </c>
      <c r="L202" s="48"/>
      <c r="M202" s="16"/>
    </row>
    <row r="203" spans="2:20" s="12" customFormat="1" ht="15" x14ac:dyDescent="0.35">
      <c r="B203" s="33"/>
      <c r="C203" s="164" t="s">
        <v>389</v>
      </c>
      <c r="D203" s="141" t="s">
        <v>390</v>
      </c>
      <c r="E203" s="700" cm="1">
        <f t="array" ref="E203">'Reference values'!$D$49*HHV_to_LHV_Table[Conversion factor]</f>
        <v>3.24</v>
      </c>
      <c r="F203" s="70" t="s">
        <v>300</v>
      </c>
      <c r="G203" s="1"/>
      <c r="H203" s="1"/>
      <c r="I203" s="43"/>
      <c r="J203" s="164" t="s">
        <v>391</v>
      </c>
      <c r="K203" s="75">
        <f>IFERROR(IFERROR(F204-F205,0)/(IFERROR((F206-F207)*E209,0)+IFERROR(F204-F205,0)),0)</f>
        <v>0</v>
      </c>
      <c r="L203" s="48"/>
      <c r="M203" s="16"/>
    </row>
    <row r="204" spans="2:20" s="12" customFormat="1" ht="14.25" customHeight="1" x14ac:dyDescent="0.35">
      <c r="B204" s="33"/>
      <c r="C204" s="164" t="s">
        <v>319</v>
      </c>
      <c r="D204" s="141" t="s">
        <v>307</v>
      </c>
      <c r="E204" s="146"/>
      <c r="F204" s="70">
        <f>IFERROR(IF($D$89="no", "", (IF(D204="kWh",E204*'Reference values'!$D$49,IF(D204="MWh",E204*'Reference values'!$D$47,"")))), 0)</f>
        <v>0</v>
      </c>
      <c r="G204" s="229" t="str">
        <f>IF(AND(OR($E$126&gt;0,$E$127&gt;0),(ISBLANK(E204))),"Insert data",IF(AND(NOT(ISBLANK(E204)),ISBLANK(D204)),"Insert unit",""))</f>
        <v/>
      </c>
      <c r="H204" s="76"/>
      <c r="I204" s="43"/>
      <c r="J204" s="164" t="s">
        <v>392</v>
      </c>
      <c r="K204" s="75">
        <f>IFERROR(IFERROR((F206-F207)*E209,0)/(IFERROR((F206-F207)*E209,0)+IFERROR(F204-F205,0)),0)</f>
        <v>0</v>
      </c>
      <c r="L204" s="48"/>
      <c r="M204" s="16"/>
    </row>
    <row r="205" spans="2:20" s="12" customFormat="1" ht="15" x14ac:dyDescent="0.35">
      <c r="B205" s="33"/>
      <c r="C205" s="165" t="s">
        <v>320</v>
      </c>
      <c r="D205" s="141" t="s">
        <v>307</v>
      </c>
      <c r="E205" s="146"/>
      <c r="F205" s="70">
        <f>IFERROR(IF($D$89="no", "", (IF(D205="kWh",E205*'Reference values'!$D$49,IF(D205="MWh",E205*'Reference values'!$D$47,"")))), 0)</f>
        <v>0</v>
      </c>
      <c r="G205" s="229" t="str">
        <f>IF(AND(NOT(ISBLANK(E205)),ISBLANK(D205)),"Insert unit","")</f>
        <v/>
      </c>
      <c r="H205" s="1"/>
      <c r="I205" s="43"/>
      <c r="J205" s="164" t="s">
        <v>393</v>
      </c>
      <c r="K205" s="75">
        <f>IFERROR(IFERROR(F205,0)/(IFERROR(F207*E209,0)+IFERROR(F205,0)),0)</f>
        <v>0</v>
      </c>
      <c r="L205" s="48"/>
      <c r="M205" s="16"/>
      <c r="S205" s="269"/>
      <c r="T205" s="269"/>
    </row>
    <row r="206" spans="2:20" s="12" customFormat="1" ht="14.25" customHeight="1" x14ac:dyDescent="0.35">
      <c r="B206" s="33"/>
      <c r="C206" s="164" t="s">
        <v>306</v>
      </c>
      <c r="D206" s="141" t="s">
        <v>307</v>
      </c>
      <c r="E206" s="146"/>
      <c r="F206" s="70">
        <f>IFERROR(IF($D$89="no", "", (IF(D206="kWh",E206*'Reference values'!$D$49,IF(D206="MWh",E206*'Reference values'!$D$47,"")))), 0)</f>
        <v>0</v>
      </c>
      <c r="G206" s="229"/>
      <c r="H206" s="1"/>
      <c r="I206" s="43"/>
      <c r="J206" s="164" t="s">
        <v>394</v>
      </c>
      <c r="K206" s="75">
        <f>IFERROR(IFERROR(F207*E209,0)/(IFERROR(F207*E209,0)+IFERROR(F205,0)),0)</f>
        <v>0</v>
      </c>
      <c r="L206" s="48"/>
      <c r="M206" s="16"/>
    </row>
    <row r="207" spans="2:20" s="12" customFormat="1" ht="15" x14ac:dyDescent="0.35">
      <c r="B207" s="33"/>
      <c r="C207" s="166" t="s">
        <v>321</v>
      </c>
      <c r="D207" s="141" t="s">
        <v>307</v>
      </c>
      <c r="E207" s="146"/>
      <c r="F207" s="70">
        <f>IFERROR(IF($D$89="no", "", (IF(D207="kWh",E207*'Reference values'!$D$49,IF(D207="MWh",E207*'Reference values'!$D$47,"")))), 0)</f>
        <v>0</v>
      </c>
      <c r="G207" s="229"/>
      <c r="H207" s="1"/>
      <c r="I207" s="49"/>
      <c r="J207" s="65"/>
      <c r="K207" s="65"/>
      <c r="L207" s="130"/>
      <c r="M207" s="16"/>
    </row>
    <row r="208" spans="2:20" s="12" customFormat="1" ht="15" x14ac:dyDescent="0.35">
      <c r="B208" s="33"/>
      <c r="C208" s="164" t="s">
        <v>311</v>
      </c>
      <c r="D208" s="141" t="s">
        <v>312</v>
      </c>
      <c r="E208" s="146">
        <v>85</v>
      </c>
      <c r="F208" s="70" t="s">
        <v>300</v>
      </c>
      <c r="G208" s="229" t="str">
        <f>IF(AND(OR($E$129&gt;0),(ISBLANK(E208))),"Insert data",IF(AND(NOT(ISBLANK(E208)),ISBLANK(D208)),"Insert unit",""))</f>
        <v/>
      </c>
      <c r="H208" s="1"/>
      <c r="I208" s="1"/>
      <c r="J208" s="1"/>
      <c r="K208" s="1"/>
      <c r="L208" s="1"/>
      <c r="M208" s="16"/>
    </row>
    <row r="209" spans="2:19" s="12" customFormat="1" ht="15" x14ac:dyDescent="0.35">
      <c r="B209" s="33"/>
      <c r="C209" s="164" t="s">
        <v>313</v>
      </c>
      <c r="D209" s="74" t="s">
        <v>271</v>
      </c>
      <c r="E209" s="225">
        <f>IF(D208="°C",IF(E208&lt;150,0.3456,(E208)/(E208+273)),IF(D208="°K",IF(E208&lt;423,0.3456,(E208-273)/E208),""))</f>
        <v>0.34560000000000002</v>
      </c>
      <c r="G209" s="1"/>
      <c r="H209" s="1"/>
      <c r="I209" s="1"/>
      <c r="K209" s="1"/>
      <c r="L209" s="1"/>
      <c r="M209" s="16"/>
    </row>
    <row r="210" spans="2:19" s="12" customFormat="1" ht="15" x14ac:dyDescent="0.35">
      <c r="B210" s="33"/>
      <c r="G210" s="1"/>
      <c r="H210" s="1"/>
      <c r="I210" s="1"/>
      <c r="K210" s="1"/>
      <c r="L210" s="1"/>
      <c r="M210" s="16"/>
    </row>
    <row r="211" spans="2:19" s="12" customFormat="1" ht="15" x14ac:dyDescent="0.35">
      <c r="B211" s="33"/>
      <c r="C211" s="586" t="s">
        <v>395</v>
      </c>
      <c r="D211" s="592" t="s">
        <v>271</v>
      </c>
      <c r="E211" s="606"/>
      <c r="F211" s="701" t="str">
        <f>IF(OR($D$200="electricity out", $D$200="electricity and heat out"),IF(E211&gt;0,"","Enter CHP efficiency"), "")</f>
        <v/>
      </c>
      <c r="G211" s="1"/>
      <c r="H211" s="1"/>
      <c r="I211" s="1"/>
      <c r="K211" s="1"/>
      <c r="L211" s="1"/>
      <c r="M211" s="16"/>
    </row>
    <row r="212" spans="2:19" s="12" customFormat="1" ht="15" x14ac:dyDescent="0.35">
      <c r="B212" s="33"/>
      <c r="C212" s="384" t="s">
        <v>396</v>
      </c>
      <c r="D212" s="592" t="s">
        <v>271</v>
      </c>
      <c r="E212" s="696"/>
      <c r="F212" s="701" t="str">
        <f>IF(OR($D$200="heat out", $D$200="electricity and heat out"), IF(E212&gt;0,"","Enter CHP efficiency"), "")</f>
        <v/>
      </c>
      <c r="G212" s="1"/>
      <c r="H212" s="1"/>
      <c r="I212" s="1"/>
      <c r="K212" s="1"/>
      <c r="L212" s="1"/>
      <c r="M212" s="16"/>
    </row>
    <row r="213" spans="2:19" s="12" customFormat="1" ht="15" x14ac:dyDescent="0.35">
      <c r="B213" s="33"/>
      <c r="C213" s="21"/>
      <c r="D213" s="21"/>
      <c r="E213" s="21"/>
      <c r="F213" s="21"/>
      <c r="G213" s="1"/>
      <c r="H213" s="1"/>
      <c r="I213" s="1"/>
      <c r="J213" s="1"/>
      <c r="K213" s="1"/>
      <c r="M213" s="16"/>
      <c r="P213" s="392"/>
      <c r="S213" s="269"/>
    </row>
    <row r="214" spans="2:19" s="12" customFormat="1" ht="15" x14ac:dyDescent="0.35">
      <c r="B214" s="385"/>
      <c r="C214" s="434"/>
      <c r="D214" s="434"/>
      <c r="E214" s="434"/>
      <c r="F214" s="434"/>
      <c r="G214" s="372"/>
      <c r="H214" s="372"/>
      <c r="I214" s="372"/>
      <c r="J214" s="372"/>
      <c r="K214" s="372"/>
      <c r="L214" s="386"/>
      <c r="M214" s="387"/>
      <c r="P214" s="392"/>
      <c r="S214" s="269"/>
    </row>
    <row r="215" spans="2:19" s="12" customFormat="1" ht="15" x14ac:dyDescent="0.35">
      <c r="B215" s="33"/>
      <c r="C215" s="25" t="s">
        <v>397</v>
      </c>
      <c r="D215" s="21"/>
      <c r="E215" s="21"/>
      <c r="F215" s="21"/>
      <c r="G215" s="1"/>
      <c r="H215" s="1"/>
      <c r="I215" s="1"/>
      <c r="J215" s="1"/>
      <c r="K215" s="1"/>
      <c r="M215" s="16"/>
      <c r="P215" s="393"/>
      <c r="Q215" s="55"/>
      <c r="S215" s="269"/>
    </row>
    <row r="216" spans="2:19" s="12" customFormat="1" ht="15" x14ac:dyDescent="0.35">
      <c r="B216" s="33"/>
      <c r="C216" s="797" t="s">
        <v>398</v>
      </c>
      <c r="D216" s="798"/>
      <c r="E216" s="593"/>
      <c r="F216" s="21"/>
      <c r="G216" s="1"/>
      <c r="H216" s="1"/>
      <c r="I216" s="1"/>
      <c r="J216" s="1"/>
      <c r="K216" s="1"/>
      <c r="M216" s="16"/>
      <c r="P216" s="393"/>
      <c r="Q216" s="55"/>
      <c r="S216" s="269"/>
    </row>
    <row r="217" spans="2:19" s="12" customFormat="1" ht="15" x14ac:dyDescent="0.35">
      <c r="B217" s="33"/>
      <c r="C217" s="384" t="s">
        <v>399</v>
      </c>
      <c r="D217" s="592" t="s">
        <v>400</v>
      </c>
      <c r="E217" s="594"/>
      <c r="F217" s="99" t="str">
        <f>IF(D90="no","",IF(E217="","Insert data",""))</f>
        <v>Insert data</v>
      </c>
      <c r="G217" s="1"/>
      <c r="H217" s="1"/>
      <c r="I217" s="1"/>
      <c r="J217" s="1"/>
      <c r="K217" s="1"/>
      <c r="M217" s="16"/>
      <c r="P217" s="393"/>
      <c r="Q217" s="55"/>
      <c r="S217" s="269"/>
    </row>
    <row r="218" spans="2:19" s="12" customFormat="1" ht="8.4" customHeight="1" x14ac:dyDescent="0.35">
      <c r="B218" s="33"/>
      <c r="C218" s="396"/>
      <c r="D218" s="21"/>
      <c r="E218" s="21"/>
      <c r="F218" s="21"/>
      <c r="G218" s="1"/>
      <c r="H218" s="1"/>
      <c r="I218" s="1"/>
      <c r="J218" s="1"/>
      <c r="K218" s="1"/>
      <c r="M218" s="16"/>
      <c r="P218" s="393"/>
      <c r="Q218" s="394"/>
      <c r="S218" s="269"/>
    </row>
    <row r="219" spans="2:19" s="12" customFormat="1" ht="15" x14ac:dyDescent="0.35">
      <c r="B219" s="33"/>
      <c r="C219" s="395" t="s">
        <v>401</v>
      </c>
      <c r="D219" s="384" t="s">
        <v>402</v>
      </c>
      <c r="E219" s="384" t="s">
        <v>403</v>
      </c>
      <c r="F219" s="384" t="s">
        <v>404</v>
      </c>
      <c r="G219" s="1"/>
      <c r="H219" s="1"/>
      <c r="I219" s="1"/>
      <c r="J219" s="1"/>
      <c r="K219" s="1"/>
      <c r="M219" s="16"/>
      <c r="P219" s="393"/>
      <c r="Q219" s="55"/>
      <c r="S219" s="269"/>
    </row>
    <row r="220" spans="2:19" s="12" customFormat="1" ht="15" x14ac:dyDescent="0.35">
      <c r="B220" s="33"/>
      <c r="C220" s="384" t="s">
        <v>166</v>
      </c>
      <c r="D220" s="592" t="s">
        <v>179</v>
      </c>
      <c r="E220" s="595"/>
      <c r="F220" s="596">
        <f>F221*E217</f>
        <v>0</v>
      </c>
      <c r="G220" s="1"/>
      <c r="H220" s="1"/>
      <c r="I220" s="1"/>
      <c r="J220" s="1"/>
      <c r="K220" s="1"/>
      <c r="M220" s="16"/>
      <c r="P220" s="392"/>
      <c r="S220" s="269"/>
    </row>
    <row r="221" spans="2:19" s="12" customFormat="1" ht="15" x14ac:dyDescent="0.35">
      <c r="B221" s="33"/>
      <c r="C221" s="384" t="s">
        <v>189</v>
      </c>
      <c r="D221" s="592" t="s">
        <v>307</v>
      </c>
      <c r="E221" s="597" t="e">
        <f>E220/E217</f>
        <v>#DIV/0!</v>
      </c>
      <c r="F221" s="598"/>
      <c r="G221" s="1"/>
      <c r="H221" s="1"/>
      <c r="I221" s="1"/>
      <c r="J221" s="1"/>
      <c r="K221" s="1"/>
      <c r="M221" s="16"/>
      <c r="P221" s="393"/>
      <c r="Q221" s="55"/>
      <c r="S221" s="269"/>
    </row>
    <row r="222" spans="2:19" s="12" customFormat="1" ht="15" x14ac:dyDescent="0.35">
      <c r="B222" s="84"/>
      <c r="C222" s="388"/>
      <c r="D222" s="389"/>
      <c r="E222" s="390"/>
      <c r="F222" s="390"/>
      <c r="G222" s="85"/>
      <c r="H222" s="85"/>
      <c r="I222" s="85"/>
      <c r="J222" s="85"/>
      <c r="K222" s="85"/>
      <c r="L222" s="88"/>
      <c r="M222" s="89"/>
      <c r="P222" s="393"/>
      <c r="Q222" s="394"/>
      <c r="S222" s="269"/>
    </row>
    <row r="223" spans="2:19" s="12" customFormat="1" ht="14.25" customHeight="1" x14ac:dyDescent="0.35">
      <c r="B223" s="33"/>
      <c r="C223" s="1"/>
      <c r="D223" s="1"/>
      <c r="E223" s="1"/>
      <c r="F223" s="25"/>
      <c r="G223" s="53"/>
      <c r="H223" s="1"/>
      <c r="I223" s="1"/>
      <c r="J223" s="1"/>
      <c r="K223" s="1"/>
      <c r="M223" s="16"/>
      <c r="O223" s="269"/>
      <c r="P223" s="269"/>
      <c r="Q223" s="269"/>
      <c r="R223" s="269"/>
      <c r="S223" s="269"/>
    </row>
    <row r="224" spans="2:19" s="12" customFormat="1" ht="15" x14ac:dyDescent="0.35">
      <c r="B224" s="33"/>
      <c r="C224" s="25" t="s">
        <v>405</v>
      </c>
      <c r="G224" s="1"/>
      <c r="H224" s="1"/>
      <c r="I224" s="1"/>
      <c r="J224" s="1"/>
      <c r="K224" s="1"/>
      <c r="M224" s="16"/>
      <c r="P224" s="392"/>
      <c r="S224" s="269"/>
    </row>
    <row r="225" spans="2:19" s="12" customFormat="1" ht="15" x14ac:dyDescent="0.35">
      <c r="B225" s="33"/>
      <c r="C225" s="790" t="s">
        <v>406</v>
      </c>
      <c r="D225" s="791"/>
      <c r="E225" s="134"/>
      <c r="F225" s="418"/>
      <c r="G225" s="1"/>
      <c r="H225" s="1"/>
      <c r="I225" s="1"/>
      <c r="J225" s="1"/>
      <c r="K225" s="1"/>
      <c r="M225" s="16"/>
      <c r="P225" s="392"/>
      <c r="S225" s="269"/>
    </row>
    <row r="226" spans="2:19" s="12" customFormat="1" ht="15" x14ac:dyDescent="0.35">
      <c r="B226" s="33"/>
      <c r="C226" s="164"/>
      <c r="D226" s="166" t="s">
        <v>151</v>
      </c>
      <c r="E226" s="166" t="s">
        <v>140</v>
      </c>
      <c r="F226" s="164" t="s">
        <v>233</v>
      </c>
      <c r="G226" s="1"/>
      <c r="H226" s="1"/>
      <c r="M226" s="16"/>
    </row>
    <row r="227" spans="2:19" s="12" customFormat="1" ht="15" x14ac:dyDescent="0.35">
      <c r="B227" s="33"/>
      <c r="C227" s="164" t="s">
        <v>407</v>
      </c>
      <c r="D227" s="141" t="s">
        <v>279</v>
      </c>
      <c r="E227" s="146"/>
      <c r="F227" s="70" t="e">
        <f>IF(D88="no", "", IF(E225="natural gas in", E227*E228, F229/E233))</f>
        <v>#DIV/0!</v>
      </c>
      <c r="G227" s="418" t="str">
        <f>IFERROR(IF((F229/0.85)&gt;F227, "Warning: energy generated is high", ""), "")</f>
        <v/>
      </c>
      <c r="H227" s="1"/>
      <c r="M227" s="16"/>
    </row>
    <row r="228" spans="2:19" s="12" customFormat="1" ht="15" x14ac:dyDescent="0.35">
      <c r="B228" s="33"/>
      <c r="C228" s="164" t="s">
        <v>389</v>
      </c>
      <c r="D228" s="141" t="s">
        <v>390</v>
      </c>
      <c r="E228" s="700" cm="1">
        <f t="array" ref="E228">'Reference values'!$D$49*HHV_to_LHV_Table[Conversion factor]</f>
        <v>3.24</v>
      </c>
      <c r="F228" s="70" t="s">
        <v>300</v>
      </c>
      <c r="H228" s="1"/>
      <c r="M228" s="16"/>
    </row>
    <row r="229" spans="2:19" s="12" customFormat="1" ht="15" x14ac:dyDescent="0.35">
      <c r="B229" s="33"/>
      <c r="C229" s="164" t="s">
        <v>306</v>
      </c>
      <c r="D229" s="141" t="s">
        <v>307</v>
      </c>
      <c r="E229" s="146"/>
      <c r="F229" s="70">
        <f>IFERROR(IF($D$88 = "no", "",IF(D229="kWh",E229*'Reference values'!$D$49,IF(D229="MWh",E229*'Reference values'!$D$47,""))), 0)</f>
        <v>0</v>
      </c>
      <c r="G229" s="418" t="str">
        <f>IFERROR(IF(F229&gt;F227, "Warning: heat generated cannot be higher than gas to boiler", ""), "")</f>
        <v/>
      </c>
      <c r="H229" s="1"/>
      <c r="M229" s="16"/>
    </row>
    <row r="230" spans="2:19" s="12" customFormat="1" ht="15" x14ac:dyDescent="0.35">
      <c r="B230" s="33"/>
      <c r="C230" s="166" t="s">
        <v>309</v>
      </c>
      <c r="D230" s="141" t="s">
        <v>307</v>
      </c>
      <c r="E230" s="146"/>
      <c r="F230" s="70">
        <f>IFERROR(IF($D$88 = "no", "",IF(D230="kWh",E230*'Reference values'!$D$49,IF(D230="MWh",E230*'Reference values'!$D$47,""))), 0)</f>
        <v>0</v>
      </c>
      <c r="G230" s="229" t="str">
        <f>IF(D158="yes", IF(AND(OR($E$117&gt;0),(ISBLANK(E230))),"Insert data",IF(AND(NOT(ISBLANK(E230)),ISBLANK(D230)),"Insert unit","")), "")</f>
        <v/>
      </c>
      <c r="H230" s="1"/>
      <c r="J230" s="418" t="str">
        <f>IF(F230&gt;F229, "Warning: exported heat cannot be higher than generated heat", "")</f>
        <v/>
      </c>
      <c r="M230" s="16"/>
    </row>
    <row r="231" spans="2:19" s="12" customFormat="1" ht="15" x14ac:dyDescent="0.35">
      <c r="B231" s="33"/>
      <c r="C231" s="164" t="s">
        <v>311</v>
      </c>
      <c r="D231" s="141" t="s">
        <v>312</v>
      </c>
      <c r="E231" s="146">
        <v>85</v>
      </c>
      <c r="F231" s="70" t="s">
        <v>300</v>
      </c>
      <c r="G231" s="229" t="str">
        <f>IF(AND(OR($E$116&gt;0),(ISBLANK(E231))),"Insert data",IF(AND(NOT(ISBLANK(E231)),ISBLANK(D231)),"Insert unit",""))</f>
        <v/>
      </c>
      <c r="H231" s="1"/>
      <c r="M231" s="16"/>
    </row>
    <row r="232" spans="2:19" s="12" customFormat="1" ht="15" x14ac:dyDescent="0.35">
      <c r="B232" s="33"/>
      <c r="C232" s="164" t="s">
        <v>313</v>
      </c>
      <c r="D232" s="74" t="s">
        <v>271</v>
      </c>
      <c r="E232" s="225">
        <f>IF(D231="°C",IF(E231&lt;150,0.3456,(E231)/(E231+273)),IF(D231="°K",IF(E231&lt;423,0.3456,(E231-273)/E231),""))</f>
        <v>0.34560000000000002</v>
      </c>
      <c r="H232" s="1"/>
      <c r="M232" s="16"/>
    </row>
    <row r="233" spans="2:19" s="12" customFormat="1" ht="15" x14ac:dyDescent="0.35">
      <c r="B233" s="33"/>
      <c r="C233" s="164" t="s">
        <v>408</v>
      </c>
      <c r="D233" s="592" t="s">
        <v>271</v>
      </c>
      <c r="E233" s="601"/>
      <c r="F233" s="25"/>
      <c r="G233" s="1"/>
      <c r="H233" s="1"/>
      <c r="I233" s="1"/>
      <c r="J233" s="1"/>
      <c r="K233" s="1"/>
      <c r="M233" s="16"/>
    </row>
    <row r="234" spans="2:19" s="12" customFormat="1" ht="15" x14ac:dyDescent="0.35">
      <c r="B234" s="84"/>
      <c r="C234" s="702"/>
      <c r="D234" s="240"/>
      <c r="E234" s="240"/>
      <c r="F234" s="29"/>
      <c r="G234" s="85"/>
      <c r="H234" s="85"/>
      <c r="I234" s="85"/>
      <c r="J234" s="85"/>
      <c r="K234" s="85"/>
      <c r="L234" s="88"/>
      <c r="M234" s="89"/>
      <c r="P234" s="392"/>
      <c r="S234" s="269"/>
    </row>
    <row r="235" spans="2:19" s="1" customFormat="1" ht="11.25" customHeight="1" x14ac:dyDescent="0.35">
      <c r="B235" s="2"/>
      <c r="C235" s="3"/>
      <c r="E235" s="2"/>
      <c r="O235" s="12"/>
      <c r="P235" s="393"/>
      <c r="Q235" s="55"/>
      <c r="R235" s="12"/>
      <c r="S235" s="391"/>
    </row>
    <row r="236" spans="2:19" s="200" customFormat="1" ht="3.75" customHeight="1" thickBot="1" x14ac:dyDescent="0.45"/>
    <row r="237" spans="2:19" s="158" customFormat="1" ht="16.8" x14ac:dyDescent="0.4"/>
    <row r="238" spans="2:19" s="158" customFormat="1" ht="16.8" x14ac:dyDescent="0.4"/>
    <row r="256" spans="5:7" x14ac:dyDescent="0.3">
      <c r="E256" s="178"/>
      <c r="F256" s="178"/>
      <c r="G256" s="179"/>
    </row>
    <row r="257" spans="3:12" x14ac:dyDescent="0.3">
      <c r="F257" s="180"/>
      <c r="G257" s="177"/>
    </row>
    <row r="258" spans="3:12" x14ac:dyDescent="0.3">
      <c r="F258" s="180"/>
      <c r="G258" s="177"/>
    </row>
    <row r="259" spans="3:12" x14ac:dyDescent="0.3">
      <c r="G259" s="177"/>
    </row>
    <row r="260" spans="3:12" x14ac:dyDescent="0.3">
      <c r="G260" s="177"/>
    </row>
    <row r="261" spans="3:12" x14ac:dyDescent="0.3">
      <c r="G261" s="177"/>
    </row>
    <row r="262" spans="3:12" x14ac:dyDescent="0.3">
      <c r="C262" s="180"/>
      <c r="F262" s="180"/>
      <c r="G262" s="177"/>
    </row>
    <row r="263" spans="3:12" x14ac:dyDescent="0.3">
      <c r="G263" s="177"/>
      <c r="J263" s="181"/>
      <c r="L263" s="181"/>
    </row>
    <row r="264" spans="3:12" x14ac:dyDescent="0.3">
      <c r="G264" s="177"/>
    </row>
    <row r="265" spans="3:12" x14ac:dyDescent="0.3">
      <c r="F265" s="180"/>
      <c r="G265" s="177"/>
    </row>
    <row r="266" spans="3:12" x14ac:dyDescent="0.3">
      <c r="F266" s="180"/>
      <c r="G266" s="177"/>
    </row>
    <row r="267" spans="3:12" x14ac:dyDescent="0.3">
      <c r="F267" s="180"/>
      <c r="G267" s="177"/>
    </row>
    <row r="268" spans="3:12" x14ac:dyDescent="0.3">
      <c r="F268" s="180"/>
      <c r="G268" s="177"/>
    </row>
    <row r="269" spans="3:12" x14ac:dyDescent="0.3">
      <c r="F269" s="180"/>
      <c r="G269" s="177"/>
    </row>
    <row r="270" spans="3:12" x14ac:dyDescent="0.3">
      <c r="F270" s="180"/>
      <c r="G270" s="177"/>
    </row>
    <row r="271" spans="3:12" x14ac:dyDescent="0.3">
      <c r="F271" s="180"/>
      <c r="G271" s="177"/>
    </row>
    <row r="272" spans="3:12" x14ac:dyDescent="0.3">
      <c r="F272" s="180"/>
      <c r="G272" s="177"/>
    </row>
    <row r="273" spans="6:7" x14ac:dyDescent="0.3">
      <c r="F273" s="180"/>
      <c r="G273" s="177"/>
    </row>
  </sheetData>
  <sheetProtection algorithmName="SHA-512" hashValue="7WrCRx9yEmgXySKO/9u0S4CCKebu2TK6QxkPYz1BZTTSAY14zaRd8iNpSwSxlj3qH9bMNxx4Xud+Qqfq4SKKwQ==" saltValue="MkKC+Pi7bV/Dgfxle4sTzA==" spinCount="100000" sheet="1" objects="1" scenarios="1"/>
  <dataConsolidate/>
  <mergeCells count="18">
    <mergeCell ref="B6:M6"/>
    <mergeCell ref="C225:D225"/>
    <mergeCell ref="F182:G182"/>
    <mergeCell ref="C15:G15"/>
    <mergeCell ref="C26:G26"/>
    <mergeCell ref="C68:G68"/>
    <mergeCell ref="C74:G74"/>
    <mergeCell ref="C216:D216"/>
    <mergeCell ref="C134:D134"/>
    <mergeCell ref="C135:D135"/>
    <mergeCell ref="C138:D138"/>
    <mergeCell ref="B8:M8"/>
    <mergeCell ref="C42:G42"/>
    <mergeCell ref="P173:Q173"/>
    <mergeCell ref="Q143:Q145"/>
    <mergeCell ref="S143:T154"/>
    <mergeCell ref="S169:S173"/>
    <mergeCell ref="P181:Q182"/>
  </mergeCells>
  <conditionalFormatting sqref="E154">
    <cfRule type="expression" dxfId="3459" priority="5">
      <formula>C154="Standard (Open)"</formula>
    </cfRule>
    <cfRule type="expression" dxfId="3458" priority="7">
      <formula>C154="Actual"</formula>
    </cfRule>
    <cfRule type="expression" dxfId="3457" priority="1080">
      <formula>C154="Standard (Covered)"</formula>
    </cfRule>
  </conditionalFormatting>
  <conditionalFormatting sqref="D154">
    <cfRule type="expression" dxfId="3456" priority="4">
      <formula>C154="Standard (Open)"</formula>
    </cfRule>
    <cfRule type="expression" dxfId="3455" priority="1076">
      <formula>C154="Standard (Covered)"</formula>
    </cfRule>
    <cfRule type="expression" dxfId="3454" priority="1081">
      <formula>OR(C154="open", C154="unknown")</formula>
    </cfRule>
  </conditionalFormatting>
  <conditionalFormatting sqref="E43:E67 E69:E73 E75:E80">
    <cfRule type="expression" dxfId="3453" priority="1083">
      <formula>#REF!="Actual"</formula>
    </cfRule>
  </conditionalFormatting>
  <conditionalFormatting sqref="J155:J156 J159">
    <cfRule type="cellIs" dxfId="3452" priority="1082" operator="equal">
      <formula>"Conservative factor applied"</formula>
    </cfRule>
  </conditionalFormatting>
  <conditionalFormatting sqref="A14:B14 I14:L14 I15:J15 L15 L18 I18:J18 I16:L17 I19:L41 C115 L106 J106:K107 M22:N23 L153:N153 W154:XFD159 P22:XFD23 L161:N161 J143:J144 G120:G122 G131:G142 O102:P104 M151:N151 M14:XFD21 M24:XFD47 H108:H109 G143:H144 F10:XFD10 L173:M173 L166:M166 A162:B162 D162:N162 O105:R107 I108:L111 C126:C128 U126:XFD128 G110:H110 I106 C106 F119:G119 O116:Q119 O119:R119 S120:XFD125 U118:XFD119 F125 N120:N144 K120:L142 H111:H142 C103:I103 R109:R118 O109:O115 U160:U174 A26:B26 A68:B68 G81 A81:B81 S236:XFD238 V160:XFD176 N163:N176 N177:XFD177 G147:N148 G104:H107 C102:L102 V129:XFD153 U143:U146 D109:G109 C108 A86:B95 I82:L101 D86:D89 H14:H81 A74:B74 M48:N119 S48:XFD117 F115:F118 G180:N181 E233:M233 H182:N182 A157:B158 G157:I158 L157:N158 J157 J158:K158 K163 I119:J130 G124:G125 U130 U132 O142:U142 U136:U140 A97:B100 G97:H100 O100:P100 O85:O87 R85:R87 O92:O96 O99:O101 R92:R96 R99:R104 C93:H94 L145:N146 A15:C15 A42:C42 A10:C10 A161:J161 A151:H151 A152:N152 A1:XFD5 A11:XFD13 A239:XFD1048576 A179:N179 B166:J166 B173:J173 B164:M165 A235:N238 A149:N150 A147:D148 A82:H85 A96:H96 A16:G25 A27:G41 A43:G67 A69:G73 A75:G80 B225:C225 A159:N160 A101:H101 A102:B146 C144:G145 G146:I146 C146:D146 H145:K145 K146:K148 E86:H92 E95:H95 E225 G224:R225 C97:F98 A7:XFD9 A6:B6 N6:XFD6 G213:N216 O213:R215 G200:G201 G209:G212 U204:XFD206 V207:XFD212 U208 S199:XFD203 N199:N212 H199:H212 F203:G203 M199:M203 C202:C206 D199:G199 I208:J208 K208:L212 D198:R198 O186:R197 G183:N197 I199:L202 I205:L207 B167:M172 O230:Q232 F229:F232 O233:W233 P232:XFD232 O226:XFD231 C227:C229 B233:C233 N178:O178 G217:O226 A163:A178 B174:M178 B223:M224 T178:XFD198 H227:O227 B234:M234 R217:R235 G233:R234 A180:B234 T213:XFD235 G228:O234 Q222:Q234 G153:J153 A155:N156 A153:E154 G154:N154">
    <cfRule type="cellIs" dxfId="3451" priority="1070" operator="equal">
      <formula>"Insert unit"</formula>
    </cfRule>
    <cfRule type="cellIs" dxfId="3450" priority="1071" operator="equal">
      <formula>"Insert data"</formula>
    </cfRule>
  </conditionalFormatting>
  <conditionalFormatting sqref="D10:E10">
    <cfRule type="cellIs" dxfId="3449" priority="1048" operator="equal">
      <formula>"Insert unit"</formula>
    </cfRule>
    <cfRule type="cellIs" dxfId="3448" priority="1049" operator="equal">
      <formula>"Insert data"</formula>
    </cfRule>
  </conditionalFormatting>
  <conditionalFormatting sqref="K15">
    <cfRule type="cellIs" dxfId="3447" priority="1044" operator="equal">
      <formula>"Insert unit"</formula>
    </cfRule>
    <cfRule type="cellIs" dxfId="3446" priority="1045" operator="equal">
      <formula>"Insert data"</formula>
    </cfRule>
  </conditionalFormatting>
  <conditionalFormatting sqref="K18">
    <cfRule type="cellIs" dxfId="3445" priority="1042" operator="equal">
      <formula>"Insert unit"</formula>
    </cfRule>
    <cfRule type="cellIs" dxfId="3444" priority="1043" operator="equal">
      <formula>"Insert data"</formula>
    </cfRule>
  </conditionalFormatting>
  <conditionalFormatting sqref="K153">
    <cfRule type="cellIs" dxfId="3443" priority="1040" operator="equal">
      <formula>"Insert unit"</formula>
    </cfRule>
    <cfRule type="cellIs" dxfId="3442" priority="1041" operator="equal">
      <formula>"Insert data"</formula>
    </cfRule>
  </conditionalFormatting>
  <conditionalFormatting sqref="K161">
    <cfRule type="cellIs" dxfId="3441" priority="1038" operator="equal">
      <formula>"Insert unit"</formula>
    </cfRule>
    <cfRule type="cellIs" dxfId="3440" priority="1039" operator="equal">
      <formula>"Insert data"</formula>
    </cfRule>
  </conditionalFormatting>
  <conditionalFormatting sqref="K166">
    <cfRule type="cellIs" dxfId="3439" priority="1036" operator="equal">
      <formula>"Insert unit"</formula>
    </cfRule>
    <cfRule type="cellIs" dxfId="3438" priority="1037" operator="equal">
      <formula>"Insert data"</formula>
    </cfRule>
  </conditionalFormatting>
  <conditionalFormatting sqref="K173">
    <cfRule type="cellIs" dxfId="3437" priority="1034" operator="equal">
      <formula>"Insert unit"</formula>
    </cfRule>
    <cfRule type="cellIs" dxfId="3436" priority="1035" operator="equal">
      <formula>"Insert data"</formula>
    </cfRule>
  </conditionalFormatting>
  <conditionalFormatting sqref="F119">
    <cfRule type="cellIs" dxfId="3435" priority="1015" operator="equal">
      <formula>"Heat temperature required"</formula>
    </cfRule>
  </conditionalFormatting>
  <conditionalFormatting sqref="C110:E110">
    <cfRule type="cellIs" dxfId="3434" priority="1011" operator="equal">
      <formula>"Insert unit"</formula>
    </cfRule>
    <cfRule type="cellIs" dxfId="3433" priority="1012" operator="equal">
      <formula>"Insert data"</formula>
    </cfRule>
  </conditionalFormatting>
  <conditionalFormatting sqref="C116">
    <cfRule type="cellIs" dxfId="3432" priority="1009" operator="equal">
      <formula>"Insert unit"</formula>
    </cfRule>
    <cfRule type="cellIs" dxfId="3431" priority="1010" operator="equal">
      <formula>"Insert data"</formula>
    </cfRule>
  </conditionalFormatting>
  <conditionalFormatting sqref="C117">
    <cfRule type="cellIs" dxfId="3430" priority="1007" operator="equal">
      <formula>"Insert unit"</formula>
    </cfRule>
    <cfRule type="cellIs" dxfId="3429" priority="1008" operator="equal">
      <formula>"Insert data"</formula>
    </cfRule>
  </conditionalFormatting>
  <conditionalFormatting sqref="C118">
    <cfRule type="cellIs" dxfId="3428" priority="1005" operator="equal">
      <formula>"Insert unit"</formula>
    </cfRule>
    <cfRule type="cellIs" dxfId="3427" priority="1006" operator="equal">
      <formula>"Insert data"</formula>
    </cfRule>
  </conditionalFormatting>
  <conditionalFormatting sqref="C122:E122 C120:E120">
    <cfRule type="cellIs" dxfId="3426" priority="1001" operator="equal">
      <formula>"Insert unit"</formula>
    </cfRule>
    <cfRule type="cellIs" dxfId="3425" priority="1002" operator="equal">
      <formula>"Insert data"</formula>
    </cfRule>
  </conditionalFormatting>
  <conditionalFormatting sqref="D130">
    <cfRule type="cellIs" dxfId="3424" priority="955" operator="equal">
      <formula>"Insert unit"</formula>
    </cfRule>
    <cfRule type="cellIs" dxfId="3423" priority="956" operator="equal">
      <formula>"Insert data"</formula>
    </cfRule>
  </conditionalFormatting>
  <conditionalFormatting sqref="C119:E119">
    <cfRule type="cellIs" dxfId="3422" priority="995" operator="equal">
      <formula>"Insert unit"</formula>
    </cfRule>
    <cfRule type="cellIs" dxfId="3421" priority="996" operator="equal">
      <formula>"Insert data"</formula>
    </cfRule>
  </conditionalFormatting>
  <conditionalFormatting sqref="G115:G117 G128">
    <cfRule type="cellIs" dxfId="3420" priority="993" operator="equal">
      <formula>"Insert unit"</formula>
    </cfRule>
    <cfRule type="cellIs" dxfId="3419" priority="994" operator="equal">
      <formula>"Insert data"</formula>
    </cfRule>
  </conditionalFormatting>
  <conditionalFormatting sqref="E117">
    <cfRule type="cellIs" dxfId="3418" priority="991" operator="equal">
      <formula>"Insert unit"</formula>
    </cfRule>
    <cfRule type="cellIs" dxfId="3417" priority="992" operator="equal">
      <formula>"Insert data"</formula>
    </cfRule>
  </conditionalFormatting>
  <conditionalFormatting sqref="D117">
    <cfRule type="cellIs" dxfId="3416" priority="989" operator="equal">
      <formula>"Insert unit"</formula>
    </cfRule>
    <cfRule type="cellIs" dxfId="3415" priority="990" operator="equal">
      <formula>"Insert data"</formula>
    </cfRule>
  </conditionalFormatting>
  <conditionalFormatting sqref="D118">
    <cfRule type="cellIs" dxfId="3414" priority="985" operator="equal">
      <formula>"Insert unit"</formula>
    </cfRule>
    <cfRule type="cellIs" dxfId="3413" priority="986" operator="equal">
      <formula>"Insert data"</formula>
    </cfRule>
  </conditionalFormatting>
  <conditionalFormatting sqref="E118">
    <cfRule type="cellIs" dxfId="3412" priority="987" operator="equal">
      <formula>"Insert unit"</formula>
    </cfRule>
    <cfRule type="cellIs" dxfId="3411" priority="988" operator="equal">
      <formula>"Insert data"</formula>
    </cfRule>
  </conditionalFormatting>
  <conditionalFormatting sqref="D116:E116">
    <cfRule type="cellIs" dxfId="3410" priority="983" operator="equal">
      <formula>"Insert unit"</formula>
    </cfRule>
    <cfRule type="cellIs" dxfId="3409" priority="984" operator="equal">
      <formula>"Insert data"</formula>
    </cfRule>
  </conditionalFormatting>
  <conditionalFormatting sqref="D126">
    <cfRule type="cellIs" dxfId="3408" priority="977" operator="equal">
      <formula>"Insert unit"</formula>
    </cfRule>
    <cfRule type="cellIs" dxfId="3407" priority="978" operator="equal">
      <formula>"Insert data"</formula>
    </cfRule>
  </conditionalFormatting>
  <conditionalFormatting sqref="D127">
    <cfRule type="cellIs" dxfId="3406" priority="973" operator="equal">
      <formula>"Insert unit"</formula>
    </cfRule>
    <cfRule type="cellIs" dxfId="3405" priority="974" operator="equal">
      <formula>"Insert data"</formula>
    </cfRule>
  </conditionalFormatting>
  <conditionalFormatting sqref="F120:F121">
    <cfRule type="cellIs" dxfId="3404" priority="969" operator="equal">
      <formula>"Insert unit"</formula>
    </cfRule>
    <cfRule type="cellIs" dxfId="3403" priority="970" operator="equal">
      <formula>"Insert data"</formula>
    </cfRule>
  </conditionalFormatting>
  <conditionalFormatting sqref="C130">
    <cfRule type="cellIs" dxfId="3402" priority="961" operator="equal">
      <formula>"Insert unit"</formula>
    </cfRule>
    <cfRule type="cellIs" dxfId="3401" priority="962" operator="equal">
      <formula>"Insert data"</formula>
    </cfRule>
  </conditionalFormatting>
  <conditionalFormatting sqref="C131:C132">
    <cfRule type="cellIs" dxfId="3400" priority="959" operator="equal">
      <formula>"Insert unit"</formula>
    </cfRule>
    <cfRule type="cellIs" dxfId="3399" priority="960" operator="equal">
      <formula>"Insert data"</formula>
    </cfRule>
  </conditionalFormatting>
  <conditionalFormatting sqref="D131:D132">
    <cfRule type="cellIs" dxfId="3398" priority="951" operator="equal">
      <formula>"Insert unit"</formula>
    </cfRule>
    <cfRule type="cellIs" dxfId="3397" priority="952" operator="equal">
      <formula>"Insert data"</formula>
    </cfRule>
  </conditionalFormatting>
  <conditionalFormatting sqref="E131:E132">
    <cfRule type="cellIs" dxfId="3396" priority="953" operator="equal">
      <formula>"Insert unit"</formula>
    </cfRule>
    <cfRule type="cellIs" dxfId="3395" priority="954" operator="equal">
      <formula>"Insert data"</formula>
    </cfRule>
  </conditionalFormatting>
  <conditionalFormatting sqref="D129">
    <cfRule type="cellIs" dxfId="3394" priority="949" operator="equal">
      <formula>"Insert unit"</formula>
    </cfRule>
    <cfRule type="cellIs" dxfId="3393" priority="950" operator="equal">
      <formula>"Insert data"</formula>
    </cfRule>
  </conditionalFormatting>
  <conditionalFormatting sqref="C129">
    <cfRule type="cellIs" dxfId="3392" priority="939" operator="equal">
      <formula>"Insert unit"</formula>
    </cfRule>
    <cfRule type="cellIs" dxfId="3391" priority="940" operator="equal">
      <formula>"Insert data"</formula>
    </cfRule>
  </conditionalFormatting>
  <conditionalFormatting sqref="D115">
    <cfRule type="cellIs" dxfId="3390" priority="937" operator="equal">
      <formula>"Insert unit"</formula>
    </cfRule>
    <cfRule type="cellIs" dxfId="3389" priority="938" operator="equal">
      <formula>"Insert data"</formula>
    </cfRule>
  </conditionalFormatting>
  <conditionalFormatting sqref="G126">
    <cfRule type="cellIs" dxfId="3388" priority="925" operator="equal">
      <formula>"Insert unit"</formula>
    </cfRule>
    <cfRule type="cellIs" dxfId="3387" priority="926" operator="equal">
      <formula>"Insert data"</formula>
    </cfRule>
  </conditionalFormatting>
  <conditionalFormatting sqref="G127">
    <cfRule type="cellIs" dxfId="3386" priority="923" operator="equal">
      <formula>"Insert unit"</formula>
    </cfRule>
    <cfRule type="cellIs" dxfId="3385" priority="924" operator="equal">
      <formula>"Insert data"</formula>
    </cfRule>
  </conditionalFormatting>
  <conditionalFormatting sqref="G130">
    <cfRule type="cellIs" dxfId="3384" priority="915" operator="equal">
      <formula>"Insert unit"</formula>
    </cfRule>
    <cfRule type="cellIs" dxfId="3383" priority="916" operator="equal">
      <formula>"Insert data"</formula>
    </cfRule>
  </conditionalFormatting>
  <conditionalFormatting sqref="G129">
    <cfRule type="cellIs" dxfId="3382" priority="917" operator="equal">
      <formula>"Insert unit"</formula>
    </cfRule>
    <cfRule type="cellIs" dxfId="3381" priority="918" operator="equal">
      <formula>"Insert data"</formula>
    </cfRule>
  </conditionalFormatting>
  <conditionalFormatting sqref="M44:M47">
    <cfRule type="cellIs" dxfId="3380" priority="893" operator="equal">
      <formula>"Insert unit"</formula>
    </cfRule>
    <cfRule type="cellIs" dxfId="3379" priority="894" operator="equal">
      <formula>"Insert data"</formula>
    </cfRule>
  </conditionalFormatting>
  <conditionalFormatting sqref="G108">
    <cfRule type="cellIs" dxfId="3378" priority="889" operator="equal">
      <formula>"Insert unit"</formula>
    </cfRule>
    <cfRule type="cellIs" dxfId="3377" priority="890" operator="equal">
      <formula>"Insert data"</formula>
    </cfRule>
  </conditionalFormatting>
  <conditionalFormatting sqref="L103">
    <cfRule type="cellIs" dxfId="3376" priority="875" operator="equal">
      <formula>"Insert unit"</formula>
    </cfRule>
    <cfRule type="cellIs" dxfId="3375" priority="876" operator="equal">
      <formula>"Insert data"</formula>
    </cfRule>
  </conditionalFormatting>
  <conditionalFormatting sqref="K103">
    <cfRule type="cellIs" dxfId="3374" priority="861" operator="equal">
      <formula>"Insert unit"</formula>
    </cfRule>
    <cfRule type="cellIs" dxfId="3373" priority="862" operator="equal">
      <formula>"Insert data"</formula>
    </cfRule>
  </conditionalFormatting>
  <conditionalFormatting sqref="J103">
    <cfRule type="cellIs" dxfId="3372" priority="859" operator="equal">
      <formula>"Insert unit"</formula>
    </cfRule>
    <cfRule type="cellIs" dxfId="3371" priority="860" operator="equal">
      <formula>"Insert data"</formula>
    </cfRule>
  </conditionalFormatting>
  <conditionalFormatting sqref="L107">
    <cfRule type="cellIs" dxfId="3370" priority="857" operator="equal">
      <formula>"Insert unit"</formula>
    </cfRule>
    <cfRule type="cellIs" dxfId="3369" priority="858" operator="equal">
      <formula>"Insert data"</formula>
    </cfRule>
  </conditionalFormatting>
  <conditionalFormatting sqref="I107">
    <cfRule type="cellIs" dxfId="3368" priority="855" operator="equal">
      <formula>"Insert unit"</formula>
    </cfRule>
    <cfRule type="cellIs" dxfId="3367" priority="856" operator="equal">
      <formula>"Insert data"</formula>
    </cfRule>
  </conditionalFormatting>
  <conditionalFormatting sqref="J105:K105">
    <cfRule type="cellIs" dxfId="3366" priority="853" operator="equal">
      <formula>"Insert unit"</formula>
    </cfRule>
    <cfRule type="cellIs" dxfId="3365" priority="854" operator="equal">
      <formula>"Insert data"</formula>
    </cfRule>
  </conditionalFormatting>
  <conditionalFormatting sqref="L105">
    <cfRule type="cellIs" dxfId="3364" priority="851" operator="equal">
      <formula>"Insert unit"</formula>
    </cfRule>
    <cfRule type="cellIs" dxfId="3363" priority="852" operator="equal">
      <formula>"Insert data"</formula>
    </cfRule>
  </conditionalFormatting>
  <conditionalFormatting sqref="I105">
    <cfRule type="cellIs" dxfId="3362" priority="849" operator="equal">
      <formula>"Insert unit"</formula>
    </cfRule>
    <cfRule type="cellIs" dxfId="3361" priority="850" operator="equal">
      <formula>"Insert data"</formula>
    </cfRule>
  </conditionalFormatting>
  <conditionalFormatting sqref="I131:I142">
    <cfRule type="cellIs" dxfId="3360" priority="829" operator="equal">
      <formula>"Insert unit"</formula>
    </cfRule>
    <cfRule type="cellIs" dxfId="3359" priority="830" operator="equal">
      <formula>"Insert data"</formula>
    </cfRule>
  </conditionalFormatting>
  <conditionalFormatting sqref="I104">
    <cfRule type="cellIs" dxfId="3358" priority="821" operator="equal">
      <formula>"Insert unit"</formula>
    </cfRule>
    <cfRule type="cellIs" dxfId="3357" priority="822" operator="equal">
      <formula>"Insert data"</formula>
    </cfRule>
  </conditionalFormatting>
  <conditionalFormatting sqref="J104:K104">
    <cfRule type="cellIs" dxfId="3356" priority="825" operator="equal">
      <formula>"Insert unit"</formula>
    </cfRule>
    <cfRule type="cellIs" dxfId="3355" priority="826" operator="equal">
      <formula>"Insert data"</formula>
    </cfRule>
  </conditionalFormatting>
  <conditionalFormatting sqref="L104">
    <cfRule type="cellIs" dxfId="3354" priority="823" operator="equal">
      <formula>"Insert unit"</formula>
    </cfRule>
    <cfRule type="cellIs" dxfId="3353" priority="824" operator="equal">
      <formula>"Insert data"</formula>
    </cfRule>
  </conditionalFormatting>
  <conditionalFormatting sqref="F122">
    <cfRule type="cellIs" dxfId="3352" priority="817" operator="equal">
      <formula>"Insert unit"</formula>
    </cfRule>
    <cfRule type="cellIs" dxfId="3351" priority="818" operator="equal">
      <formula>"Insert data"</formula>
    </cfRule>
  </conditionalFormatting>
  <conditionalFormatting sqref="F110">
    <cfRule type="cellIs" dxfId="3350" priority="819" operator="equal">
      <formula>"Insert unit"</formula>
    </cfRule>
    <cfRule type="cellIs" dxfId="3349" priority="820" operator="equal">
      <formula>"Insert data"</formula>
    </cfRule>
  </conditionalFormatting>
  <conditionalFormatting sqref="F104:F106">
    <cfRule type="cellIs" dxfId="3348" priority="815" operator="equal">
      <formula>"Insert unit"</formula>
    </cfRule>
    <cfRule type="cellIs" dxfId="3347" priority="816" operator="equal">
      <formula>"Insert data"</formula>
    </cfRule>
  </conditionalFormatting>
  <conditionalFormatting sqref="F130">
    <cfRule type="cellIs" dxfId="3346" priority="799" operator="equal">
      <formula>"Insert unit"</formula>
    </cfRule>
    <cfRule type="cellIs" dxfId="3345" priority="800" operator="equal">
      <formula>"Insert data"</formula>
    </cfRule>
  </conditionalFormatting>
  <conditionalFormatting sqref="F126:F129">
    <cfRule type="cellIs" dxfId="3344" priority="789" operator="equal">
      <formula>"Insert unit"</formula>
    </cfRule>
    <cfRule type="cellIs" dxfId="3343" priority="790" operator="equal">
      <formula>"Insert data"</formula>
    </cfRule>
  </conditionalFormatting>
  <conditionalFormatting sqref="M120:M125">
    <cfRule type="cellIs" dxfId="3342" priority="683" operator="equal">
      <formula>"Insert unit"</formula>
    </cfRule>
    <cfRule type="cellIs" dxfId="3341" priority="684" operator="equal">
      <formula>"Insert data"</formula>
    </cfRule>
  </conditionalFormatting>
  <conditionalFormatting sqref="M126:M127">
    <cfRule type="cellIs" dxfId="3340" priority="681" operator="equal">
      <formula>"Insert unit"</formula>
    </cfRule>
    <cfRule type="cellIs" dxfId="3339" priority="682" operator="equal">
      <formula>"Insert data"</formula>
    </cfRule>
  </conditionalFormatting>
  <conditionalFormatting sqref="M128">
    <cfRule type="cellIs" dxfId="3338" priority="677" operator="equal">
      <formula>"Insert unit"</formula>
    </cfRule>
    <cfRule type="cellIs" dxfId="3337" priority="678" operator="equal">
      <formula>"Insert data"</formula>
    </cfRule>
  </conditionalFormatting>
  <conditionalFormatting sqref="M129">
    <cfRule type="cellIs" dxfId="3336" priority="675" operator="equal">
      <formula>"Insert unit"</formula>
    </cfRule>
    <cfRule type="cellIs" dxfId="3335" priority="676" operator="equal">
      <formula>"Insert data"</formula>
    </cfRule>
  </conditionalFormatting>
  <conditionalFormatting sqref="M130">
    <cfRule type="cellIs" dxfId="3334" priority="671" operator="equal">
      <formula>"Insert unit"</formula>
    </cfRule>
    <cfRule type="cellIs" dxfId="3333" priority="672" operator="equal">
      <formula>"Insert data"</formula>
    </cfRule>
  </conditionalFormatting>
  <conditionalFormatting sqref="M131:M144">
    <cfRule type="cellIs" dxfId="3332" priority="669" operator="equal">
      <formula>"Insert unit"</formula>
    </cfRule>
    <cfRule type="cellIs" dxfId="3331" priority="670" operator="equal">
      <formula>"Insert data"</formula>
    </cfRule>
  </conditionalFormatting>
  <conditionalFormatting sqref="P113">
    <cfRule type="cellIs" dxfId="3330" priority="657" operator="equal">
      <formula>"Insert unit"</formula>
    </cfRule>
    <cfRule type="cellIs" dxfId="3329" priority="658" operator="equal">
      <formula>"Insert data"</formula>
    </cfRule>
  </conditionalFormatting>
  <conditionalFormatting sqref="Q117:Q119">
    <cfRule type="cellIs" dxfId="3328" priority="653" operator="equal">
      <formula>"Insert unit"</formula>
    </cfRule>
    <cfRule type="cellIs" dxfId="3327" priority="654" operator="equal">
      <formula>"Insert data"</formula>
    </cfRule>
  </conditionalFormatting>
  <conditionalFormatting sqref="P112:Q112">
    <cfRule type="cellIs" dxfId="3326" priority="655" operator="equal">
      <formula>"Insert unit"</formula>
    </cfRule>
    <cfRule type="cellIs" dxfId="3325" priority="656" operator="equal">
      <formula>"Insert data"</formula>
    </cfRule>
  </conditionalFormatting>
  <conditionalFormatting sqref="Q115">
    <cfRule type="cellIs" dxfId="3324" priority="651" operator="equal">
      <formula>"Insert unit"</formula>
    </cfRule>
    <cfRule type="cellIs" dxfId="3323" priority="652" operator="equal">
      <formula>"Insert data"</formula>
    </cfRule>
  </conditionalFormatting>
  <conditionalFormatting sqref="Q102:Q104">
    <cfRule type="cellIs" dxfId="3322" priority="647" operator="equal">
      <formula>"Insert unit"</formula>
    </cfRule>
    <cfRule type="cellIs" dxfId="3321" priority="648" operator="equal">
      <formula>"Insert data"</formula>
    </cfRule>
  </conditionalFormatting>
  <conditionalFormatting sqref="Q111">
    <cfRule type="cellIs" dxfId="3320" priority="649" operator="equal">
      <formula>"Insert unit"</formula>
    </cfRule>
    <cfRule type="cellIs" dxfId="3319" priority="650" operator="equal">
      <formula>"Insert data"</formula>
    </cfRule>
  </conditionalFormatting>
  <conditionalFormatting sqref="P143:P144 T168:T169 S169 Q170:Q172 O145:P145 O152:O153 O169 O168:Q168 O146:O150 P166:T166 Q161:T164 R150 P160 O151:R151 O174:T174 U149:U153">
    <cfRule type="cellIs" dxfId="3318" priority="645" operator="equal">
      <formula>"Insert unit"</formula>
    </cfRule>
    <cfRule type="cellIs" dxfId="3317" priority="646" operator="equal">
      <formula>"Insert data"</formula>
    </cfRule>
  </conditionalFormatting>
  <conditionalFormatting sqref="O143:O144">
    <cfRule type="cellIs" dxfId="3316" priority="643" operator="equal">
      <formula>"Insert unit"</formula>
    </cfRule>
    <cfRule type="cellIs" dxfId="3315" priority="644" operator="equal">
      <formula>"Insert data"</formula>
    </cfRule>
  </conditionalFormatting>
  <conditionalFormatting sqref="P170">
    <cfRule type="cellIs" dxfId="3314" priority="639" operator="equal">
      <formula>"Insert unit"</formula>
    </cfRule>
    <cfRule type="cellIs" dxfId="3313" priority="640" operator="equal">
      <formula>"Insert data"</formula>
    </cfRule>
  </conditionalFormatting>
  <conditionalFormatting sqref="P169">
    <cfRule type="cellIs" dxfId="3312" priority="641" operator="equal">
      <formula>"Insert unit"</formula>
    </cfRule>
    <cfRule type="cellIs" dxfId="3311" priority="642" operator="equal">
      <formula>"Insert data"</formula>
    </cfRule>
  </conditionalFormatting>
  <conditionalFormatting sqref="P171">
    <cfRule type="cellIs" dxfId="3310" priority="637" operator="equal">
      <formula>"Insert unit"</formula>
    </cfRule>
    <cfRule type="cellIs" dxfId="3309" priority="638" operator="equal">
      <formula>"Insert data"</formula>
    </cfRule>
  </conditionalFormatting>
  <conditionalFormatting sqref="P172">
    <cfRule type="cellIs" dxfId="3308" priority="635" operator="equal">
      <formula>"Insert unit"</formula>
    </cfRule>
    <cfRule type="cellIs" dxfId="3307" priority="636" operator="equal">
      <formula>"Insert data"</formula>
    </cfRule>
  </conditionalFormatting>
  <conditionalFormatting sqref="Q143:Q144">
    <cfRule type="cellIs" dxfId="3306" priority="633" operator="equal">
      <formula>"Insert unit"</formula>
    </cfRule>
    <cfRule type="cellIs" dxfId="3305" priority="634" operator="equal">
      <formula>"Insert data"</formula>
    </cfRule>
  </conditionalFormatting>
  <conditionalFormatting sqref="R170:R173">
    <cfRule type="cellIs" dxfId="3304" priority="627" operator="equal">
      <formula>"Insert unit"</formula>
    </cfRule>
    <cfRule type="cellIs" dxfId="3303" priority="628" operator="equal">
      <formula>"Insert data"</formula>
    </cfRule>
  </conditionalFormatting>
  <conditionalFormatting sqref="R169">
    <cfRule type="cellIs" dxfId="3302" priority="629" operator="equal">
      <formula>"Insert unit"</formula>
    </cfRule>
    <cfRule type="cellIs" dxfId="3301" priority="630" operator="equal">
      <formula>"Insert data"</formula>
    </cfRule>
  </conditionalFormatting>
  <conditionalFormatting sqref="S168">
    <cfRule type="cellIs" dxfId="3300" priority="623" operator="equal">
      <formula>"Insert unit"</formula>
    </cfRule>
    <cfRule type="cellIs" dxfId="3299" priority="624" operator="equal">
      <formula>"Insert data"</formula>
    </cfRule>
  </conditionalFormatting>
  <conditionalFormatting sqref="R168">
    <cfRule type="cellIs" dxfId="3298" priority="625" operator="equal">
      <formula>"Insert unit"</formula>
    </cfRule>
    <cfRule type="cellIs" dxfId="3297" priority="626" operator="equal">
      <formula>"Insert data"</formula>
    </cfRule>
  </conditionalFormatting>
  <conditionalFormatting sqref="P173">
    <cfRule type="cellIs" dxfId="3296" priority="621" operator="equal">
      <formula>"Insert unit"</formula>
    </cfRule>
    <cfRule type="cellIs" dxfId="3295" priority="622" operator="equal">
      <formula>"Insert data"</formula>
    </cfRule>
  </conditionalFormatting>
  <conditionalFormatting sqref="P148:P150">
    <cfRule type="cellIs" dxfId="3294" priority="615" operator="equal">
      <formula>"Insert unit"</formula>
    </cfRule>
    <cfRule type="cellIs" dxfId="3293" priority="616" operator="equal">
      <formula>"Insert data"</formula>
    </cfRule>
  </conditionalFormatting>
  <conditionalFormatting sqref="P147">
    <cfRule type="cellIs" dxfId="3292" priority="619" operator="equal">
      <formula>"Insert unit"</formula>
    </cfRule>
    <cfRule type="cellIs" dxfId="3291" priority="620" operator="equal">
      <formula>"Insert data"</formula>
    </cfRule>
  </conditionalFormatting>
  <conditionalFormatting sqref="P146">
    <cfRule type="cellIs" dxfId="3290" priority="617" operator="equal">
      <formula>"Insert unit"</formula>
    </cfRule>
    <cfRule type="cellIs" dxfId="3289" priority="618" operator="equal">
      <formula>"Insert data"</formula>
    </cfRule>
  </conditionalFormatting>
  <conditionalFormatting sqref="P152:P154">
    <cfRule type="cellIs" dxfId="3288" priority="613" operator="equal">
      <formula>"Insert unit"</formula>
    </cfRule>
    <cfRule type="cellIs" dxfId="3287" priority="614" operator="equal">
      <formula>"Insert data"</formula>
    </cfRule>
  </conditionalFormatting>
  <conditionalFormatting sqref="Q146:Q150">
    <cfRule type="cellIs" dxfId="3286" priority="611" operator="equal">
      <formula>"Insert unit"</formula>
    </cfRule>
    <cfRule type="cellIs" dxfId="3285" priority="612" operator="equal">
      <formula>"Insert data"</formula>
    </cfRule>
  </conditionalFormatting>
  <conditionalFormatting sqref="Q152:Q154">
    <cfRule type="cellIs" dxfId="3284" priority="609" operator="equal">
      <formula>"Insert unit"</formula>
    </cfRule>
    <cfRule type="cellIs" dxfId="3283" priority="610" operator="equal">
      <formula>"Insert data"</formula>
    </cfRule>
  </conditionalFormatting>
  <conditionalFormatting sqref="R160:T160">
    <cfRule type="cellIs" dxfId="3282" priority="607" operator="equal">
      <formula>"Insert unit"</formula>
    </cfRule>
    <cfRule type="cellIs" dxfId="3281" priority="608" operator="equal">
      <formula>"Insert data"</formula>
    </cfRule>
  </conditionalFormatting>
  <conditionalFormatting sqref="R148">
    <cfRule type="cellIs" dxfId="3280" priority="595" operator="equal">
      <formula>"Insert unit"</formula>
    </cfRule>
    <cfRule type="cellIs" dxfId="3279" priority="596" operator="equal">
      <formula>"Insert data"</formula>
    </cfRule>
  </conditionalFormatting>
  <conditionalFormatting sqref="P161">
    <cfRule type="cellIs" dxfId="3278" priority="605" operator="equal">
      <formula>"Insert unit"</formula>
    </cfRule>
    <cfRule type="cellIs" dxfId="3277" priority="606" operator="equal">
      <formula>"Insert data"</formula>
    </cfRule>
  </conditionalFormatting>
  <conditionalFormatting sqref="P162">
    <cfRule type="cellIs" dxfId="3276" priority="603" operator="equal">
      <formula>"Insert unit"</formula>
    </cfRule>
    <cfRule type="cellIs" dxfId="3275" priority="604" operator="equal">
      <formula>"Insert data"</formula>
    </cfRule>
  </conditionalFormatting>
  <conditionalFormatting sqref="P163">
    <cfRule type="cellIs" dxfId="3274" priority="601" operator="equal">
      <formula>"Insert unit"</formula>
    </cfRule>
    <cfRule type="cellIs" dxfId="3273" priority="602" operator="equal">
      <formula>"Insert data"</formula>
    </cfRule>
  </conditionalFormatting>
  <conditionalFormatting sqref="Q160">
    <cfRule type="cellIs" dxfId="3272" priority="599" operator="equal">
      <formula>"Insert unit"</formula>
    </cfRule>
    <cfRule type="cellIs" dxfId="3271" priority="600" operator="equal">
      <formula>"Insert data"</formula>
    </cfRule>
  </conditionalFormatting>
  <conditionalFormatting sqref="P164">
    <cfRule type="cellIs" dxfId="3270" priority="597" operator="equal">
      <formula>"Insert unit"</formula>
    </cfRule>
    <cfRule type="cellIs" dxfId="3269" priority="598" operator="equal">
      <formula>"Insert data"</formula>
    </cfRule>
  </conditionalFormatting>
  <conditionalFormatting sqref="R152">
    <cfRule type="cellIs" dxfId="3268" priority="593" operator="equal">
      <formula>"Insert unit"</formula>
    </cfRule>
    <cfRule type="cellIs" dxfId="3267" priority="594" operator="equal">
      <formula>"Insert data"</formula>
    </cfRule>
  </conditionalFormatting>
  <conditionalFormatting sqref="R153:R154 S155:T159">
    <cfRule type="cellIs" dxfId="3266" priority="591" operator="equal">
      <formula>"Insert unit"</formula>
    </cfRule>
    <cfRule type="cellIs" dxfId="3265" priority="592" operator="equal">
      <formula>"Insert data"</formula>
    </cfRule>
  </conditionalFormatting>
  <conditionalFormatting sqref="Q167:T167">
    <cfRule type="cellIs" dxfId="3264" priority="589" operator="equal">
      <formula>"Insert unit"</formula>
    </cfRule>
    <cfRule type="cellIs" dxfId="3263" priority="590" operator="equal">
      <formula>"Insert data"</formula>
    </cfRule>
  </conditionalFormatting>
  <conditionalFormatting sqref="P155:R159">
    <cfRule type="cellIs" dxfId="3262" priority="587" operator="equal">
      <formula>"Insert unit"</formula>
    </cfRule>
    <cfRule type="cellIs" dxfId="3261" priority="588" operator="equal">
      <formula>"Insert data"</formula>
    </cfRule>
  </conditionalFormatting>
  <conditionalFormatting sqref="P165">
    <cfRule type="cellIs" dxfId="3260" priority="583" operator="equal">
      <formula>"Insert unit"</formula>
    </cfRule>
    <cfRule type="cellIs" dxfId="3259" priority="584" operator="equal">
      <formula>"Insert data"</formula>
    </cfRule>
  </conditionalFormatting>
  <conditionalFormatting sqref="O108:R108">
    <cfRule type="cellIs" dxfId="3258" priority="579" operator="equal">
      <formula>"Insert unit"</formula>
    </cfRule>
    <cfRule type="cellIs" dxfId="3257" priority="580" operator="equal">
      <formula>"Insert data"</formula>
    </cfRule>
  </conditionalFormatting>
  <conditionalFormatting sqref="E16:E25 E27:E41">
    <cfRule type="expression" dxfId="3256" priority="1230">
      <formula>#REF!="Actual"</formula>
    </cfRule>
  </conditionalFormatting>
  <conditionalFormatting sqref="B163 D163:J163 L163:M163">
    <cfRule type="cellIs" dxfId="3255" priority="577" operator="equal">
      <formula>"Insert unit"</formula>
    </cfRule>
    <cfRule type="cellIs" dxfId="3254" priority="578" operator="equal">
      <formula>"Insert data"</formula>
    </cfRule>
  </conditionalFormatting>
  <conditionalFormatting sqref="C162:C163">
    <cfRule type="cellIs" dxfId="3253" priority="575" operator="equal">
      <formula>"Insert unit"</formula>
    </cfRule>
    <cfRule type="cellIs" dxfId="3252" priority="576" operator="equal">
      <formula>"Insert data"</formula>
    </cfRule>
  </conditionalFormatting>
  <conditionalFormatting sqref="C123:C125">
    <cfRule type="cellIs" dxfId="3251" priority="573" operator="equal">
      <formula>"Insert unit"</formula>
    </cfRule>
    <cfRule type="cellIs" dxfId="3250" priority="574" operator="equal">
      <formula>"Insert data"</formula>
    </cfRule>
  </conditionalFormatting>
  <conditionalFormatting sqref="D123">
    <cfRule type="cellIs" dxfId="3249" priority="571" operator="equal">
      <formula>"Insert unit"</formula>
    </cfRule>
    <cfRule type="cellIs" dxfId="3248" priority="572" operator="equal">
      <formula>"Insert data"</formula>
    </cfRule>
  </conditionalFormatting>
  <conditionalFormatting sqref="D124">
    <cfRule type="cellIs" dxfId="3247" priority="567" operator="equal">
      <formula>"Insert unit"</formula>
    </cfRule>
    <cfRule type="cellIs" dxfId="3246" priority="568" operator="equal">
      <formula>"Insert data"</formula>
    </cfRule>
  </conditionalFormatting>
  <conditionalFormatting sqref="D125">
    <cfRule type="cellIs" dxfId="3245" priority="563" operator="equal">
      <formula>"Insert unit"</formula>
    </cfRule>
    <cfRule type="cellIs" dxfId="3244" priority="564" operator="equal">
      <formula>"Insert data"</formula>
    </cfRule>
  </conditionalFormatting>
  <conditionalFormatting sqref="F124">
    <cfRule type="cellIs" dxfId="3243" priority="555" operator="equal">
      <formula>"Insert unit"</formula>
    </cfRule>
    <cfRule type="cellIs" dxfId="3242" priority="556" operator="equal">
      <formula>"Insert data"</formula>
    </cfRule>
  </conditionalFormatting>
  <conditionalFormatting sqref="D111">
    <cfRule type="cellIs" dxfId="3241" priority="529" operator="equal">
      <formula>"Insert unit"</formula>
    </cfRule>
    <cfRule type="cellIs" dxfId="3240" priority="530" operator="equal">
      <formula>"Insert data"</formula>
    </cfRule>
  </conditionalFormatting>
  <conditionalFormatting sqref="F113:F114">
    <cfRule type="cellIs" dxfId="3239" priority="517" operator="equal">
      <formula>"Insert unit"</formula>
    </cfRule>
    <cfRule type="cellIs" dxfId="3238" priority="518" operator="equal">
      <formula>"Insert data"</formula>
    </cfRule>
  </conditionalFormatting>
  <conditionalFormatting sqref="D112">
    <cfRule type="cellIs" dxfId="3237" priority="525" operator="equal">
      <formula>"Insert unit"</formula>
    </cfRule>
    <cfRule type="cellIs" dxfId="3236" priority="526" operator="equal">
      <formula>"Insert data"</formula>
    </cfRule>
  </conditionalFormatting>
  <conditionalFormatting sqref="D113:D114">
    <cfRule type="cellIs" dxfId="3235" priority="521" operator="equal">
      <formula>"Insert unit"</formula>
    </cfRule>
    <cfRule type="cellIs" dxfId="3234" priority="522" operator="equal">
      <formula>"Insert data"</formula>
    </cfRule>
  </conditionalFormatting>
  <conditionalFormatting sqref="F111">
    <cfRule type="cellIs" dxfId="3233" priority="515" operator="equal">
      <formula>"Insert unit"</formula>
    </cfRule>
    <cfRule type="cellIs" dxfId="3232" priority="516" operator="equal">
      <formula>"Insert data"</formula>
    </cfRule>
  </conditionalFormatting>
  <conditionalFormatting sqref="F112">
    <cfRule type="cellIs" dxfId="3231" priority="513" operator="equal">
      <formula>"Insert unit"</formula>
    </cfRule>
    <cfRule type="cellIs" dxfId="3230" priority="514" operator="equal">
      <formula>"Insert data"</formula>
    </cfRule>
  </conditionalFormatting>
  <conditionalFormatting sqref="E114">
    <cfRule type="expression" priority="301">
      <formula>"if"</formula>
    </cfRule>
    <cfRule type="cellIs" dxfId="3229" priority="511" operator="equal">
      <formula>"Insert unit"</formula>
    </cfRule>
    <cfRule type="cellIs" dxfId="3228" priority="512" operator="equal">
      <formula>"Insert data"</formula>
    </cfRule>
  </conditionalFormatting>
  <conditionalFormatting sqref="C111:C114">
    <cfRule type="cellIs" dxfId="3227" priority="531" operator="equal">
      <formula>"Insert unit"</formula>
    </cfRule>
    <cfRule type="cellIs" dxfId="3226" priority="532" operator="equal">
      <formula>"Insert data"</formula>
    </cfRule>
  </conditionalFormatting>
  <conditionalFormatting sqref="D128">
    <cfRule type="cellIs" dxfId="3225" priority="509" operator="equal">
      <formula>"Insert unit"</formula>
    </cfRule>
    <cfRule type="cellIs" dxfId="3224" priority="510" operator="equal">
      <formula>"Insert data"</formula>
    </cfRule>
  </conditionalFormatting>
  <conditionalFormatting sqref="D104:D106">
    <cfRule type="cellIs" dxfId="3223" priority="505" operator="equal">
      <formula>"Insert unit"</formula>
    </cfRule>
    <cfRule type="cellIs" dxfId="3222" priority="506" operator="equal">
      <formula>"Insert data"</formula>
    </cfRule>
  </conditionalFormatting>
  <conditionalFormatting sqref="F107">
    <cfRule type="cellIs" dxfId="3221" priority="493" operator="equal">
      <formula>"Insert unit"</formula>
    </cfRule>
    <cfRule type="cellIs" dxfId="3220" priority="494" operator="equal">
      <formula>"Insert data"</formula>
    </cfRule>
  </conditionalFormatting>
  <conditionalFormatting sqref="D107">
    <cfRule type="cellIs" dxfId="3219" priority="497" operator="equal">
      <formula>"Insert unit"</formula>
    </cfRule>
    <cfRule type="cellIs" dxfId="3218" priority="498" operator="equal">
      <formula>"Insert data"</formula>
    </cfRule>
  </conditionalFormatting>
  <conditionalFormatting sqref="C107">
    <cfRule type="cellIs" dxfId="3217" priority="499" operator="equal">
      <formula>"Insert unit"</formula>
    </cfRule>
    <cfRule type="cellIs" dxfId="3216" priority="500" operator="equal">
      <formula>"Insert data"</formula>
    </cfRule>
  </conditionalFormatting>
  <conditionalFormatting sqref="F123">
    <cfRule type="cellIs" dxfId="3215" priority="490" operator="equal">
      <formula>"Insert unit"</formula>
    </cfRule>
    <cfRule type="cellIs" dxfId="3214" priority="491" operator="equal">
      <formula>"Insert data"</formula>
    </cfRule>
  </conditionalFormatting>
  <conditionalFormatting sqref="Q110">
    <cfRule type="cellIs" dxfId="3213" priority="484" operator="equal">
      <formula>"Insert unit"</formula>
    </cfRule>
    <cfRule type="cellIs" dxfId="3212" priority="485" operator="equal">
      <formula>"Insert data"</formula>
    </cfRule>
  </conditionalFormatting>
  <conditionalFormatting sqref="Q114">
    <cfRule type="cellIs" dxfId="3211" priority="482" operator="equal">
      <formula>"Insert unit"</formula>
    </cfRule>
    <cfRule type="cellIs" dxfId="3210" priority="483" operator="equal">
      <formula>"Insert data"</formula>
    </cfRule>
  </conditionalFormatting>
  <conditionalFormatting sqref="Q165:T165">
    <cfRule type="cellIs" dxfId="3209" priority="480" operator="equal">
      <formula>"Insert unit"</formula>
    </cfRule>
    <cfRule type="cellIs" dxfId="3208" priority="481" operator="equal">
      <formula>"Insert data"</formula>
    </cfRule>
  </conditionalFormatting>
  <conditionalFormatting sqref="P167">
    <cfRule type="cellIs" dxfId="3207" priority="478" operator="equal">
      <formula>"Insert unit"</formula>
    </cfRule>
    <cfRule type="cellIs" dxfId="3206" priority="479" operator="equal">
      <formula>"Insert data"</formula>
    </cfRule>
  </conditionalFormatting>
  <conditionalFormatting sqref="C26">
    <cfRule type="cellIs" dxfId="3205" priority="476" operator="equal">
      <formula>"Insert unit"</formula>
    </cfRule>
    <cfRule type="cellIs" dxfId="3204" priority="477" operator="equal">
      <formula>"Insert data"</formula>
    </cfRule>
  </conditionalFormatting>
  <conditionalFormatting sqref="C68">
    <cfRule type="cellIs" dxfId="3203" priority="474" operator="equal">
      <formula>"Insert unit"</formula>
    </cfRule>
    <cfRule type="cellIs" dxfId="3202" priority="475" operator="equal">
      <formula>"Insert data"</formula>
    </cfRule>
  </conditionalFormatting>
  <conditionalFormatting sqref="F81">
    <cfRule type="cellIs" dxfId="3201" priority="470" operator="equal">
      <formula>"Insert unit"</formula>
    </cfRule>
    <cfRule type="cellIs" dxfId="3200" priority="471" operator="equal">
      <formula>"Insert data"</formula>
    </cfRule>
  </conditionalFormatting>
  <conditionalFormatting sqref="E81">
    <cfRule type="cellIs" dxfId="3199" priority="468" operator="equal">
      <formula>"Insert unit"</formula>
    </cfRule>
    <cfRule type="cellIs" dxfId="3198" priority="469" operator="equal">
      <formula>"Insert data"</formula>
    </cfRule>
  </conditionalFormatting>
  <conditionalFormatting sqref="C81">
    <cfRule type="cellIs" dxfId="3197" priority="466" operator="equal">
      <formula>"Insert unit"</formula>
    </cfRule>
    <cfRule type="cellIs" dxfId="3196" priority="467" operator="equal">
      <formula>"Insert data"</formula>
    </cfRule>
  </conditionalFormatting>
  <conditionalFormatting sqref="D81">
    <cfRule type="cellIs" dxfId="3195" priority="464" operator="equal">
      <formula>"Insert unit"</formula>
    </cfRule>
    <cfRule type="cellIs" dxfId="3194" priority="465" operator="equal">
      <formula>"Insert data"</formula>
    </cfRule>
  </conditionalFormatting>
  <conditionalFormatting sqref="J147:J148">
    <cfRule type="cellIs" dxfId="3193" priority="463" operator="equal">
      <formula>"Warning - digestate higher than input"</formula>
    </cfRule>
  </conditionalFormatting>
  <conditionalFormatting sqref="E220:E221">
    <cfRule type="expression" dxfId="3192" priority="457" stopIfTrue="1">
      <formula>$E$216="by electricity generated"</formula>
    </cfRule>
  </conditionalFormatting>
  <conditionalFormatting sqref="F220:F221">
    <cfRule type="expression" dxfId="3191" priority="458">
      <formula>$E$216="by fuel consumption"</formula>
    </cfRule>
  </conditionalFormatting>
  <conditionalFormatting sqref="E220">
    <cfRule type="expression" dxfId="3190" priority="459">
      <formula>$E$216="by fuel consumption"</formula>
    </cfRule>
  </conditionalFormatting>
  <conditionalFormatting sqref="E221:E227 E229:E234">
    <cfRule type="expression" dxfId="3189" priority="460">
      <formula>$D$17="by fuel consumption"</formula>
    </cfRule>
  </conditionalFormatting>
  <conditionalFormatting sqref="F220">
    <cfRule type="expression" dxfId="3188" priority="461">
      <formula>$E$216="by electricity generated"</formula>
    </cfRule>
  </conditionalFormatting>
  <conditionalFormatting sqref="F221">
    <cfRule type="expression" dxfId="3187" priority="462">
      <formula>$E$216="by electricity generated"</formula>
    </cfRule>
  </conditionalFormatting>
  <conditionalFormatting sqref="F217 F194:F197">
    <cfRule type="cellIs" dxfId="3186" priority="456" stopIfTrue="1" operator="notEqual">
      <formula>""</formula>
    </cfRule>
  </conditionalFormatting>
  <conditionalFormatting sqref="O183:P183 O181:P181 O182 R181:R183 O235:Q235 R185 O185:P185">
    <cfRule type="cellIs" dxfId="3185" priority="453" operator="equal">
      <formula>"Insert unit"</formula>
    </cfRule>
    <cfRule type="cellIs" dxfId="3184" priority="454" operator="equal">
      <formula>"Insert data"</formula>
    </cfRule>
  </conditionalFormatting>
  <conditionalFormatting sqref="P220">
    <cfRule type="cellIs" dxfId="3183" priority="451" operator="equal">
      <formula>"Insert unit"</formula>
    </cfRule>
    <cfRule type="cellIs" dxfId="3182" priority="452" operator="equal">
      <formula>"Insert data"</formula>
    </cfRule>
  </conditionalFormatting>
  <conditionalFormatting sqref="P219:Q219">
    <cfRule type="cellIs" dxfId="3181" priority="449" operator="equal">
      <formula>"Insert unit"</formula>
    </cfRule>
    <cfRule type="cellIs" dxfId="3180" priority="450" operator="equal">
      <formula>"Insert data"</formula>
    </cfRule>
  </conditionalFormatting>
  <conditionalFormatting sqref="Q183 Q185">
    <cfRule type="cellIs" dxfId="3179" priority="441" operator="equal">
      <formula>"Insert unit"</formula>
    </cfRule>
    <cfRule type="cellIs" dxfId="3178" priority="442" operator="equal">
      <formula>"Insert data"</formula>
    </cfRule>
  </conditionalFormatting>
  <conditionalFormatting sqref="Q218">
    <cfRule type="cellIs" dxfId="3177" priority="443" operator="equal">
      <formula>"Insert unit"</formula>
    </cfRule>
    <cfRule type="cellIs" dxfId="3176" priority="444" operator="equal">
      <formula>"Insert data"</formula>
    </cfRule>
  </conditionalFormatting>
  <conditionalFormatting sqref="O216:R216">
    <cfRule type="cellIs" dxfId="3175" priority="439" operator="equal">
      <formula>"Insert unit"</formula>
    </cfRule>
    <cfRule type="cellIs" dxfId="3174" priority="440" operator="equal">
      <formula>"Insert data"</formula>
    </cfRule>
  </conditionalFormatting>
  <conditionalFormatting sqref="Q217">
    <cfRule type="cellIs" dxfId="3173" priority="437" operator="equal">
      <formula>"Insert unit"</formula>
    </cfRule>
    <cfRule type="cellIs" dxfId="3172" priority="438" operator="equal">
      <formula>"Insert data"</formula>
    </cfRule>
  </conditionalFormatting>
  <conditionalFormatting sqref="Q221">
    <cfRule type="cellIs" dxfId="3171" priority="435" operator="equal">
      <formula>"Insert unit"</formula>
    </cfRule>
    <cfRule type="cellIs" dxfId="3170" priority="436" operator="equal">
      <formula>"Insert data"</formula>
    </cfRule>
  </conditionalFormatting>
  <conditionalFormatting sqref="O236:O238">
    <cfRule type="cellIs" dxfId="3169" priority="433" operator="equal">
      <formula>"Insert unit"</formula>
    </cfRule>
    <cfRule type="cellIs" dxfId="3168" priority="434" operator="equal">
      <formula>"Insert data"</formula>
    </cfRule>
  </conditionalFormatting>
  <conditionalFormatting sqref="P236:P238">
    <cfRule type="cellIs" dxfId="3167" priority="431" operator="equal">
      <formula>"Insert unit"</formula>
    </cfRule>
    <cfRule type="cellIs" dxfId="3166" priority="432" operator="equal">
      <formula>"Insert data"</formula>
    </cfRule>
  </conditionalFormatting>
  <conditionalFormatting sqref="Q236:Q238">
    <cfRule type="cellIs" dxfId="3165" priority="429" operator="equal">
      <formula>"Insert unit"</formula>
    </cfRule>
    <cfRule type="cellIs" dxfId="3164" priority="430" operator="equal">
      <formula>"Insert data"</formula>
    </cfRule>
  </conditionalFormatting>
  <conditionalFormatting sqref="R236:R238">
    <cfRule type="cellIs" dxfId="3163" priority="427" operator="equal">
      <formula>"Insert unit"</formula>
    </cfRule>
    <cfRule type="cellIs" dxfId="3162" priority="428" operator="equal">
      <formula>"Insert data"</formula>
    </cfRule>
  </conditionalFormatting>
  <conditionalFormatting sqref="O184:R184">
    <cfRule type="cellIs" dxfId="3161" priority="425" operator="equal">
      <formula>"Insert unit"</formula>
    </cfRule>
    <cfRule type="cellIs" dxfId="3160" priority="426" operator="equal">
      <formula>"Insert data"</formula>
    </cfRule>
  </conditionalFormatting>
  <conditionalFormatting sqref="Q184">
    <cfRule type="cellIs" dxfId="3159" priority="423" operator="equal">
      <formula>"Insert unit"</formula>
    </cfRule>
    <cfRule type="cellIs" dxfId="3158" priority="424" operator="equal">
      <formula>"Insert data"</formula>
    </cfRule>
  </conditionalFormatting>
  <conditionalFormatting sqref="C188:E189 D190:E192 D234:E234">
    <cfRule type="cellIs" dxfId="3157" priority="421" operator="equal">
      <formula>"Insert unit"</formula>
    </cfRule>
    <cfRule type="cellIs" dxfId="3156" priority="422" operator="equal">
      <formula>"Insert data"</formula>
    </cfRule>
  </conditionalFormatting>
  <conditionalFormatting sqref="C190:C192 C234">
    <cfRule type="cellIs" dxfId="3155" priority="417" operator="equal">
      <formula>"Insert unit"</formula>
    </cfRule>
    <cfRule type="cellIs" dxfId="3154" priority="418" operator="equal">
      <formula>"Insert data"</formula>
    </cfRule>
  </conditionalFormatting>
  <conditionalFormatting sqref="E107">
    <cfRule type="cellIs" dxfId="3153" priority="402" operator="equal">
      <formula>"Insert unit"</formula>
    </cfRule>
    <cfRule type="cellIs" dxfId="3152" priority="403" operator="equal">
      <formula>"Insert data"</formula>
    </cfRule>
  </conditionalFormatting>
  <conditionalFormatting sqref="E111">
    <cfRule type="cellIs" dxfId="3151" priority="399" operator="equal">
      <formula>"Insert unit"</formula>
    </cfRule>
    <cfRule type="cellIs" dxfId="3150" priority="400" operator="equal">
      <formula>"Insert data"</formula>
    </cfRule>
  </conditionalFormatting>
  <conditionalFormatting sqref="E112">
    <cfRule type="cellIs" dxfId="3149" priority="397" operator="equal">
      <formula>"Insert unit"</formula>
    </cfRule>
    <cfRule type="cellIs" dxfId="3148" priority="398" operator="equal">
      <formula>"Insert data"</formula>
    </cfRule>
  </conditionalFormatting>
  <conditionalFormatting sqref="E113">
    <cfRule type="cellIs" dxfId="3147" priority="395" operator="equal">
      <formula>"Insert unit"</formula>
    </cfRule>
    <cfRule type="cellIs" dxfId="3146" priority="396" operator="equal">
      <formula>"Insert data"</formula>
    </cfRule>
  </conditionalFormatting>
  <conditionalFormatting sqref="E130">
    <cfRule type="cellIs" dxfId="3145" priority="390" operator="equal">
      <formula>"Insert unit"</formula>
    </cfRule>
    <cfRule type="cellIs" dxfId="3144" priority="391" operator="equal">
      <formula>"Insert data"</formula>
    </cfRule>
  </conditionalFormatting>
  <conditionalFormatting sqref="E125">
    <cfRule type="cellIs" dxfId="3143" priority="384" operator="equal">
      <formula>"Insert unit"</formula>
    </cfRule>
    <cfRule type="cellIs" dxfId="3142" priority="385" operator="equal">
      <formula>"Insert data"</formula>
    </cfRule>
  </conditionalFormatting>
  <conditionalFormatting sqref="E123">
    <cfRule type="cellIs" dxfId="3141" priority="388" operator="equal">
      <formula>"Insert unit"</formula>
    </cfRule>
    <cfRule type="cellIs" dxfId="3140" priority="389" operator="equal">
      <formula>"Insert data"</formula>
    </cfRule>
  </conditionalFormatting>
  <conditionalFormatting sqref="E124">
    <cfRule type="cellIs" dxfId="3139" priority="386" operator="equal">
      <formula>"Insert unit"</formula>
    </cfRule>
    <cfRule type="cellIs" dxfId="3138" priority="387" operator="equal">
      <formula>"Insert data"</formula>
    </cfRule>
  </conditionalFormatting>
  <conditionalFormatting sqref="E148:F148">
    <cfRule type="cellIs" dxfId="3137" priority="374" operator="equal">
      <formula>"Insert unit"</formula>
    </cfRule>
    <cfRule type="cellIs" dxfId="3136" priority="375" operator="equal">
      <formula>"Insert data"</formula>
    </cfRule>
  </conditionalFormatting>
  <conditionalFormatting sqref="E106">
    <cfRule type="cellIs" dxfId="3135" priority="358" operator="equal">
      <formula>"Insert unit"</formula>
    </cfRule>
    <cfRule type="cellIs" dxfId="3134" priority="359" operator="equal">
      <formula>"Insert data"</formula>
    </cfRule>
  </conditionalFormatting>
  <conditionalFormatting sqref="E115">
    <cfRule type="cellIs" dxfId="3133" priority="354" operator="equal">
      <formula>"Insert unit"</formula>
    </cfRule>
    <cfRule type="cellIs" dxfId="3132" priority="355" operator="equal">
      <formula>"Insert data"</formula>
    </cfRule>
  </conditionalFormatting>
  <conditionalFormatting sqref="E126">
    <cfRule type="cellIs" dxfId="3131" priority="352" operator="equal">
      <formula>"Insert unit"</formula>
    </cfRule>
    <cfRule type="cellIs" dxfId="3130" priority="353" operator="equal">
      <formula>"Insert data"</formula>
    </cfRule>
  </conditionalFormatting>
  <conditionalFormatting sqref="E127">
    <cfRule type="cellIs" dxfId="3129" priority="350" operator="equal">
      <formula>"Insert unit"</formula>
    </cfRule>
    <cfRule type="cellIs" dxfId="3128" priority="351" operator="equal">
      <formula>"Insert data"</formula>
    </cfRule>
  </conditionalFormatting>
  <conditionalFormatting sqref="E129">
    <cfRule type="cellIs" dxfId="3127" priority="348" operator="equal">
      <formula>"Insert unit"</formula>
    </cfRule>
    <cfRule type="cellIs" dxfId="3126" priority="349" operator="equal">
      <formula>"Insert data"</formula>
    </cfRule>
  </conditionalFormatting>
  <conditionalFormatting sqref="E128">
    <cfRule type="cellIs" dxfId="3125" priority="346" operator="equal">
      <formula>"Insert unit"</formula>
    </cfRule>
    <cfRule type="cellIs" dxfId="3124" priority="347" operator="equal">
      <formula>"Insert data"</formula>
    </cfRule>
  </conditionalFormatting>
  <conditionalFormatting sqref="E147:F147">
    <cfRule type="cellIs" dxfId="3123" priority="344" operator="equal">
      <formula>"Insert unit"</formula>
    </cfRule>
    <cfRule type="cellIs" dxfId="3122" priority="345" operator="equal">
      <formula>"Insert data"</formula>
    </cfRule>
  </conditionalFormatting>
  <conditionalFormatting sqref="C105">
    <cfRule type="cellIs" dxfId="3121" priority="336" operator="equal">
      <formula>"Insert unit"</formula>
    </cfRule>
    <cfRule type="cellIs" dxfId="3120" priority="337" operator="equal">
      <formula>"Insert data"</formula>
    </cfRule>
  </conditionalFormatting>
  <conditionalFormatting sqref="C104">
    <cfRule type="cellIs" dxfId="3119" priority="334" operator="equal">
      <formula>"Insert unit"</formula>
    </cfRule>
    <cfRule type="cellIs" dxfId="3118" priority="335" operator="equal">
      <formula>"Insert data"</formula>
    </cfRule>
  </conditionalFormatting>
  <conditionalFormatting sqref="E104:E105">
    <cfRule type="cellIs" dxfId="3117" priority="332" operator="equal">
      <formula>"Insert unit"</formula>
    </cfRule>
    <cfRule type="cellIs" dxfId="3116" priority="333" operator="equal">
      <formula>"Insert data"</formula>
    </cfRule>
  </conditionalFormatting>
  <conditionalFormatting sqref="C87:C89">
    <cfRule type="cellIs" dxfId="3115" priority="330" operator="equal">
      <formula>"Insert unit"</formula>
    </cfRule>
    <cfRule type="cellIs" dxfId="3114" priority="331" operator="equal">
      <formula>"Insert data"</formula>
    </cfRule>
  </conditionalFormatting>
  <conditionalFormatting sqref="C86">
    <cfRule type="cellIs" dxfId="3113" priority="328" operator="equal">
      <formula>"Insert unit"</formula>
    </cfRule>
    <cfRule type="cellIs" dxfId="3112" priority="329" operator="equal">
      <formula>"Insert data"</formula>
    </cfRule>
  </conditionalFormatting>
  <conditionalFormatting sqref="C90:C92">
    <cfRule type="cellIs" dxfId="3111" priority="320" operator="equal">
      <formula>"Insert unit"</formula>
    </cfRule>
    <cfRule type="cellIs" dxfId="3110" priority="321" operator="equal">
      <formula>"Insert data"</formula>
    </cfRule>
  </conditionalFormatting>
  <conditionalFormatting sqref="D90:D91">
    <cfRule type="cellIs" dxfId="3109" priority="316" operator="equal">
      <formula>"Insert unit"</formula>
    </cfRule>
    <cfRule type="cellIs" dxfId="3108" priority="317" operator="equal">
      <formula>"Insert data"</formula>
    </cfRule>
  </conditionalFormatting>
  <conditionalFormatting sqref="E104:E106">
    <cfRule type="expression" dxfId="3107" priority="315">
      <formula>#REF!="no"</formula>
    </cfRule>
  </conditionalFormatting>
  <conditionalFormatting sqref="E111:E117">
    <cfRule type="expression" dxfId="3106" priority="314">
      <formula>$D$86="no"</formula>
    </cfRule>
  </conditionalFormatting>
  <conditionalFormatting sqref="E123:E130 E202:E208 E194:E197">
    <cfRule type="expression" dxfId="3105" priority="313">
      <formula>$D$89="no"</formula>
    </cfRule>
  </conditionalFormatting>
  <conditionalFormatting sqref="C109">
    <cfRule type="cellIs" dxfId="3104" priority="311" operator="equal">
      <formula>"Insert unit"</formula>
    </cfRule>
    <cfRule type="cellIs" dxfId="3103" priority="312" operator="equal">
      <formula>"Insert data"</formula>
    </cfRule>
  </conditionalFormatting>
  <conditionalFormatting sqref="D121">
    <cfRule type="expression" dxfId="3102" priority="305">
      <formula>$D$89="no"</formula>
    </cfRule>
    <cfRule type="cellIs" dxfId="3101" priority="309" operator="equal">
      <formula>"Insert unit"</formula>
    </cfRule>
    <cfRule type="cellIs" dxfId="3100" priority="310" operator="equal">
      <formula>"Insert data"</formula>
    </cfRule>
  </conditionalFormatting>
  <conditionalFormatting sqref="C121">
    <cfRule type="cellIs" dxfId="3099" priority="307" operator="equal">
      <formula>"Insert unit"</formula>
    </cfRule>
    <cfRule type="cellIs" dxfId="3098" priority="308" operator="equal">
      <formula>"Insert data"</formula>
    </cfRule>
  </conditionalFormatting>
  <conditionalFormatting sqref="D109">
    <cfRule type="expression" dxfId="3097" priority="306">
      <formula>$D$86="no"</formula>
    </cfRule>
  </conditionalFormatting>
  <conditionalFormatting sqref="C74">
    <cfRule type="cellIs" dxfId="3096" priority="303" operator="equal">
      <formula>"Insert unit"</formula>
    </cfRule>
    <cfRule type="cellIs" dxfId="3095" priority="304" operator="equal">
      <formula>"Insert data"</formula>
    </cfRule>
  </conditionalFormatting>
  <conditionalFormatting sqref="E111:E113">
    <cfRule type="expression" dxfId="3094" priority="299">
      <formula>$D$109="heat out"</formula>
    </cfRule>
  </conditionalFormatting>
  <conditionalFormatting sqref="E202:E203">
    <cfRule type="expression" dxfId="3093" priority="297">
      <formula>$D$200&lt;&gt;"natural gas in"</formula>
    </cfRule>
  </conditionalFormatting>
  <conditionalFormatting sqref="C224">
    <cfRule type="cellIs" dxfId="3092" priority="286" operator="equal">
      <formula>"Insert unit"</formula>
    </cfRule>
    <cfRule type="cellIs" dxfId="3091" priority="287" operator="equal">
      <formula>"Insert data"</formula>
    </cfRule>
  </conditionalFormatting>
  <conditionalFormatting sqref="C225">
    <cfRule type="cellIs" dxfId="3090" priority="265" operator="equal">
      <formula>"Insert unit"</formula>
    </cfRule>
    <cfRule type="cellIs" dxfId="3089" priority="266" operator="equal">
      <formula>"Insert data"</formula>
    </cfRule>
  </conditionalFormatting>
  <conditionalFormatting sqref="E225 E233 E227 E229:E231">
    <cfRule type="expression" dxfId="3088" priority="264">
      <formula>$D$88="no"</formula>
    </cfRule>
  </conditionalFormatting>
  <conditionalFormatting sqref="E227">
    <cfRule type="expression" dxfId="3087" priority="2340">
      <formula>$E$225="heat out"</formula>
    </cfRule>
  </conditionalFormatting>
  <conditionalFormatting sqref="E216:E217 E220:F221">
    <cfRule type="expression" dxfId="3086" priority="249">
      <formula>$D$90="no"</formula>
    </cfRule>
  </conditionalFormatting>
  <conditionalFormatting sqref="F182">
    <cfRule type="expression" dxfId="3085" priority="247">
      <formula>$F$182="Electricity consumption seems low"</formula>
    </cfRule>
  </conditionalFormatting>
  <conditionalFormatting sqref="G157:G158">
    <cfRule type="cellIs" dxfId="3084" priority="239" operator="equal">
      <formula>"Insert unit"</formula>
    </cfRule>
  </conditionalFormatting>
  <conditionalFormatting sqref="C158:F158">
    <cfRule type="cellIs" dxfId="3083" priority="240" operator="equal">
      <formula>"Insert unit"</formula>
    </cfRule>
  </conditionalFormatting>
  <conditionalFormatting sqref="G157">
    <cfRule type="cellIs" dxfId="3082" priority="237" operator="equal">
      <formula>"Insert unit"</formula>
    </cfRule>
  </conditionalFormatting>
  <conditionalFormatting sqref="C157:F157">
    <cfRule type="cellIs" dxfId="3081" priority="234" operator="equal">
      <formula>"Must insert actual data for fertiliser application"</formula>
    </cfRule>
    <cfRule type="cellIs" dxfId="3080" priority="235" operator="equal">
      <formula>"Insert unit"</formula>
    </cfRule>
    <cfRule type="cellIs" dxfId="3079" priority="236" operator="equal">
      <formula>"Insert data"</formula>
    </cfRule>
  </conditionalFormatting>
  <conditionalFormatting sqref="G158">
    <cfRule type="cellIs" dxfId="3078" priority="238" operator="equal">
      <formula>"Insert unit"</formula>
    </cfRule>
  </conditionalFormatting>
  <conditionalFormatting sqref="F158">
    <cfRule type="expression" dxfId="3077" priority="229">
      <formula>C158="Actual"</formula>
    </cfRule>
  </conditionalFormatting>
  <conditionalFormatting sqref="D158">
    <cfRule type="expression" dxfId="3076" priority="230">
      <formula>C158="Standard (LDAR)"</formula>
    </cfRule>
  </conditionalFormatting>
  <conditionalFormatting sqref="C158">
    <cfRule type="cellIs" dxfId="3075" priority="231" operator="equal">
      <formula>"Actual"</formula>
    </cfRule>
  </conditionalFormatting>
  <conditionalFormatting sqref="G158">
    <cfRule type="expression" dxfId="3074" priority="233">
      <formula>#REF!="insert data"</formula>
    </cfRule>
  </conditionalFormatting>
  <conditionalFormatting sqref="K157">
    <cfRule type="cellIs" dxfId="3073" priority="227" operator="equal">
      <formula>"Insert unit"</formula>
    </cfRule>
    <cfRule type="cellIs" dxfId="3072" priority="228" operator="equal">
      <formula>"Insert data"</formula>
    </cfRule>
  </conditionalFormatting>
  <conditionalFormatting sqref="G123">
    <cfRule type="cellIs" dxfId="3071" priority="225" operator="equal">
      <formula>"Insert unit"</formula>
    </cfRule>
    <cfRule type="cellIs" dxfId="3070" priority="226" operator="equal">
      <formula>"Insert data"</formula>
    </cfRule>
  </conditionalFormatting>
  <conditionalFormatting sqref="E139 E141:E142">
    <cfRule type="expression" dxfId="3069" priority="220">
      <formula>$E$138="volume of gas consumed"</formula>
    </cfRule>
  </conditionalFormatting>
  <conditionalFormatting sqref="E140:E142">
    <cfRule type="expression" dxfId="3068" priority="221">
      <formula>$E$138="energy consumed"</formula>
    </cfRule>
  </conditionalFormatting>
  <conditionalFormatting sqref="E139:E140">
    <cfRule type="expression" dxfId="3067" priority="222">
      <formula>$E$138="hours of operation"</formula>
    </cfRule>
  </conditionalFormatting>
  <conditionalFormatting sqref="D92">
    <cfRule type="cellIs" dxfId="3066" priority="218" operator="equal">
      <formula>"Insert unit"</formula>
    </cfRule>
    <cfRule type="cellIs" dxfId="3065" priority="219" operator="equal">
      <formula>"Insert data"</formula>
    </cfRule>
  </conditionalFormatting>
  <conditionalFormatting sqref="F99:F100">
    <cfRule type="cellIs" dxfId="3064" priority="216" operator="equal">
      <formula>"Insert unit"</formula>
    </cfRule>
    <cfRule type="cellIs" dxfId="3063" priority="217" operator="equal">
      <formula>"Insert data"</formula>
    </cfRule>
  </conditionalFormatting>
  <conditionalFormatting sqref="D99:D100">
    <cfRule type="cellIs" dxfId="3062" priority="214" operator="equal">
      <formula>"Insert unit"</formula>
    </cfRule>
    <cfRule type="cellIs" dxfId="3061" priority="215" operator="equal">
      <formula>"Insert data"</formula>
    </cfRule>
  </conditionalFormatting>
  <conditionalFormatting sqref="C99:C100">
    <cfRule type="cellIs" dxfId="3060" priority="212" operator="equal">
      <formula>"Insert unit"</formula>
    </cfRule>
    <cfRule type="cellIs" dxfId="3059" priority="213" operator="equal">
      <formula>"Insert data"</formula>
    </cfRule>
  </conditionalFormatting>
  <conditionalFormatting sqref="E99:E100">
    <cfRule type="expression" dxfId="3058" priority="208">
      <formula>$D$92="no"</formula>
    </cfRule>
    <cfRule type="cellIs" dxfId="3057" priority="210" operator="equal">
      <formula>"Insert unit"</formula>
    </cfRule>
    <cfRule type="cellIs" dxfId="3056" priority="211" operator="equal">
      <formula>"Insert data"</formula>
    </cfRule>
  </conditionalFormatting>
  <conditionalFormatting sqref="E99:E100">
    <cfRule type="expression" dxfId="3055" priority="209">
      <formula>#REF!="no"</formula>
    </cfRule>
  </conditionalFormatting>
  <conditionalFormatting sqref="C95">
    <cfRule type="cellIs" dxfId="3054" priority="206" operator="equal">
      <formula>"Insert unit"</formula>
    </cfRule>
    <cfRule type="cellIs" dxfId="3053" priority="207" operator="equal">
      <formula>"Insert data"</formula>
    </cfRule>
  </conditionalFormatting>
  <conditionalFormatting sqref="D95">
    <cfRule type="cellIs" dxfId="3052" priority="202" operator="equal">
      <formula>"Insert unit"</formula>
    </cfRule>
    <cfRule type="cellIs" dxfId="3051" priority="203" operator="equal">
      <formula>"Insert data"</formula>
    </cfRule>
  </conditionalFormatting>
  <conditionalFormatting sqref="E146:F146">
    <cfRule type="cellIs" dxfId="3050" priority="200" operator="equal">
      <formula>"Insert unit"</formula>
    </cfRule>
    <cfRule type="cellIs" dxfId="3049" priority="201" operator="equal">
      <formula>"Insert data"</formula>
    </cfRule>
  </conditionalFormatting>
  <conditionalFormatting sqref="F138">
    <cfRule type="cellIs" dxfId="3048" priority="198" operator="equal">
      <formula>"Insert unit"</formula>
    </cfRule>
    <cfRule type="cellIs" dxfId="3047" priority="199" operator="equal">
      <formula>"Insert data"</formula>
    </cfRule>
  </conditionalFormatting>
  <conditionalFormatting sqref="F225">
    <cfRule type="cellIs" dxfId="3046" priority="196" operator="equal">
      <formula>"Insert unit"</formula>
    </cfRule>
    <cfRule type="cellIs" dxfId="3045" priority="197" operator="equal">
      <formula>"Insert data"</formula>
    </cfRule>
  </conditionalFormatting>
  <conditionalFormatting sqref="F190">
    <cfRule type="cellIs" dxfId="3044" priority="192" operator="equal">
      <formula>"Insert unit"</formula>
    </cfRule>
    <cfRule type="cellIs" dxfId="3043" priority="193" operator="equal">
      <formula>"Insert data"</formula>
    </cfRule>
  </conditionalFormatting>
  <conditionalFormatting sqref="C201:E201 C199">
    <cfRule type="cellIs" dxfId="3042" priority="182" operator="equal">
      <formula>"Insert unit"</formula>
    </cfRule>
    <cfRule type="cellIs" dxfId="3041" priority="183" operator="equal">
      <formula>"Insert data"</formula>
    </cfRule>
  </conditionalFormatting>
  <conditionalFormatting sqref="D208">
    <cfRule type="cellIs" dxfId="3040" priority="168" operator="equal">
      <formula>"Insert unit"</formula>
    </cfRule>
    <cfRule type="cellIs" dxfId="3039" priority="169" operator="equal">
      <formula>"Insert data"</formula>
    </cfRule>
  </conditionalFormatting>
  <conditionalFormatting sqref="G206">
    <cfRule type="cellIs" dxfId="3038" priority="180" operator="equal">
      <formula>"Insert unit"</formula>
    </cfRule>
    <cfRule type="cellIs" dxfId="3037" priority="181" operator="equal">
      <formula>"Insert data"</formula>
    </cfRule>
  </conditionalFormatting>
  <conditionalFormatting sqref="D204">
    <cfRule type="cellIs" dxfId="3036" priority="178" operator="equal">
      <formula>"Insert unit"</formula>
    </cfRule>
    <cfRule type="cellIs" dxfId="3035" priority="179" operator="equal">
      <formula>"Insert data"</formula>
    </cfRule>
  </conditionalFormatting>
  <conditionalFormatting sqref="D205">
    <cfRule type="cellIs" dxfId="3034" priority="176" operator="equal">
      <formula>"Insert unit"</formula>
    </cfRule>
    <cfRule type="cellIs" dxfId="3033" priority="177" operator="equal">
      <formula>"Insert data"</formula>
    </cfRule>
  </conditionalFormatting>
  <conditionalFormatting sqref="F200">
    <cfRule type="cellIs" dxfId="3032" priority="174" operator="equal">
      <formula>"Insert unit"</formula>
    </cfRule>
    <cfRule type="cellIs" dxfId="3031" priority="175" operator="equal">
      <formula>"Insert data"</formula>
    </cfRule>
  </conditionalFormatting>
  <conditionalFormatting sqref="C208">
    <cfRule type="cellIs" dxfId="3030" priority="172" operator="equal">
      <formula>"Insert unit"</formula>
    </cfRule>
    <cfRule type="cellIs" dxfId="3029" priority="173" operator="equal">
      <formula>"Insert data"</formula>
    </cfRule>
  </conditionalFormatting>
  <conditionalFormatting sqref="C209">
    <cfRule type="cellIs" dxfId="3028" priority="170" operator="equal">
      <formula>"Insert unit"</formula>
    </cfRule>
    <cfRule type="cellIs" dxfId="3027" priority="171" operator="equal">
      <formula>"Insert data"</formula>
    </cfRule>
  </conditionalFormatting>
  <conditionalFormatting sqref="D209">
    <cfRule type="cellIs" dxfId="3026" priority="164" operator="equal">
      <formula>"Insert unit"</formula>
    </cfRule>
    <cfRule type="cellIs" dxfId="3025" priority="165" operator="equal">
      <formula>"Insert data"</formula>
    </cfRule>
  </conditionalFormatting>
  <conditionalFormatting sqref="E209">
    <cfRule type="cellIs" dxfId="3024" priority="166" operator="equal">
      <formula>"Insert unit"</formula>
    </cfRule>
    <cfRule type="cellIs" dxfId="3023" priority="167" operator="equal">
      <formula>"Insert data"</formula>
    </cfRule>
  </conditionalFormatting>
  <conditionalFormatting sqref="D207">
    <cfRule type="cellIs" dxfId="3022" priority="162" operator="equal">
      <formula>"Insert unit"</formula>
    </cfRule>
    <cfRule type="cellIs" dxfId="3021" priority="163" operator="equal">
      <formula>"Insert data"</formula>
    </cfRule>
  </conditionalFormatting>
  <conditionalFormatting sqref="C207">
    <cfRule type="cellIs" dxfId="3020" priority="160" operator="equal">
      <formula>"Insert unit"</formula>
    </cfRule>
    <cfRule type="cellIs" dxfId="3019" priority="161" operator="equal">
      <formula>"Insert data"</formula>
    </cfRule>
  </conditionalFormatting>
  <conditionalFormatting sqref="G204">
    <cfRule type="cellIs" dxfId="3018" priority="158" operator="equal">
      <formula>"Insert unit"</formula>
    </cfRule>
    <cfRule type="cellIs" dxfId="3017" priority="159" operator="equal">
      <formula>"Insert data"</formula>
    </cfRule>
  </conditionalFormatting>
  <conditionalFormatting sqref="G205">
    <cfRule type="cellIs" dxfId="3016" priority="156" operator="equal">
      <formula>"Insert unit"</formula>
    </cfRule>
    <cfRule type="cellIs" dxfId="3015" priority="157" operator="equal">
      <formula>"Insert data"</formula>
    </cfRule>
  </conditionalFormatting>
  <conditionalFormatting sqref="G208">
    <cfRule type="cellIs" dxfId="3014" priority="152" operator="equal">
      <formula>"Insert unit"</formula>
    </cfRule>
    <cfRule type="cellIs" dxfId="3013" priority="153" operator="equal">
      <formula>"Insert data"</formula>
    </cfRule>
  </conditionalFormatting>
  <conditionalFormatting sqref="G207">
    <cfRule type="cellIs" dxfId="3012" priority="154" operator="equal">
      <formula>"Insert unit"</formula>
    </cfRule>
    <cfRule type="cellIs" dxfId="3011" priority="155" operator="equal">
      <formula>"Insert data"</formula>
    </cfRule>
  </conditionalFormatting>
  <conditionalFormatting sqref="I209:I212">
    <cfRule type="cellIs" dxfId="3010" priority="150" operator="equal">
      <formula>"Insert unit"</formula>
    </cfRule>
    <cfRule type="cellIs" dxfId="3009" priority="151" operator="equal">
      <formula>"Insert data"</formula>
    </cfRule>
  </conditionalFormatting>
  <conditionalFormatting sqref="F201">
    <cfRule type="cellIs" dxfId="3008" priority="148" operator="equal">
      <formula>"Insert unit"</formula>
    </cfRule>
    <cfRule type="cellIs" dxfId="3007" priority="149" operator="equal">
      <formula>"Insert data"</formula>
    </cfRule>
  </conditionalFormatting>
  <conditionalFormatting sqref="F208">
    <cfRule type="cellIs" dxfId="3006" priority="146" operator="equal">
      <formula>"Insert unit"</formula>
    </cfRule>
    <cfRule type="cellIs" dxfId="3005" priority="147" operator="equal">
      <formula>"Insert data"</formula>
    </cfRule>
  </conditionalFormatting>
  <conditionalFormatting sqref="F204:F207">
    <cfRule type="cellIs" dxfId="3004" priority="144" operator="equal">
      <formula>"Insert unit"</formula>
    </cfRule>
    <cfRule type="cellIs" dxfId="3003" priority="145" operator="equal">
      <formula>"Insert data"</formula>
    </cfRule>
  </conditionalFormatting>
  <conditionalFormatting sqref="M204:M205">
    <cfRule type="cellIs" dxfId="3002" priority="140" operator="equal">
      <formula>"Insert unit"</formula>
    </cfRule>
    <cfRule type="cellIs" dxfId="3001" priority="141" operator="equal">
      <formula>"Insert data"</formula>
    </cfRule>
  </conditionalFormatting>
  <conditionalFormatting sqref="M206">
    <cfRule type="cellIs" dxfId="3000" priority="138" operator="equal">
      <formula>"Insert unit"</formula>
    </cfRule>
    <cfRule type="cellIs" dxfId="2999" priority="139" operator="equal">
      <formula>"Insert data"</formula>
    </cfRule>
  </conditionalFormatting>
  <conditionalFormatting sqref="M207">
    <cfRule type="cellIs" dxfId="2998" priority="136" operator="equal">
      <formula>"Insert unit"</formula>
    </cfRule>
    <cfRule type="cellIs" dxfId="2997" priority="137" operator="equal">
      <formula>"Insert data"</formula>
    </cfRule>
  </conditionalFormatting>
  <conditionalFormatting sqref="M208">
    <cfRule type="cellIs" dxfId="2996" priority="134" operator="equal">
      <formula>"Insert unit"</formula>
    </cfRule>
    <cfRule type="cellIs" dxfId="2995" priority="135" operator="equal">
      <formula>"Insert data"</formula>
    </cfRule>
  </conditionalFormatting>
  <conditionalFormatting sqref="M209:M212">
    <cfRule type="cellIs" dxfId="2994" priority="132" operator="equal">
      <formula>"Insert unit"</formula>
    </cfRule>
    <cfRule type="cellIs" dxfId="2993" priority="133" operator="equal">
      <formula>"Insert data"</formula>
    </cfRule>
  </conditionalFormatting>
  <conditionalFormatting sqref="D202">
    <cfRule type="cellIs" dxfId="2992" priority="128" operator="equal">
      <formula>"Insert unit"</formula>
    </cfRule>
    <cfRule type="cellIs" dxfId="2991" priority="129" operator="equal">
      <formula>"Insert data"</formula>
    </cfRule>
  </conditionalFormatting>
  <conditionalFormatting sqref="D203">
    <cfRule type="cellIs" dxfId="2990" priority="124" operator="equal">
      <formula>"Insert unit"</formula>
    </cfRule>
    <cfRule type="cellIs" dxfId="2989" priority="125" operator="equal">
      <formula>"Insert data"</formula>
    </cfRule>
  </conditionalFormatting>
  <conditionalFormatting sqref="D206">
    <cfRule type="cellIs" dxfId="2988" priority="120" operator="equal">
      <formula>"Insert unit"</formula>
    </cfRule>
    <cfRule type="cellIs" dxfId="2987" priority="121" operator="equal">
      <formula>"Insert data"</formula>
    </cfRule>
  </conditionalFormatting>
  <conditionalFormatting sqref="F202">
    <cfRule type="cellIs" dxfId="2986" priority="118" operator="equal">
      <formula>"Insert unit"</formula>
    </cfRule>
    <cfRule type="cellIs" dxfId="2985" priority="119" operator="equal">
      <formula>"Insert data"</formula>
    </cfRule>
  </conditionalFormatting>
  <conditionalFormatting sqref="E208">
    <cfRule type="cellIs" dxfId="2984" priority="116" operator="equal">
      <formula>"Insert unit"</formula>
    </cfRule>
    <cfRule type="cellIs" dxfId="2983" priority="117" operator="equal">
      <formula>"Insert data"</formula>
    </cfRule>
  </conditionalFormatting>
  <conditionalFormatting sqref="E202">
    <cfRule type="cellIs" dxfId="2982" priority="114" operator="equal">
      <formula>"Insert unit"</formula>
    </cfRule>
    <cfRule type="cellIs" dxfId="2981" priority="115" operator="equal">
      <formula>"Insert data"</formula>
    </cfRule>
  </conditionalFormatting>
  <conditionalFormatting sqref="E204">
    <cfRule type="cellIs" dxfId="2980" priority="108" operator="equal">
      <formula>"Insert unit"</formula>
    </cfRule>
    <cfRule type="cellIs" dxfId="2979" priority="109" operator="equal">
      <formula>"Insert data"</formula>
    </cfRule>
  </conditionalFormatting>
  <conditionalFormatting sqref="E205">
    <cfRule type="cellIs" dxfId="2978" priority="106" operator="equal">
      <formula>"Insert unit"</formula>
    </cfRule>
    <cfRule type="cellIs" dxfId="2977" priority="107" operator="equal">
      <formula>"Insert data"</formula>
    </cfRule>
  </conditionalFormatting>
  <conditionalFormatting sqref="E207">
    <cfRule type="cellIs" dxfId="2976" priority="104" operator="equal">
      <formula>"Insert unit"</formula>
    </cfRule>
    <cfRule type="cellIs" dxfId="2975" priority="105" operator="equal">
      <formula>"Insert data"</formula>
    </cfRule>
  </conditionalFormatting>
  <conditionalFormatting sqref="E206">
    <cfRule type="cellIs" dxfId="2974" priority="102" operator="equal">
      <formula>"Insert unit"</formula>
    </cfRule>
    <cfRule type="cellIs" dxfId="2973" priority="103" operator="equal">
      <formula>"Insert data"</formula>
    </cfRule>
  </conditionalFormatting>
  <conditionalFormatting sqref="D200">
    <cfRule type="expression" dxfId="2972" priority="96">
      <formula>$D$89="no"</formula>
    </cfRule>
    <cfRule type="cellIs" dxfId="2971" priority="99" operator="equal">
      <formula>"Insert unit"</formula>
    </cfRule>
    <cfRule type="cellIs" dxfId="2970" priority="100" operator="equal">
      <formula>"Insert data"</formula>
    </cfRule>
  </conditionalFormatting>
  <conditionalFormatting sqref="C200">
    <cfRule type="cellIs" dxfId="2969" priority="97" operator="equal">
      <formula>"Insert unit"</formula>
    </cfRule>
    <cfRule type="cellIs" dxfId="2968" priority="98" operator="equal">
      <formula>"Insert data"</formula>
    </cfRule>
  </conditionalFormatting>
  <conditionalFormatting sqref="G202">
    <cfRule type="cellIs" dxfId="2967" priority="93" operator="equal">
      <formula>"Insert unit"</formula>
    </cfRule>
    <cfRule type="cellIs" dxfId="2966" priority="94" operator="equal">
      <formula>"Insert data"</formula>
    </cfRule>
  </conditionalFormatting>
  <conditionalFormatting sqref="E211:E212">
    <cfRule type="expression" dxfId="2965" priority="92">
      <formula>$D$89="no"</formula>
    </cfRule>
  </conditionalFormatting>
  <conditionalFormatting sqref="I203:L204">
    <cfRule type="cellIs" dxfId="2964" priority="90" operator="equal">
      <formula>"Insert unit"</formula>
    </cfRule>
    <cfRule type="cellIs" dxfId="2963" priority="91" operator="equal">
      <formula>"Insert data"</formula>
    </cfRule>
  </conditionalFormatting>
  <conditionalFormatting sqref="C226:E226">
    <cfRule type="cellIs" dxfId="2962" priority="88" operator="equal">
      <formula>"Insert unit"</formula>
    </cfRule>
    <cfRule type="cellIs" dxfId="2961" priority="89" operator="equal">
      <formula>"Insert data"</formula>
    </cfRule>
  </conditionalFormatting>
  <conditionalFormatting sqref="C230">
    <cfRule type="cellIs" dxfId="2960" priority="86" operator="equal">
      <formula>"Insert unit"</formula>
    </cfRule>
    <cfRule type="cellIs" dxfId="2959" priority="87" operator="equal">
      <formula>"Insert data"</formula>
    </cfRule>
  </conditionalFormatting>
  <conditionalFormatting sqref="C231">
    <cfRule type="cellIs" dxfId="2958" priority="84" operator="equal">
      <formula>"Insert unit"</formula>
    </cfRule>
    <cfRule type="cellIs" dxfId="2957" priority="85" operator="equal">
      <formula>"Insert data"</formula>
    </cfRule>
  </conditionalFormatting>
  <conditionalFormatting sqref="C232">
    <cfRule type="cellIs" dxfId="2956" priority="82" operator="equal">
      <formula>"Insert unit"</formula>
    </cfRule>
    <cfRule type="cellIs" dxfId="2955" priority="83" operator="equal">
      <formula>"Insert data"</formula>
    </cfRule>
  </conditionalFormatting>
  <conditionalFormatting sqref="G229:G231">
    <cfRule type="cellIs" dxfId="2954" priority="80" operator="equal">
      <formula>"Insert unit"</formula>
    </cfRule>
    <cfRule type="cellIs" dxfId="2953" priority="81" operator="equal">
      <formula>"Insert data"</formula>
    </cfRule>
  </conditionalFormatting>
  <conditionalFormatting sqref="E231">
    <cfRule type="cellIs" dxfId="2952" priority="78" operator="equal">
      <formula>"Insert unit"</formula>
    </cfRule>
    <cfRule type="cellIs" dxfId="2951" priority="79" operator="equal">
      <formula>"Insert data"</formula>
    </cfRule>
  </conditionalFormatting>
  <conditionalFormatting sqref="D231">
    <cfRule type="cellIs" dxfId="2950" priority="76" operator="equal">
      <formula>"Insert unit"</formula>
    </cfRule>
    <cfRule type="cellIs" dxfId="2949" priority="77" operator="equal">
      <formula>"Insert data"</formula>
    </cfRule>
  </conditionalFormatting>
  <conditionalFormatting sqref="D232">
    <cfRule type="cellIs" dxfId="2948" priority="72" operator="equal">
      <formula>"Insert unit"</formula>
    </cfRule>
    <cfRule type="cellIs" dxfId="2947" priority="73" operator="equal">
      <formula>"Insert data"</formula>
    </cfRule>
  </conditionalFormatting>
  <conditionalFormatting sqref="E232">
    <cfRule type="cellIs" dxfId="2946" priority="74" operator="equal">
      <formula>"Insert unit"</formula>
    </cfRule>
    <cfRule type="cellIs" dxfId="2945" priority="75" operator="equal">
      <formula>"Insert data"</formula>
    </cfRule>
  </conditionalFormatting>
  <conditionalFormatting sqref="D230:E230">
    <cfRule type="cellIs" dxfId="2944" priority="70" operator="equal">
      <formula>"Insert unit"</formula>
    </cfRule>
    <cfRule type="cellIs" dxfId="2943" priority="71" operator="equal">
      <formula>"Insert data"</formula>
    </cfRule>
  </conditionalFormatting>
  <conditionalFormatting sqref="D229">
    <cfRule type="cellIs" dxfId="2942" priority="68" operator="equal">
      <formula>"Insert unit"</formula>
    </cfRule>
    <cfRule type="cellIs" dxfId="2941" priority="69" operator="equal">
      <formula>"Insert data"</formula>
    </cfRule>
  </conditionalFormatting>
  <conditionalFormatting sqref="F226">
    <cfRule type="cellIs" dxfId="2940" priority="66" operator="equal">
      <formula>"Insert unit"</formula>
    </cfRule>
    <cfRule type="cellIs" dxfId="2939" priority="67" operator="equal">
      <formula>"Insert data"</formula>
    </cfRule>
  </conditionalFormatting>
  <conditionalFormatting sqref="P228">
    <cfRule type="cellIs" dxfId="2938" priority="64" operator="equal">
      <formula>"Insert unit"</formula>
    </cfRule>
    <cfRule type="cellIs" dxfId="2937" priority="65" operator="equal">
      <formula>"Insert data"</formula>
    </cfRule>
  </conditionalFormatting>
  <conditionalFormatting sqref="Q231:Q232">
    <cfRule type="cellIs" dxfId="2936" priority="60" operator="equal">
      <formula>"Insert unit"</formula>
    </cfRule>
    <cfRule type="cellIs" dxfId="2935" priority="61" operator="equal">
      <formula>"Insert data"</formula>
    </cfRule>
  </conditionalFormatting>
  <conditionalFormatting sqref="Q229">
    <cfRule type="cellIs" dxfId="2934" priority="58" operator="equal">
      <formula>"Insert unit"</formula>
    </cfRule>
    <cfRule type="cellIs" dxfId="2933" priority="59" operator="equal">
      <formula>"Insert data"</formula>
    </cfRule>
  </conditionalFormatting>
  <conditionalFormatting sqref="Q227">
    <cfRule type="cellIs" dxfId="2932" priority="56" operator="equal">
      <formula>"Insert unit"</formula>
    </cfRule>
    <cfRule type="cellIs" dxfId="2931" priority="57" operator="equal">
      <formula>"Insert data"</formula>
    </cfRule>
  </conditionalFormatting>
  <conditionalFormatting sqref="F228">
    <cfRule type="cellIs" dxfId="2930" priority="46" operator="equal">
      <formula>"Insert unit"</formula>
    </cfRule>
    <cfRule type="cellIs" dxfId="2929" priority="47" operator="equal">
      <formula>"Insert data"</formula>
    </cfRule>
  </conditionalFormatting>
  <conditionalFormatting sqref="F227">
    <cfRule type="cellIs" dxfId="2928" priority="44" operator="equal">
      <formula>"Insert unit"</formula>
    </cfRule>
    <cfRule type="cellIs" dxfId="2927" priority="45" operator="equal">
      <formula>"Insert data"</formula>
    </cfRule>
  </conditionalFormatting>
  <conditionalFormatting sqref="Q226">
    <cfRule type="cellIs" dxfId="2926" priority="38" operator="equal">
      <formula>"Insert unit"</formula>
    </cfRule>
    <cfRule type="cellIs" dxfId="2925" priority="39" operator="equal">
      <formula>"Insert data"</formula>
    </cfRule>
  </conditionalFormatting>
  <conditionalFormatting sqref="E227">
    <cfRule type="cellIs" dxfId="2924" priority="34" operator="equal">
      <formula>"Insert unit"</formula>
    </cfRule>
    <cfRule type="cellIs" dxfId="2923" priority="35" operator="equal">
      <formula>"Insert data"</formula>
    </cfRule>
  </conditionalFormatting>
  <conditionalFormatting sqref="E229">
    <cfRule type="cellIs" dxfId="2922" priority="28" operator="equal">
      <formula>"Insert unit"</formula>
    </cfRule>
    <cfRule type="cellIs" dxfId="2921" priority="29" operator="equal">
      <formula>"Insert data"</formula>
    </cfRule>
  </conditionalFormatting>
  <conditionalFormatting sqref="E123:E125">
    <cfRule type="expression" dxfId="2920" priority="24">
      <formula>$D$121&lt;&gt;"biogas in"</formula>
    </cfRule>
  </conditionalFormatting>
  <conditionalFormatting sqref="G227">
    <cfRule type="cellIs" dxfId="2919" priority="22" operator="equal">
      <formula>"Insert unit"</formula>
    </cfRule>
    <cfRule type="cellIs" dxfId="2918" priority="23" operator="equal">
      <formula>"Insert data"</formula>
    </cfRule>
  </conditionalFormatting>
  <conditionalFormatting sqref="D227">
    <cfRule type="cellIs" dxfId="2917" priority="20" operator="equal">
      <formula>"Insert unit"</formula>
    </cfRule>
    <cfRule type="cellIs" dxfId="2916" priority="21" operator="equal">
      <formula>"Insert data"</formula>
    </cfRule>
  </conditionalFormatting>
  <conditionalFormatting sqref="D228">
    <cfRule type="cellIs" dxfId="2915" priority="18" operator="equal">
      <formula>"Insert unit"</formula>
    </cfRule>
    <cfRule type="cellIs" dxfId="2914" priority="19" operator="equal">
      <formula>"Insert data"</formula>
    </cfRule>
  </conditionalFormatting>
  <conditionalFormatting sqref="E228">
    <cfRule type="expression" dxfId="2913" priority="17">
      <formula>$D$88="no"</formula>
    </cfRule>
  </conditionalFormatting>
  <conditionalFormatting sqref="E228">
    <cfRule type="expression" dxfId="2912" priority="16">
      <formula>$E$225&lt;&gt;"natural gas in"</formula>
    </cfRule>
  </conditionalFormatting>
  <conditionalFormatting sqref="E158">
    <cfRule type="expression" dxfId="2911" priority="3">
      <formula>C158="Standard (LDAR)"</formula>
    </cfRule>
    <cfRule type="expression" dxfId="2910" priority="14">
      <formula>C158="Actual"</formula>
    </cfRule>
    <cfRule type="expression" dxfId="2909" priority="232">
      <formula>C158="Standard (no LDAR)"</formula>
    </cfRule>
  </conditionalFormatting>
  <conditionalFormatting sqref="D158:E158">
    <cfRule type="expression" dxfId="2908" priority="15">
      <formula>C158="Actual"</formula>
    </cfRule>
  </conditionalFormatting>
  <conditionalFormatting sqref="F154">
    <cfRule type="cellIs" dxfId="2907" priority="13" operator="equal">
      <formula>"Insert unit"</formula>
    </cfRule>
  </conditionalFormatting>
  <conditionalFormatting sqref="F153">
    <cfRule type="cellIs" dxfId="2906" priority="10" operator="equal">
      <formula>"Must insert actual data for fertiliser application"</formula>
    </cfRule>
    <cfRule type="cellIs" dxfId="2905" priority="11" operator="equal">
      <formula>"Insert unit"</formula>
    </cfRule>
    <cfRule type="cellIs" dxfId="2904" priority="12" operator="equal">
      <formula>"Insert data"</formula>
    </cfRule>
  </conditionalFormatting>
  <conditionalFormatting sqref="F154">
    <cfRule type="expression" dxfId="2903" priority="8">
      <formula>C154="Actual"</formula>
    </cfRule>
  </conditionalFormatting>
  <conditionalFormatting sqref="D154:E154">
    <cfRule type="expression" dxfId="2902" priority="6">
      <formula>C154="Actual"</formula>
    </cfRule>
  </conditionalFormatting>
  <conditionalFormatting sqref="C154">
    <cfRule type="containsText" dxfId="2901" priority="1" operator="containsText" text="Standard">
      <formula>NOT(ISERROR(SEARCH("Standard",C154)))</formula>
    </cfRule>
    <cfRule type="cellIs" dxfId="2900" priority="2" operator="equal">
      <formula>"Actual"</formula>
    </cfRule>
  </conditionalFormatting>
  <dataValidations count="22">
    <dataValidation type="list" allowBlank="1" showInputMessage="1" showErrorMessage="1" sqref="C177 D256" xr:uid="{00000000-0002-0000-0700-000000000000}">
      <formula1>"Default,Actual"</formula1>
    </dataValidation>
    <dataValidation type="list" allowBlank="1" showInputMessage="1" showErrorMessage="1" sqref="C190" xr:uid="{00000000-0002-0000-0700-000001000000}">
      <formula1>Electricity_Source</formula1>
    </dataValidation>
    <dataValidation type="list" allowBlank="1" showInputMessage="1" showErrorMessage="1" sqref="D126:D129 D115:D116 D204:D207 D229:D230" xr:uid="{00000000-0002-0000-0700-000002000000}">
      <formula1>"kWh,MWh"</formula1>
    </dataValidation>
    <dataValidation type="list" allowBlank="1" showInputMessage="1" showErrorMessage="1" sqref="D169:D170" xr:uid="{00000000-0002-0000-0700-000003000000}">
      <formula1>"litres,m3,kWh,MWh,kg,tonnes, MJ"</formula1>
    </dataValidation>
    <dataValidation type="list" allowBlank="1" showInputMessage="1" showErrorMessage="1" sqref="D174:D176" xr:uid="{00000000-0002-0000-0700-000004000000}">
      <formula1>"kg,tonnes"</formula1>
    </dataValidation>
    <dataValidation type="list" allowBlank="1" showInputMessage="1" showErrorMessage="1" sqref="D177" xr:uid="{00000000-0002-0000-0700-000005000000}">
      <formula1>"tonnes,m3(NTP),m3(STP),kg"</formula1>
    </dataValidation>
    <dataValidation type="list" allowBlank="1" showInputMessage="1" showErrorMessage="1" sqref="D146:D148" xr:uid="{00000000-0002-0000-0700-000006000000}">
      <formula1>"tonnes"</formula1>
    </dataValidation>
    <dataValidation type="list" allowBlank="1" showInputMessage="1" showErrorMessage="1" sqref="C169:C170" xr:uid="{00000000-0002-0000-0700-000007000000}">
      <formula1>Fuels_for_EF</formula1>
    </dataValidation>
    <dataValidation type="list" allowBlank="1" showInputMessage="1" showErrorMessage="1" sqref="C256 C174:C176" xr:uid="{00000000-0002-0000-0700-000008000000}">
      <formula1>Chemicals</formula1>
    </dataValidation>
    <dataValidation type="list" allowBlank="1" showInputMessage="1" showErrorMessage="1" sqref="D118 D131:D132 D209 D232" xr:uid="{00000000-0002-0000-0700-000009000000}">
      <formula1>"%"</formula1>
    </dataValidation>
    <dataValidation type="list" allowBlank="1" showInputMessage="1" showErrorMessage="1" sqref="D117 D130 D208 D231" xr:uid="{00000000-0002-0000-0700-00000A000000}">
      <formula1>"°C,°K"</formula1>
    </dataValidation>
    <dataValidation type="list" allowBlank="1" showInputMessage="1" showErrorMessage="1" sqref="D222:D226 D229:D234" xr:uid="{8044A3DD-07C6-43E1-8D77-839412C8ED2C}">
      <formula1>"kWh, MWh"</formula1>
    </dataValidation>
    <dataValidation type="list" allowBlank="1" showInputMessage="1" showErrorMessage="1" sqref="E216" xr:uid="{9127E0BD-CCB9-4866-99EC-B6CFA507CC42}">
      <formula1>"by fuel consumption, by electricity generated"</formula1>
    </dataValidation>
    <dataValidation type="list" allowBlank="1" showInputMessage="1" showErrorMessage="1" sqref="D91" xr:uid="{1F07906B-C2A3-47C4-BD98-F496F1734C0A}">
      <formula1>"covered, open, unknown"</formula1>
    </dataValidation>
    <dataValidation type="list" allowBlank="1" showInputMessage="1" showErrorMessage="1" sqref="D109" xr:uid="{94CCF113-3C9D-4780-A0CF-07AB97A2FC8C}">
      <formula1>"biogas in, heat out"</formula1>
    </dataValidation>
    <dataValidation type="list" allowBlank="1" showInputMessage="1" showErrorMessage="1" sqref="D121" xr:uid="{F7B92F13-BDE4-4B2B-8B7B-D25994C8272B}">
      <formula1>"biogas in, electricity out, heat out, electricity and heat out"</formula1>
    </dataValidation>
    <dataValidation type="list" allowBlank="1" showInputMessage="1" showErrorMessage="1" sqref="D86:D90 D92 D95" xr:uid="{8E66A65D-2504-4F74-8957-72E7C56D1C5A}">
      <formula1>"yes, no"</formula1>
    </dataValidation>
    <dataValidation type="list" allowBlank="1" showInputMessage="1" showErrorMessage="1" sqref="E225" xr:uid="{87637638-9C38-4652-AA33-776105196B31}">
      <formula1>"natural gas in,heat out"</formula1>
    </dataValidation>
    <dataValidation type="list" allowBlank="1" showInputMessage="1" showErrorMessage="1" sqref="E138" xr:uid="{90559E3A-8C09-4B9B-9A6E-1CE91772BBDA}">
      <formula1>"energy consumed, volume of gas consumed, hours of operation, flared gas not known"</formula1>
    </dataValidation>
    <dataValidation type="list" allowBlank="1" showInputMessage="1" showErrorMessage="1" sqref="D200" xr:uid="{95D5EBDF-668A-4F6C-995F-B6A834E095FE}">
      <formula1>"natural gas in, electricity out, heat out, electricity and heat out"</formula1>
    </dataValidation>
    <dataValidation type="list" allowBlank="1" showInputMessage="1" showErrorMessage="1" sqref="C158" xr:uid="{96E82057-B184-40DC-B6FF-5995A4B48AB1}">
      <formula1>"Standard (LDAR), Standard (no LDAR), Actual"</formula1>
    </dataValidation>
    <dataValidation type="list" allowBlank="1" showInputMessage="1" showErrorMessage="1" sqref="C154" xr:uid="{90A41FFC-5D6B-48A8-99CE-AD1E07B281ED}">
      <formula1>"Standard (Covered), Standard (Open), Actual"</formula1>
    </dataValidation>
  </dataValidations>
  <pageMargins left="0.7" right="0.7" top="0.75" bottom="0.75" header="0.3" footer="0.3"/>
  <pageSetup paperSize="9" orientation="portrait" r:id="rId1"/>
  <headerFooter>
    <oddHeader>&amp;C&amp;"Calibri"&amp;10&amp;K000000 OFFICIAL&amp;1#_x000D_</oddHeader>
    <oddFooter>&amp;C_x000D_&amp;1#&amp;"Calibri"&amp;10&amp;K000000 OFFICIAL</oddFooter>
  </headerFooter>
  <ignoredErrors>
    <ignoredError sqref="G127" 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Q73"/>
  <sheetViews>
    <sheetView zoomScale="85" zoomScaleNormal="85" workbookViewId="0">
      <selection activeCell="F11" sqref="F11"/>
    </sheetView>
  </sheetViews>
  <sheetFormatPr defaultColWidth="9.109375" defaultRowHeight="15" x14ac:dyDescent="0.35"/>
  <cols>
    <col min="1" max="1" width="5.6640625" style="171" customWidth="1"/>
    <col min="2" max="2" width="2.5546875" style="171" customWidth="1"/>
    <col min="3" max="3" width="33.88671875" style="171" customWidth="1"/>
    <col min="4" max="4" width="25.6640625" style="171" customWidth="1"/>
    <col min="5" max="5" width="20.5546875" style="171" customWidth="1"/>
    <col min="6" max="6" width="18.33203125" style="171" customWidth="1"/>
    <col min="7" max="7" width="5.6640625" style="171" customWidth="1"/>
    <col min="8" max="8" width="2.5546875" style="171" customWidth="1"/>
    <col min="9" max="9" width="36.88671875" style="171" customWidth="1"/>
    <col min="10" max="10" width="17" style="171" bestFit="1" customWidth="1"/>
    <col min="11" max="12" width="2.5546875" style="171" customWidth="1"/>
    <col min="13" max="14" width="9.109375" style="171"/>
    <col min="15" max="15" width="27.33203125" style="171" customWidth="1"/>
    <col min="16" max="16" width="18.88671875" style="171" customWidth="1"/>
    <col min="17" max="17" width="9.109375" style="171"/>
    <col min="18" max="18" width="2.6640625" style="171" customWidth="1"/>
    <col min="19" max="16384" width="9.109375" style="171"/>
  </cols>
  <sheetData>
    <row r="1" spans="1:17" ht="24.75" customHeight="1" x14ac:dyDescent="0.35">
      <c r="A1" s="159"/>
      <c r="B1" s="159"/>
      <c r="C1" s="159"/>
    </row>
    <row r="2" spans="1:17" ht="24.75" customHeight="1" x14ac:dyDescent="0.35"/>
    <row r="3" spans="1:17" ht="24.75" customHeight="1" x14ac:dyDescent="0.35"/>
    <row r="4" spans="1:17" s="238" customFormat="1" ht="24.75" customHeight="1" x14ac:dyDescent="0.35"/>
    <row r="5" spans="1:17" s="21" customFormat="1" x14ac:dyDescent="0.35"/>
    <row r="6" spans="1:17" s="21" customFormat="1" ht="54" customHeight="1" x14ac:dyDescent="0.4">
      <c r="B6" s="728" t="s">
        <v>741</v>
      </c>
      <c r="C6" s="728"/>
      <c r="D6" s="728"/>
      <c r="E6" s="728"/>
      <c r="F6" s="728"/>
      <c r="G6" s="728"/>
      <c r="H6" s="728"/>
      <c r="I6" s="728"/>
      <c r="J6" s="728"/>
      <c r="K6" s="728"/>
      <c r="L6" s="728"/>
    </row>
    <row r="7" spans="1:17" s="21" customFormat="1" x14ac:dyDescent="0.35"/>
    <row r="8" spans="1:17" s="21" customFormat="1" ht="19.2" x14ac:dyDescent="0.45">
      <c r="B8" s="743" t="s">
        <v>409</v>
      </c>
      <c r="C8" s="744"/>
      <c r="D8" s="744"/>
      <c r="E8" s="744"/>
      <c r="F8" s="744"/>
      <c r="G8" s="744"/>
      <c r="H8" s="744"/>
      <c r="I8" s="744"/>
      <c r="J8" s="744"/>
      <c r="K8" s="744"/>
      <c r="L8" s="745"/>
    </row>
    <row r="9" spans="1:17" s="21" customFormat="1" x14ac:dyDescent="0.35">
      <c r="B9" s="20"/>
      <c r="L9" s="35"/>
    </row>
    <row r="10" spans="1:17" s="21" customFormat="1" ht="30" x14ac:dyDescent="0.35">
      <c r="B10" s="20"/>
      <c r="D10" s="166" t="s">
        <v>410</v>
      </c>
      <c r="E10" s="166" t="s">
        <v>411</v>
      </c>
      <c r="H10" s="303" t="s">
        <v>122</v>
      </c>
      <c r="I10" s="47"/>
      <c r="J10" s="47"/>
      <c r="K10" s="45"/>
      <c r="L10" s="35"/>
    </row>
    <row r="11" spans="1:17" s="21" customFormat="1" ht="15.9" customHeight="1" x14ac:dyDescent="0.35">
      <c r="B11" s="20"/>
      <c r="C11" s="169" t="s">
        <v>241</v>
      </c>
      <c r="D11" s="70">
        <f>IFERROR('Digestion &amp; outputs'!F106/'Final conversion'!E11,0)</f>
        <v>0</v>
      </c>
      <c r="E11" s="246">
        <f>IFERROR(1/(F20+1), 0)</f>
        <v>0.970873786407767</v>
      </c>
      <c r="H11" s="41"/>
      <c r="I11" s="36"/>
      <c r="J11" s="164" t="s">
        <v>412</v>
      </c>
      <c r="K11" s="37"/>
      <c r="L11" s="35"/>
      <c r="N11" s="12"/>
      <c r="O11" s="12"/>
      <c r="P11" s="12"/>
      <c r="Q11" s="12"/>
    </row>
    <row r="12" spans="1:17" s="21" customFormat="1" x14ac:dyDescent="0.35">
      <c r="B12" s="20"/>
      <c r="H12" s="41"/>
      <c r="I12" s="164" t="s">
        <v>413</v>
      </c>
      <c r="J12" s="245">
        <f>IFERROR(SUM(J18,J24,J28:J29,J33:J36,J40:J47),0)</f>
        <v>15</v>
      </c>
      <c r="K12" s="37"/>
      <c r="L12" s="35"/>
    </row>
    <row r="13" spans="1:17" s="21" customFormat="1" x14ac:dyDescent="0.35">
      <c r="B13" s="20"/>
      <c r="C13" s="243" t="s">
        <v>414</v>
      </c>
      <c r="H13" s="46"/>
      <c r="I13" s="58"/>
      <c r="J13" s="58"/>
      <c r="K13" s="59"/>
      <c r="L13" s="35"/>
    </row>
    <row r="14" spans="1:17" s="21" customFormat="1" x14ac:dyDescent="0.35">
      <c r="B14" s="20"/>
      <c r="C14" s="164" t="s">
        <v>415</v>
      </c>
      <c r="D14" s="164" t="s">
        <v>416</v>
      </c>
      <c r="E14" s="164" t="s">
        <v>740</v>
      </c>
      <c r="L14" s="35"/>
    </row>
    <row r="15" spans="1:17" s="21" customFormat="1" x14ac:dyDescent="0.35">
      <c r="B15" s="20"/>
      <c r="C15" s="134" t="s">
        <v>417</v>
      </c>
      <c r="D15" s="134" t="s">
        <v>418</v>
      </c>
      <c r="E15" s="419">
        <f>IF(C15='Reference values'!C253, 0, IF('Final conversion'!D15="no off-gas combustion", 3%, IF('Final conversion'!D15="off-gas combustion", 0, IF(D15="unknown", 3%, ""))))</f>
        <v>0.03</v>
      </c>
      <c r="H15" s="304" t="s">
        <v>136</v>
      </c>
      <c r="I15" s="47"/>
      <c r="J15" s="47"/>
      <c r="K15" s="45"/>
      <c r="L15" s="35"/>
    </row>
    <row r="16" spans="1:17" s="21" customFormat="1" x14ac:dyDescent="0.35">
      <c r="B16" s="20"/>
      <c r="H16" s="609"/>
      <c r="I16" s="36"/>
      <c r="J16" s="36"/>
      <c r="K16" s="37"/>
      <c r="L16" s="35"/>
    </row>
    <row r="17" spans="2:17" s="21" customFormat="1" x14ac:dyDescent="0.35">
      <c r="B17" s="20"/>
      <c r="C17" s="802" t="s">
        <v>738</v>
      </c>
      <c r="D17" s="803"/>
      <c r="E17" s="166" t="s">
        <v>271</v>
      </c>
      <c r="F17" s="164" t="s">
        <v>140</v>
      </c>
      <c r="H17" s="609"/>
      <c r="I17" s="36"/>
      <c r="J17" s="164" t="s">
        <v>412</v>
      </c>
      <c r="K17" s="37"/>
      <c r="L17" s="35"/>
    </row>
    <row r="18" spans="2:17" s="21" customFormat="1" x14ac:dyDescent="0.35">
      <c r="B18" s="20"/>
      <c r="C18" s="138" t="s">
        <v>739</v>
      </c>
      <c r="D18" s="582">
        <f>E15</f>
        <v>0.03</v>
      </c>
      <c r="E18" s="583"/>
      <c r="F18" s="75">
        <f>IF(C18="Standard",D18, IF(C18="Actual",IF(E18&gt;0, E18, "insert data"), "error"))</f>
        <v>0.03</v>
      </c>
      <c r="H18" s="609"/>
      <c r="I18" s="164" t="s">
        <v>419</v>
      </c>
      <c r="J18" s="245">
        <f>IFERROR(F18*'Reference values'!$D$57/INDEX(Fuel_LHV,MATCH("Methane (NTP)",Fuels_for_LHV,0))*1000,"Insert data")</f>
        <v>15</v>
      </c>
      <c r="K18" s="37"/>
      <c r="L18" s="35"/>
    </row>
    <row r="19" spans="2:17" s="21" customFormat="1" x14ac:dyDescent="0.35">
      <c r="B19" s="20"/>
      <c r="C19" s="166" t="s">
        <v>420</v>
      </c>
      <c r="D19" s="166"/>
      <c r="E19" s="166" t="s">
        <v>271</v>
      </c>
      <c r="F19" s="164" t="s">
        <v>140</v>
      </c>
      <c r="H19" s="609"/>
      <c r="I19" s="36"/>
      <c r="J19" s="36"/>
      <c r="K19" s="37"/>
      <c r="L19" s="35"/>
    </row>
    <row r="20" spans="2:17" s="21" customFormat="1" x14ac:dyDescent="0.35">
      <c r="B20" s="20"/>
      <c r="C20" s="138" t="s">
        <v>96</v>
      </c>
      <c r="D20" s="645">
        <f>F18</f>
        <v>0.03</v>
      </c>
      <c r="E20" s="583"/>
      <c r="F20" s="75">
        <f>IF(C20="Default",D20, IF(C20="Actual",IF(E20&gt;0, E20, "insert data"), "error"))</f>
        <v>0.03</v>
      </c>
      <c r="H20" s="609"/>
      <c r="I20" s="36"/>
      <c r="J20" s="36"/>
      <c r="K20" s="37"/>
      <c r="L20" s="35"/>
    </row>
    <row r="21" spans="2:17" s="21" customFormat="1" x14ac:dyDescent="0.35">
      <c r="B21" s="20"/>
      <c r="H21" s="41"/>
      <c r="I21" s="36"/>
      <c r="J21" s="36"/>
      <c r="K21" s="37"/>
      <c r="L21" s="35"/>
    </row>
    <row r="22" spans="2:17" s="21" customFormat="1" x14ac:dyDescent="0.35">
      <c r="B22" s="20"/>
      <c r="C22" s="243" t="s">
        <v>421</v>
      </c>
      <c r="H22" s="41"/>
      <c r="I22" s="36"/>
      <c r="J22" s="36"/>
      <c r="K22" s="37"/>
      <c r="L22" s="35"/>
    </row>
    <row r="23" spans="2:17" s="21" customFormat="1" x14ac:dyDescent="0.35">
      <c r="B23" s="20"/>
      <c r="C23" s="802" t="s">
        <v>422</v>
      </c>
      <c r="D23" s="803"/>
      <c r="E23" s="166"/>
      <c r="F23" s="164" t="s">
        <v>140</v>
      </c>
      <c r="H23" s="41"/>
      <c r="I23" s="36"/>
      <c r="J23" s="164" t="s">
        <v>412</v>
      </c>
      <c r="K23" s="37"/>
      <c r="L23" s="35"/>
      <c r="M23" s="20"/>
      <c r="N23" s="12"/>
      <c r="O23" s="401"/>
      <c r="P23" s="402"/>
      <c r="Q23" s="12"/>
    </row>
    <row r="24" spans="2:17" s="21" customFormat="1" x14ac:dyDescent="0.35">
      <c r="B24" s="20"/>
      <c r="C24" s="138" t="s">
        <v>96</v>
      </c>
      <c r="D24" s="582">
        <f>E21</f>
        <v>0</v>
      </c>
      <c r="E24" s="583"/>
      <c r="F24" s="75">
        <f>IF(C24="Default",D24, IF(C24="Actual",IF(E24&gt;0, E24, "insert data"), "error"))</f>
        <v>0</v>
      </c>
      <c r="H24" s="41"/>
      <c r="I24" s="164" t="s">
        <v>421</v>
      </c>
      <c r="J24" s="245">
        <f>IFERROR(IF(C24="Default",F24*'Reference values'!$D$57/INDEX(Fuel_LHV,MATCH("Methane (NTP)",Fuels_for_LHV,0))*1000,F24*'Reference values'!$D$57/INDEX(Fuel_LHV,MATCH("Methane (NTP)",Fuels_for_LHV,0))*1000),"Insert data")</f>
        <v>0</v>
      </c>
      <c r="K24" s="37"/>
      <c r="L24" s="35"/>
      <c r="M24" s="20"/>
      <c r="N24" s="12"/>
      <c r="O24" s="401"/>
      <c r="P24" s="402"/>
      <c r="Q24" s="12"/>
    </row>
    <row r="25" spans="2:17" s="21" customFormat="1" x14ac:dyDescent="0.35">
      <c r="B25" s="20"/>
      <c r="H25" s="41"/>
      <c r="I25" s="36"/>
      <c r="J25" s="36"/>
      <c r="K25" s="37"/>
      <c r="L25" s="35"/>
      <c r="M25" s="20"/>
      <c r="N25" s="12"/>
      <c r="O25" s="401"/>
      <c r="P25" s="402"/>
      <c r="Q25" s="12"/>
    </row>
    <row r="26" spans="2:17" s="21" customFormat="1" x14ac:dyDescent="0.35">
      <c r="B26" s="20"/>
      <c r="C26" s="25" t="s">
        <v>423</v>
      </c>
      <c r="D26" s="1"/>
      <c r="E26" s="1"/>
      <c r="H26" s="41"/>
      <c r="I26" s="36"/>
      <c r="J26" s="36"/>
      <c r="K26" s="37"/>
      <c r="L26" s="35"/>
      <c r="M26" s="20"/>
      <c r="N26" s="12"/>
      <c r="O26" s="12"/>
      <c r="P26" s="12"/>
      <c r="Q26" s="12"/>
    </row>
    <row r="27" spans="2:17" s="21" customFormat="1" x14ac:dyDescent="0.35">
      <c r="B27" s="20"/>
      <c r="C27" s="166" t="s">
        <v>188</v>
      </c>
      <c r="D27" s="164" t="s">
        <v>151</v>
      </c>
      <c r="E27" s="164" t="s">
        <v>140</v>
      </c>
      <c r="H27" s="41"/>
      <c r="I27" s="36"/>
      <c r="J27" s="164" t="s">
        <v>412</v>
      </c>
      <c r="K27" s="37"/>
      <c r="L27" s="35"/>
      <c r="N27" s="305" t="s">
        <v>424</v>
      </c>
      <c r="O27" s="249"/>
      <c r="P27" s="249"/>
      <c r="Q27" s="255"/>
    </row>
    <row r="28" spans="2:17" s="21" customFormat="1" x14ac:dyDescent="0.35">
      <c r="B28" s="20"/>
      <c r="C28" s="407" t="s">
        <v>379</v>
      </c>
      <c r="D28" s="404" t="s">
        <v>307</v>
      </c>
      <c r="E28" s="405" t="e">
        <f>'Digestion &amp; outputs'!E183*'Final conversion'!P32</f>
        <v>#DIV/0!</v>
      </c>
      <c r="H28" s="41"/>
      <c r="I28" s="164" t="s">
        <v>379</v>
      </c>
      <c r="J28" s="245" t="str">
        <f>IFERROR((E28*'Reference values'!$D$47*INDEX(Electricity_Emission_Factors,MATCH(C28,Electricity_Source,0))/1000)/$D$11,"")</f>
        <v/>
      </c>
      <c r="K28" s="37"/>
      <c r="L28" s="35"/>
      <c r="N28" s="250"/>
      <c r="O28" s="251"/>
      <c r="P28" s="251"/>
      <c r="Q28" s="397"/>
    </row>
    <row r="29" spans="2:17" s="21" customFormat="1" x14ac:dyDescent="0.35">
      <c r="B29" s="20"/>
      <c r="C29" s="437" t="s">
        <v>359</v>
      </c>
      <c r="D29" s="404" t="s">
        <v>307</v>
      </c>
      <c r="E29" s="405" t="e">
        <f>IF('Digestion &amp; outputs'!D87="no", "", 'Digestion &amp; outputs'!E184*Electricity_to_upgrading_percent)</f>
        <v>#DIV/0!</v>
      </c>
      <c r="H29" s="41"/>
      <c r="I29" s="164" t="s">
        <v>359</v>
      </c>
      <c r="J29" s="245" t="str">
        <f>IFERROR(((E29*'Reference values'!$D$47*INDEX(Electricity_Emission_Factors,MATCH(C29,Electricity_Source,0))/1000)/$D$11),"")</f>
        <v/>
      </c>
      <c r="K29" s="37"/>
      <c r="L29" s="35"/>
      <c r="N29" s="250"/>
      <c r="O29" s="169" t="s">
        <v>425</v>
      </c>
      <c r="P29" s="247">
        <f>'Digestion &amp; outputs'!E182</f>
        <v>0</v>
      </c>
      <c r="Q29" s="397"/>
    </row>
    <row r="30" spans="2:17" s="21" customFormat="1" x14ac:dyDescent="0.35">
      <c r="B30" s="20"/>
      <c r="H30" s="41"/>
      <c r="I30" s="36"/>
      <c r="J30" s="36"/>
      <c r="K30" s="37"/>
      <c r="L30" s="35"/>
      <c r="N30" s="250"/>
      <c r="O30" s="169" t="s">
        <v>426</v>
      </c>
      <c r="P30" s="247">
        <f>'Reference values'!M95*'Digestion &amp; outputs'!F106</f>
        <v>0</v>
      </c>
      <c r="Q30" s="397"/>
    </row>
    <row r="31" spans="2:17" s="21" customFormat="1" x14ac:dyDescent="0.35">
      <c r="B31" s="20"/>
      <c r="C31" s="243" t="s">
        <v>427</v>
      </c>
      <c r="H31" s="41"/>
      <c r="I31" s="36"/>
      <c r="J31" s="36"/>
      <c r="K31" s="37"/>
      <c r="L31" s="35"/>
      <c r="N31" s="250"/>
      <c r="O31" s="169" t="s">
        <v>428</v>
      </c>
      <c r="P31" s="247">
        <f>IF(P29-P30&lt;1000, P29/2, P29-P30)</f>
        <v>0</v>
      </c>
      <c r="Q31" s="256"/>
    </row>
    <row r="32" spans="2:17" s="21" customFormat="1" x14ac:dyDescent="0.35">
      <c r="B32" s="20"/>
      <c r="C32" s="164" t="s">
        <v>160</v>
      </c>
      <c r="D32" s="164" t="s">
        <v>151</v>
      </c>
      <c r="E32" s="164" t="s">
        <v>140</v>
      </c>
      <c r="H32" s="41"/>
      <c r="I32" s="164" t="s">
        <v>160</v>
      </c>
      <c r="J32" s="164" t="s">
        <v>412</v>
      </c>
      <c r="K32" s="37"/>
      <c r="L32" s="35"/>
      <c r="N32" s="250"/>
      <c r="O32" s="169" t="s">
        <v>429</v>
      </c>
      <c r="P32" s="225" t="e">
        <f>1-Electricity_to_digestion_percent</f>
        <v>#DIV/0!</v>
      </c>
      <c r="Q32" s="397"/>
    </row>
    <row r="33" spans="2:17" s="21" customFormat="1" x14ac:dyDescent="0.35">
      <c r="B33" s="20"/>
      <c r="C33" s="607" t="str">
        <f>'Digestion &amp; outputs'!C167</f>
        <v>Diesel</v>
      </c>
      <c r="D33" s="404" t="str">
        <f>'Digestion &amp; outputs'!D167</f>
        <v>litres</v>
      </c>
      <c r="E33" s="405" t="str">
        <f>IF('Digestion &amp; outputs'!D90="no","",IF('Digestion &amp; outputs'!E216="by electricity generated",'Digestion &amp; outputs'!F220*P32,IF('Digestion &amp; outputs'!E216="by fuel consumption",'Digestion &amp; outputs'!E220*P32,"")))</f>
        <v/>
      </c>
      <c r="H33" s="41"/>
      <c r="I33" s="27" t="str">
        <f>IF(C33&gt;0,C33,"")</f>
        <v>Diesel</v>
      </c>
      <c r="J33" s="245" t="str">
        <f>IFERROR(IF(C33&gt;0,IF(ISBLANK(E33),"Insert data",(IF(D33="litres",(E33*(INDEX(Fuel_Densities,MATCH(C33,Fuels_for_Densities,0))/1000)*INDEX(Fuel_LHV,MATCH(C33,Fuels_for_LHV,0))*INDEX(Fuel_EFs,MATCH(C33,Fuels_for_EF,0)))/$D$11,(IF(D33="m3",(E33*(INDEX(Fuel_Densities,MATCH(C33,Fuels_for_Densities,0)))*INDEX(Fuel_LHV,MATCH(C33,Fuels_for_LHV,0))*INDEX(Fuel_EFs,MATCH(C33,Fuels_for_EF,0)))/$D$11,IF(D33="kg",(E33*INDEX(Fuel_LHV,MATCH(C33,Fuels_for_LHV,0))*INDEX(Fuel_EFs,MATCH(C33,Fuels_for_EF,0)))/$D$11,IF(D33="tonnes",(E33*INDEX(Fuel_LHV,MATCH(C33,Fuels_for_LHV,0))*1000*INDEX(Fuel_EFs,MATCH(C33,Fuels_for_EF,0)))/$D$11,IF(D33="MWh",(E33*'Reference values'!$D$47*INDEX(Fuel_EFs,MATCH(C33,Fuels_for_EF,0)))/$D$11,IF(D33="kWh",(E33*'Reference values'!$D$47*INDEX(Fuel_EFs,MATCH(C33,Fuels_for_EF,0))/1000)/$D$11,"Insert unit"))))))))),""),"")</f>
        <v/>
      </c>
      <c r="K33" s="37"/>
      <c r="L33" s="35"/>
      <c r="N33" s="250"/>
      <c r="O33" s="169" t="s">
        <v>430</v>
      </c>
      <c r="P33" s="225" t="e">
        <f>P31/P29</f>
        <v>#DIV/0!</v>
      </c>
      <c r="Q33" s="256"/>
    </row>
    <row r="34" spans="2:17" s="21" customFormat="1" x14ac:dyDescent="0.35">
      <c r="B34" s="20"/>
      <c r="C34" s="607" t="str">
        <f>'Digestion &amp; outputs'!C168</f>
        <v>Natural gas</v>
      </c>
      <c r="D34" s="404" t="str">
        <f>'Digestion &amp; outputs'!D168</f>
        <v>MJ</v>
      </c>
      <c r="E34" s="405" t="str">
        <f>IFERROR(IF('Digestion &amp; outputs'!D89="no", "", 'Digestion &amp; outputs'!E194*Electricity_to_upgrading_percent), "")</f>
        <v/>
      </c>
      <c r="H34" s="41"/>
      <c r="I34" s="27" t="str">
        <f t="shared" ref="I34:I36" si="0">IF(C34&gt;0,C34,"")</f>
        <v>Natural gas</v>
      </c>
      <c r="J34" s="245" t="str">
        <f>IFERROR(E34 *INDEX(Fuel_EFs,MATCH(C34,Fuels_for_EF,0)) / $D$11,"")</f>
        <v/>
      </c>
      <c r="K34" s="37"/>
      <c r="L34" s="35"/>
      <c r="N34" s="252"/>
      <c r="O34" s="253"/>
      <c r="P34" s="253"/>
      <c r="Q34" s="254"/>
    </row>
    <row r="35" spans="2:17" s="21" customFormat="1" x14ac:dyDescent="0.35">
      <c r="B35" s="20"/>
      <c r="C35" s="227"/>
      <c r="D35" s="141"/>
      <c r="E35" s="403"/>
      <c r="H35" s="41"/>
      <c r="I35" s="27" t="str">
        <f t="shared" si="0"/>
        <v/>
      </c>
      <c r="J35" s="245" t="str">
        <f>IFERROR(IF(C35&gt;0,IF(ISBLANK(E35),"Insert data",(IF(D35="litres",(E35*(INDEX(Fuel_Densities,MATCH(C35,Fuels_for_Densities,0))/1000)*INDEX(Fuel_LHV,MATCH(C35,Fuels_for_LHV,0))*INDEX(Fuel_EFs,MATCH(C35,Fuels_for_EF,0)))/$D$11,(IF(D35="m3",(E35*(INDEX(Fuel_Densities,MATCH(C35,Fuels_for_Densities,0)))*INDEX(Fuel_LHV,MATCH(C35,Fuels_for_LHV,0))*INDEX(Fuel_EFs,MATCH(C35,Fuels_for_EF,0)))/$D$11,IF(D35="kg",(E35*INDEX(Fuel_LHV,MATCH(C35,Fuels_for_LHV,0))*INDEX(Fuel_EFs,MATCH(C35,Fuels_for_EF,0)))/$D$11,IF(D35="tonnes",(E35*INDEX(Fuel_LHV,MATCH(C35,Fuels_for_LHV,0))*1000*INDEX(Fuel_EFs,MATCH(C35,Fuels_for_EF,0)))/$D$11,IF(D35="MWh",(E35*'Reference values'!$D$47*INDEX(Fuel_EFs,MATCH(C35,Fuels_for_EF,0)))/$D$11,IF(D35="kWh",(E35*'Reference values'!$D$47*INDEX(Fuel_EFs,MATCH(C35,Fuels_for_EF,0))/1000)/$D$11,"Insert unit"))))))))),""),"Insert data")</f>
        <v/>
      </c>
      <c r="K35" s="37"/>
      <c r="L35" s="35"/>
    </row>
    <row r="36" spans="2:17" s="21" customFormat="1" x14ac:dyDescent="0.35">
      <c r="B36" s="20"/>
      <c r="C36" s="227"/>
      <c r="D36" s="141"/>
      <c r="E36" s="403"/>
      <c r="H36" s="41"/>
      <c r="I36" s="27" t="str">
        <f t="shared" si="0"/>
        <v/>
      </c>
      <c r="J36" s="245" t="str">
        <f>IFERROR(IF(C36&gt;0,IF(ISBLANK(E36),"Insert data",(IF(D36="litres",(E36*(INDEX(Fuel_Densities,MATCH(C36,Fuels_for_Densities,0))/1000)*INDEX(Fuel_LHV,MATCH(C36,Fuels_for_LHV,0))*INDEX(Fuel_EFs,MATCH(C36,Fuels_for_EF,0)))/$D$11,(IF(D36="m3",(E36*(INDEX(Fuel_Densities,MATCH(C36,Fuels_for_Densities,0)))*INDEX(Fuel_LHV,MATCH(C36,Fuels_for_LHV,0))*INDEX(Fuel_EFs,MATCH(C36,Fuels_for_EF,0)))/$D$11,IF(D36="kg",(E36*INDEX(Fuel_LHV,MATCH(C36,Fuels_for_LHV,0))*INDEX(Fuel_EFs,MATCH(C36,Fuels_for_EF,0)))/$D$11,IF(D36="tonnes",(E36*INDEX(Fuel_LHV,MATCH(C36,Fuels_for_LHV,0))*1000*INDEX(Fuel_EFs,MATCH(C36,Fuels_for_EF,0)))/$D$11,IF(D36="MWh",(E36*'Reference values'!$D$47*INDEX(Fuel_EFs,MATCH(C36,Fuels_for_EF,0)))/$D$11,IF(D36="kWh",(E36*'Reference values'!$D$47*INDEX(Fuel_EFs,MATCH(C36,Fuels_for_EF,0))/1000)/$D$11,"Insert unit"))))))))),""),"Insert data")</f>
        <v/>
      </c>
      <c r="K36" s="37"/>
      <c r="L36" s="35"/>
    </row>
    <row r="37" spans="2:17" s="21" customFormat="1" x14ac:dyDescent="0.35">
      <c r="B37" s="20"/>
      <c r="H37" s="41"/>
      <c r="I37" s="36"/>
      <c r="J37" s="36"/>
      <c r="K37" s="37"/>
      <c r="L37" s="35"/>
    </row>
    <row r="38" spans="2:17" s="21" customFormat="1" x14ac:dyDescent="0.35">
      <c r="B38" s="20"/>
      <c r="C38" s="243" t="s">
        <v>431</v>
      </c>
      <c r="H38" s="41"/>
      <c r="I38" s="36"/>
      <c r="J38" s="36"/>
      <c r="K38" s="37"/>
      <c r="L38" s="35"/>
    </row>
    <row r="39" spans="2:17" s="21" customFormat="1" x14ac:dyDescent="0.35">
      <c r="B39" s="20"/>
      <c r="C39" s="164" t="s">
        <v>192</v>
      </c>
      <c r="D39" s="164" t="s">
        <v>151</v>
      </c>
      <c r="E39" s="164" t="s">
        <v>140</v>
      </c>
      <c r="H39" s="41"/>
      <c r="I39" s="164" t="s">
        <v>192</v>
      </c>
      <c r="J39" s="164" t="s">
        <v>412</v>
      </c>
      <c r="K39" s="37"/>
      <c r="L39" s="35"/>
    </row>
    <row r="40" spans="2:17" s="21" customFormat="1" x14ac:dyDescent="0.35">
      <c r="B40" s="20"/>
      <c r="C40" s="227"/>
      <c r="D40" s="141"/>
      <c r="E40" s="144"/>
      <c r="H40" s="41"/>
      <c r="I40" s="27" t="str">
        <f>IF(C40&gt;0,C40,"")</f>
        <v/>
      </c>
      <c r="J40" s="245" t="str">
        <f t="shared" ref="J40:J47" si="1">IFERROR(IF(C40&gt;0,IF(ISBLANK(E40),"Insert data",IF(D40="kg",E40*INDEX(Chemical_Emission_Factors,MATCH(C40,Chemicals,0))/$D$11,IF(D40="tonnes",E40*INDEX(Chemical_Emission_Factors,MATCH(C40,Chemicals,0))*1000/$D$11,"Insert unit"))),""),"Insert data")</f>
        <v/>
      </c>
      <c r="K40" s="37"/>
      <c r="L40" s="35"/>
    </row>
    <row r="41" spans="2:17" s="21" customFormat="1" x14ac:dyDescent="0.35">
      <c r="B41" s="20"/>
      <c r="C41" s="227"/>
      <c r="D41" s="141"/>
      <c r="E41" s="144"/>
      <c r="H41" s="41"/>
      <c r="I41" s="27" t="str">
        <f t="shared" ref="I41:I47" si="2">IF(C41&gt;0,C41,"")</f>
        <v/>
      </c>
      <c r="J41" s="245" t="str">
        <f t="shared" si="1"/>
        <v/>
      </c>
      <c r="K41" s="37"/>
      <c r="L41" s="35"/>
    </row>
    <row r="42" spans="2:17" s="21" customFormat="1" x14ac:dyDescent="0.35">
      <c r="B42" s="20"/>
      <c r="C42" s="227"/>
      <c r="D42" s="141"/>
      <c r="E42" s="144"/>
      <c r="H42" s="41"/>
      <c r="I42" s="27" t="str">
        <f t="shared" si="2"/>
        <v/>
      </c>
      <c r="J42" s="245" t="str">
        <f t="shared" si="1"/>
        <v/>
      </c>
      <c r="K42" s="37"/>
      <c r="L42" s="35"/>
    </row>
    <row r="43" spans="2:17" s="21" customFormat="1" x14ac:dyDescent="0.35">
      <c r="B43" s="20"/>
      <c r="C43" s="227"/>
      <c r="D43" s="141"/>
      <c r="E43" s="144"/>
      <c r="H43" s="41"/>
      <c r="I43" s="27" t="str">
        <f t="shared" si="2"/>
        <v/>
      </c>
      <c r="J43" s="245" t="str">
        <f t="shared" si="1"/>
        <v/>
      </c>
      <c r="K43" s="37"/>
      <c r="L43" s="35"/>
    </row>
    <row r="44" spans="2:17" s="21" customFormat="1" x14ac:dyDescent="0.35">
      <c r="B44" s="20"/>
      <c r="C44" s="227"/>
      <c r="D44" s="141"/>
      <c r="E44" s="144"/>
      <c r="H44" s="41"/>
      <c r="I44" s="27" t="str">
        <f t="shared" si="2"/>
        <v/>
      </c>
      <c r="J44" s="245" t="str">
        <f t="shared" si="1"/>
        <v/>
      </c>
      <c r="K44" s="37"/>
      <c r="L44" s="35"/>
    </row>
    <row r="45" spans="2:17" s="21" customFormat="1" x14ac:dyDescent="0.35">
      <c r="B45" s="20"/>
      <c r="C45" s="227"/>
      <c r="D45" s="141"/>
      <c r="E45" s="144"/>
      <c r="H45" s="41"/>
      <c r="I45" s="27" t="str">
        <f t="shared" si="2"/>
        <v/>
      </c>
      <c r="J45" s="245" t="str">
        <f t="shared" si="1"/>
        <v/>
      </c>
      <c r="K45" s="37"/>
      <c r="L45" s="35"/>
    </row>
    <row r="46" spans="2:17" s="21" customFormat="1" x14ac:dyDescent="0.35">
      <c r="B46" s="20"/>
      <c r="C46" s="227"/>
      <c r="D46" s="141"/>
      <c r="E46" s="144"/>
      <c r="H46" s="41"/>
      <c r="I46" s="27" t="str">
        <f t="shared" si="2"/>
        <v/>
      </c>
      <c r="J46" s="245" t="str">
        <f t="shared" si="1"/>
        <v/>
      </c>
      <c r="K46" s="37"/>
      <c r="L46" s="35"/>
    </row>
    <row r="47" spans="2:17" s="21" customFormat="1" x14ac:dyDescent="0.35">
      <c r="B47" s="20"/>
      <c r="C47" s="227"/>
      <c r="D47" s="141"/>
      <c r="E47" s="144"/>
      <c r="H47" s="41"/>
      <c r="I47" s="27" t="str">
        <f t="shared" si="2"/>
        <v/>
      </c>
      <c r="J47" s="245" t="str">
        <f t="shared" si="1"/>
        <v/>
      </c>
      <c r="K47" s="37"/>
      <c r="L47" s="35"/>
    </row>
    <row r="48" spans="2:17" s="21" customFormat="1" ht="15.6" thickBot="1" x14ac:dyDescent="0.4">
      <c r="B48" s="33"/>
      <c r="C48" s="1"/>
      <c r="D48" s="77"/>
      <c r="E48" s="77"/>
      <c r="F48" s="78"/>
      <c r="H48" s="49"/>
      <c r="I48" s="65"/>
      <c r="J48" s="65"/>
      <c r="K48" s="130"/>
      <c r="L48" s="16"/>
    </row>
    <row r="49" spans="2:12" s="21" customFormat="1" x14ac:dyDescent="0.35">
      <c r="B49" s="28"/>
      <c r="C49" s="29"/>
      <c r="D49" s="29"/>
      <c r="E49" s="29"/>
      <c r="F49" s="29"/>
      <c r="G49" s="29"/>
      <c r="H49" s="29"/>
      <c r="I49" s="29"/>
      <c r="J49" s="29"/>
      <c r="K49" s="29"/>
      <c r="L49" s="60"/>
    </row>
    <row r="50" spans="2:12" s="21" customFormat="1" ht="45.75" customHeight="1" x14ac:dyDescent="0.35"/>
    <row r="51" spans="2:12" s="21" customFormat="1" ht="19.2" x14ac:dyDescent="0.45">
      <c r="B51" s="754" t="s">
        <v>289</v>
      </c>
      <c r="C51" s="755"/>
      <c r="D51" s="755"/>
      <c r="E51" s="755"/>
      <c r="F51" s="755"/>
      <c r="G51" s="755"/>
      <c r="H51" s="755"/>
      <c r="I51" s="755"/>
      <c r="J51" s="755"/>
      <c r="K51" s="755"/>
      <c r="L51" s="756"/>
    </row>
    <row r="52" spans="2:12" s="21" customFormat="1" x14ac:dyDescent="0.35">
      <c r="B52" s="20"/>
      <c r="L52" s="35"/>
    </row>
    <row r="53" spans="2:12" s="21" customFormat="1" x14ac:dyDescent="0.35">
      <c r="B53" s="20"/>
      <c r="D53" s="166" t="s">
        <v>432</v>
      </c>
      <c r="L53" s="35"/>
    </row>
    <row r="54" spans="2:12" s="21" customFormat="1" x14ac:dyDescent="0.35">
      <c r="B54" s="20"/>
      <c r="C54" s="169" t="s">
        <v>241</v>
      </c>
      <c r="D54" s="70">
        <f>IFERROR(IF('Digestion &amp; outputs'!D116="kWh",'Digestion &amp; outputs'!E116*'Reference values'!$D$49,IF('Digestion &amp; outputs'!D116="MWh",'Digestion &amp; outputs'!E116*'Reference values'!$D$47,"")),0)</f>
        <v>0</v>
      </c>
      <c r="L54" s="35"/>
    </row>
    <row r="55" spans="2:12" s="21" customFormat="1" x14ac:dyDescent="0.35">
      <c r="B55" s="20"/>
      <c r="H55" s="303" t="s">
        <v>122</v>
      </c>
      <c r="I55" s="47"/>
      <c r="J55" s="47"/>
      <c r="K55" s="45"/>
      <c r="L55" s="35"/>
    </row>
    <row r="56" spans="2:12" s="21" customFormat="1" x14ac:dyDescent="0.35">
      <c r="B56" s="20"/>
      <c r="C56" s="25" t="s">
        <v>433</v>
      </c>
      <c r="D56" s="1"/>
      <c r="E56" s="1"/>
      <c r="H56" s="41"/>
      <c r="I56" s="36"/>
      <c r="J56" s="164" t="s">
        <v>434</v>
      </c>
      <c r="K56" s="37"/>
      <c r="L56" s="35"/>
    </row>
    <row r="57" spans="2:12" s="21" customFormat="1" x14ac:dyDescent="0.35">
      <c r="B57" s="20"/>
      <c r="C57" s="166" t="s">
        <v>188</v>
      </c>
      <c r="D57" s="164" t="s">
        <v>151</v>
      </c>
      <c r="E57" s="164" t="s">
        <v>140</v>
      </c>
      <c r="H57" s="41"/>
      <c r="I57" s="164" t="s">
        <v>189</v>
      </c>
      <c r="J57" s="245">
        <f>IFERROR(IF(ISBLANK(C58),0,IF(D58="MWh",(E58*'Reference values'!$D$47*INDEX(Electricity_Emission_Factors,MATCH(C58,Electricity_Source,0)))/D54,IF(D58="kWh",(E58*'Reference values'!$D$47*INDEX(Electricity_Emission_Factors,MATCH(C58,Electricity_Source,0))/1000)/D54,""))),"Insert data")</f>
        <v>0</v>
      </c>
      <c r="K57" s="37"/>
      <c r="L57" s="35"/>
    </row>
    <row r="58" spans="2:12" s="21" customFormat="1" x14ac:dyDescent="0.35">
      <c r="B58" s="20"/>
      <c r="C58" s="145"/>
      <c r="D58" s="141"/>
      <c r="E58" s="144"/>
      <c r="H58" s="46"/>
      <c r="I58" s="241"/>
      <c r="J58" s="58"/>
      <c r="K58" s="59"/>
      <c r="L58" s="35"/>
    </row>
    <row r="59" spans="2:12" s="21" customFormat="1" x14ac:dyDescent="0.35">
      <c r="B59" s="28"/>
      <c r="C59" s="242"/>
      <c r="D59" s="240"/>
      <c r="E59" s="240"/>
      <c r="F59" s="29"/>
      <c r="G59" s="29"/>
      <c r="H59" s="29"/>
      <c r="I59" s="29"/>
      <c r="J59" s="29"/>
      <c r="K59" s="29"/>
      <c r="L59" s="60"/>
    </row>
    <row r="60" spans="2:12" s="21" customFormat="1" ht="45.75" customHeight="1" x14ac:dyDescent="0.35"/>
    <row r="61" spans="2:12" s="21" customFormat="1" ht="19.2" x14ac:dyDescent="0.45">
      <c r="B61" s="754" t="s">
        <v>314</v>
      </c>
      <c r="C61" s="755"/>
      <c r="D61" s="755"/>
      <c r="E61" s="755"/>
      <c r="F61" s="755"/>
      <c r="G61" s="755"/>
      <c r="H61" s="755"/>
      <c r="I61" s="755"/>
      <c r="J61" s="755"/>
      <c r="K61" s="755"/>
      <c r="L61" s="756"/>
    </row>
    <row r="62" spans="2:12" s="21" customFormat="1" x14ac:dyDescent="0.35">
      <c r="B62" s="20"/>
      <c r="L62" s="35"/>
    </row>
    <row r="63" spans="2:12" s="21" customFormat="1" x14ac:dyDescent="0.35">
      <c r="B63" s="20"/>
      <c r="D63" s="166" t="s">
        <v>432</v>
      </c>
      <c r="E63" s="166" t="s">
        <v>435</v>
      </c>
      <c r="H63" s="303" t="s">
        <v>122</v>
      </c>
      <c r="I63" s="47"/>
      <c r="J63" s="47"/>
      <c r="K63" s="45"/>
      <c r="L63" s="35"/>
    </row>
    <row r="64" spans="2:12" s="21" customFormat="1" x14ac:dyDescent="0.35">
      <c r="B64" s="20"/>
      <c r="C64" s="169" t="s">
        <v>241</v>
      </c>
      <c r="D64" s="70">
        <f>IFERROR(IF('Digestion &amp; outputs'!D129="kWh",'Digestion &amp; outputs'!E129*'Reference values'!$D$49,IF('Digestion &amp; outputs'!D129="MWh",'Digestion &amp; outputs'!E129*'Reference values'!$D$47,"")),0)</f>
        <v>0</v>
      </c>
      <c r="E64" s="70">
        <f>IFERROR(IF('Digestion &amp; outputs'!D127="kWh",'Digestion &amp; outputs'!E127*'Reference values'!$D$49,IF('Digestion &amp; outputs'!D127="MWh",'Digestion &amp; outputs'!E127*'Reference values'!$D$47,"")),0)</f>
        <v>0</v>
      </c>
      <c r="H64" s="41"/>
      <c r="I64" s="36"/>
      <c r="J64" s="164" t="s">
        <v>436</v>
      </c>
      <c r="K64" s="37"/>
      <c r="L64" s="35"/>
    </row>
    <row r="65" spans="2:12" s="21" customFormat="1" x14ac:dyDescent="0.35">
      <c r="B65" s="20"/>
      <c r="H65" s="41"/>
      <c r="I65" s="164" t="s">
        <v>437</v>
      </c>
      <c r="J65" s="245">
        <f>IFERROR(IF(ISBLANK(C68),0,IF(D68="MWh",(E68*'Reference values'!$D$47*INDEX(Electricity_Emission_Factors,MATCH(C68,Electricity_Source,0)))/D64,IF(D68="kWh",(E68*'Reference values'!$D$47*INDEX(Electricity_Emission_Factors,MATCH(C68,Electricity_Source,0))/1000)/D64,""))),"Insert data")</f>
        <v>0</v>
      </c>
      <c r="K65" s="37"/>
      <c r="L65" s="35"/>
    </row>
    <row r="66" spans="2:12" s="21" customFormat="1" x14ac:dyDescent="0.35">
      <c r="B66" s="20"/>
      <c r="C66" s="25" t="s">
        <v>438</v>
      </c>
      <c r="D66" s="1"/>
      <c r="E66" s="1"/>
      <c r="H66" s="41"/>
      <c r="I66" s="36"/>
      <c r="J66" s="36"/>
      <c r="K66" s="37"/>
      <c r="L66" s="35"/>
    </row>
    <row r="67" spans="2:12" s="21" customFormat="1" x14ac:dyDescent="0.35">
      <c r="B67" s="20"/>
      <c r="C67" s="166" t="s">
        <v>188</v>
      </c>
      <c r="D67" s="164" t="s">
        <v>151</v>
      </c>
      <c r="E67" s="164" t="s">
        <v>140</v>
      </c>
      <c r="H67" s="41"/>
      <c r="I67" s="36"/>
      <c r="J67" s="164" t="s">
        <v>439</v>
      </c>
      <c r="K67" s="37"/>
      <c r="L67" s="35"/>
    </row>
    <row r="68" spans="2:12" s="21" customFormat="1" x14ac:dyDescent="0.35">
      <c r="B68" s="20"/>
      <c r="C68" s="145"/>
      <c r="D68" s="141"/>
      <c r="E68" s="144"/>
      <c r="H68" s="41"/>
      <c r="I68" s="164" t="s">
        <v>440</v>
      </c>
      <c r="J68" s="245">
        <f>IFERROR(IF(ISBLANK(C68),0,IF(D68="MWh",(E68*'Reference values'!$D$47*INDEX(Electricity_Emission_Factors,MATCH(C68,Electricity_Source,0)))/E64,IF(D68="kWh",(E68*'Reference values'!$D$47*INDEX(Electricity_Emission_Factors,MATCH(C68,Electricity_Source,0))/1000)/E64,""))),"Insert data")</f>
        <v>0</v>
      </c>
      <c r="K68" s="37"/>
      <c r="L68" s="35"/>
    </row>
    <row r="69" spans="2:12" s="21" customFormat="1" x14ac:dyDescent="0.35">
      <c r="B69" s="20"/>
      <c r="H69" s="46"/>
      <c r="I69" s="58"/>
      <c r="J69" s="58"/>
      <c r="K69" s="59"/>
      <c r="L69" s="35"/>
    </row>
    <row r="70" spans="2:12" s="21" customFormat="1" x14ac:dyDescent="0.35">
      <c r="B70" s="28"/>
      <c r="C70" s="29"/>
      <c r="D70" s="29"/>
      <c r="E70" s="29"/>
      <c r="F70" s="29"/>
      <c r="G70" s="29"/>
      <c r="H70" s="29"/>
      <c r="I70" s="29"/>
      <c r="J70" s="29"/>
      <c r="K70" s="29"/>
      <c r="L70" s="60"/>
    </row>
    <row r="71" spans="2:12" s="21" customFormat="1" x14ac:dyDescent="0.35"/>
    <row r="72" spans="2:12" s="1" customFormat="1" ht="11.25" customHeight="1" x14ac:dyDescent="0.35">
      <c r="B72" s="100"/>
      <c r="C72" s="203"/>
      <c r="E72" s="100"/>
    </row>
    <row r="73" spans="2:12" s="239" customFormat="1" ht="3.75" customHeight="1" thickBot="1" x14ac:dyDescent="0.4"/>
  </sheetData>
  <sheetProtection algorithmName="SHA-512" hashValue="BW1grfy9nKBpUamsMkPFINceJ7VWzKqDrssGxfjce6D1A9e4LwaHdiJgl+cjWnSsxIACcFsBztzx8E9uIMXs+g==" saltValue="tGmduC0l7Vs0MA2PJwButQ==" spinCount="100000" sheet="1" objects="1" scenarios="1"/>
  <mergeCells count="6">
    <mergeCell ref="B6:L6"/>
    <mergeCell ref="B8:L8"/>
    <mergeCell ref="B51:L51"/>
    <mergeCell ref="B61:L61"/>
    <mergeCell ref="C17:D17"/>
    <mergeCell ref="C23:D23"/>
  </mergeCells>
  <conditionalFormatting sqref="E15:E16 C13:E14 A1:XFD5 C32:E36 H48:L48 B48:F48 A7:XFD10 A6:B6 M6:XFD6">
    <cfRule type="cellIs" dxfId="2899" priority="156" operator="equal">
      <formula>"Insert unit"</formula>
    </cfRule>
    <cfRule type="cellIs" dxfId="2898" priority="157" operator="equal">
      <formula>"Insert data"</formula>
    </cfRule>
  </conditionalFormatting>
  <conditionalFormatting sqref="C26:E27 C29:E29 D28:E28">
    <cfRule type="cellIs" dxfId="2897" priority="158" operator="equal">
      <formula>"Insert unit"</formula>
    </cfRule>
    <cfRule type="cellIs" dxfId="2896" priority="159" operator="equal">
      <formula>"Insert data"</formula>
    </cfRule>
  </conditionalFormatting>
  <conditionalFormatting sqref="A30:XFD1048576 F17:M18 R11:XFD26 F23:F24 G19:H20 K19:M20">
    <cfRule type="cellIs" dxfId="2895" priority="160" operator="equal">
      <formula>"Insert unit"</formula>
    </cfRule>
  </conditionalFormatting>
  <conditionalFormatting sqref="D11">
    <cfRule type="cellIs" dxfId="2894" priority="152" operator="equal">
      <formula>"Insert unit"</formula>
    </cfRule>
    <cfRule type="cellIs" dxfId="2893" priority="153" operator="equal">
      <formula>"Insert data"</formula>
    </cfRule>
  </conditionalFormatting>
  <conditionalFormatting sqref="C11">
    <cfRule type="cellIs" dxfId="2892" priority="150" operator="equal">
      <formula>"Insert unit"</formula>
    </cfRule>
    <cfRule type="cellIs" dxfId="2891" priority="151" operator="equal">
      <formula>"Insert data"</formula>
    </cfRule>
  </conditionalFormatting>
  <conditionalFormatting sqref="C39:E47">
    <cfRule type="cellIs" dxfId="2890" priority="154" operator="equal">
      <formula>"Insert unit"</formula>
    </cfRule>
    <cfRule type="cellIs" dxfId="2889" priority="155" operator="equal">
      <formula>"Insert data"</formula>
    </cfRule>
  </conditionalFormatting>
  <conditionalFormatting sqref="I33:I36">
    <cfRule type="cellIs" dxfId="2888" priority="142" operator="equal">
      <formula>"Insert unit"</formula>
    </cfRule>
    <cfRule type="cellIs" dxfId="2887" priority="143" operator="equal">
      <formula>"Insert data"</formula>
    </cfRule>
  </conditionalFormatting>
  <conditionalFormatting sqref="I32">
    <cfRule type="cellIs" dxfId="2886" priority="140" operator="equal">
      <formula>"Insert unit"</formula>
    </cfRule>
    <cfRule type="cellIs" dxfId="2885" priority="141" operator="equal">
      <formula>"Insert data"</formula>
    </cfRule>
  </conditionalFormatting>
  <conditionalFormatting sqref="C66:E68">
    <cfRule type="cellIs" dxfId="2884" priority="148" operator="equal">
      <formula>"Insert unit"</formula>
    </cfRule>
    <cfRule type="cellIs" dxfId="2883" priority="149" operator="equal">
      <formula>"Insert data"</formula>
    </cfRule>
  </conditionalFormatting>
  <conditionalFormatting sqref="C56:E59">
    <cfRule type="cellIs" dxfId="2882" priority="146" operator="equal">
      <formula>"Insert unit"</formula>
    </cfRule>
    <cfRule type="cellIs" dxfId="2881" priority="147" operator="equal">
      <formula>"Insert data"</formula>
    </cfRule>
  </conditionalFormatting>
  <conditionalFormatting sqref="I39:I47">
    <cfRule type="cellIs" dxfId="2880" priority="144" operator="equal">
      <formula>"Insert unit"</formula>
    </cfRule>
    <cfRule type="cellIs" dxfId="2879" priority="145" operator="equal">
      <formula>"Insert data"</formula>
    </cfRule>
  </conditionalFormatting>
  <conditionalFormatting sqref="I18">
    <cfRule type="cellIs" dxfId="2878" priority="134" operator="equal">
      <formula>"Insert unit"</formula>
    </cfRule>
    <cfRule type="cellIs" dxfId="2877" priority="135" operator="equal">
      <formula>"Insert data"</formula>
    </cfRule>
  </conditionalFormatting>
  <conditionalFormatting sqref="I24">
    <cfRule type="cellIs" dxfId="2876" priority="136" operator="equal">
      <formula>"Insert unit"</formula>
    </cfRule>
    <cfRule type="cellIs" dxfId="2875" priority="137" operator="equal">
      <formula>"Insert data"</formula>
    </cfRule>
  </conditionalFormatting>
  <conditionalFormatting sqref="I57:I58">
    <cfRule type="cellIs" dxfId="2874" priority="128" operator="equal">
      <formula>"Insert unit"</formula>
    </cfRule>
    <cfRule type="cellIs" dxfId="2873" priority="129" operator="equal">
      <formula>"Insert data"</formula>
    </cfRule>
  </conditionalFormatting>
  <conditionalFormatting sqref="I65">
    <cfRule type="cellIs" dxfId="2872" priority="126" operator="equal">
      <formula>"Insert unit"</formula>
    </cfRule>
    <cfRule type="cellIs" dxfId="2871" priority="127" operator="equal">
      <formula>"Insert data"</formula>
    </cfRule>
  </conditionalFormatting>
  <conditionalFormatting sqref="I68">
    <cfRule type="cellIs" dxfId="2870" priority="124" operator="equal">
      <formula>"Insert unit"</formula>
    </cfRule>
    <cfRule type="cellIs" dxfId="2869" priority="125" operator="equal">
      <formula>"Insert data"</formula>
    </cfRule>
  </conditionalFormatting>
  <conditionalFormatting sqref="C54">
    <cfRule type="cellIs" dxfId="2868" priority="120" operator="equal">
      <formula>"Insert unit"</formula>
    </cfRule>
    <cfRule type="cellIs" dxfId="2867" priority="121" operator="equal">
      <formula>"Insert data"</formula>
    </cfRule>
  </conditionalFormatting>
  <conditionalFormatting sqref="C64">
    <cfRule type="cellIs" dxfId="2866" priority="116" operator="equal">
      <formula>"Insert unit"</formula>
    </cfRule>
    <cfRule type="cellIs" dxfId="2865" priority="117" operator="equal">
      <formula>"Insert data"</formula>
    </cfRule>
  </conditionalFormatting>
  <conditionalFormatting sqref="D54">
    <cfRule type="cellIs" dxfId="2864" priority="106" operator="equal">
      <formula>"Insert unit"</formula>
    </cfRule>
    <cfRule type="cellIs" dxfId="2863" priority="107" operator="equal">
      <formula>"Insert data"</formula>
    </cfRule>
  </conditionalFormatting>
  <conditionalFormatting sqref="D64:E64">
    <cfRule type="cellIs" dxfId="2862" priority="104" operator="equal">
      <formula>"Insert unit"</formula>
    </cfRule>
    <cfRule type="cellIs" dxfId="2861" priority="105" operator="equal">
      <formula>"Insert data"</formula>
    </cfRule>
  </conditionalFormatting>
  <conditionalFormatting sqref="I12">
    <cfRule type="cellIs" dxfId="2860" priority="102" operator="equal">
      <formula>"Insert unit"</formula>
    </cfRule>
    <cfRule type="cellIs" dxfId="2859" priority="103" operator="equal">
      <formula>"Insert data"</formula>
    </cfRule>
  </conditionalFormatting>
  <conditionalFormatting sqref="A28:B28 D28:H28 A29:H29 J28:XFD29 A27:XFD27 A21:M22 A17:B20 C18:E18 A25:M26 A23:B24 G23:M24 C24:E24 A11:M16">
    <cfRule type="cellIs" dxfId="2858" priority="168" operator="equal">
      <formula>"Insert unit"</formula>
    </cfRule>
  </conditionalFormatting>
  <conditionalFormatting sqref="I28">
    <cfRule type="cellIs" dxfId="2857" priority="92" operator="equal">
      <formula>"Insert unit"</formula>
    </cfRule>
    <cfRule type="cellIs" dxfId="2856" priority="93" operator="equal">
      <formula>"Insert data"</formula>
    </cfRule>
  </conditionalFormatting>
  <conditionalFormatting sqref="I29">
    <cfRule type="cellIs" dxfId="2855" priority="90" operator="equal">
      <formula>"Insert unit"</formula>
    </cfRule>
    <cfRule type="cellIs" dxfId="2854" priority="91" operator="equal">
      <formula>"Insert data"</formula>
    </cfRule>
  </conditionalFormatting>
  <conditionalFormatting sqref="C28">
    <cfRule type="cellIs" dxfId="2853" priority="84" operator="equal">
      <formula>"Insert unit"</formula>
    </cfRule>
    <cfRule type="cellIs" dxfId="2852" priority="85" operator="equal">
      <formula>"Insert data"</formula>
    </cfRule>
  </conditionalFormatting>
  <conditionalFormatting sqref="N28:O28 N23:N24 N29:N33 Q33 N34:Q34 N11:Q11">
    <cfRule type="cellIs" dxfId="2851" priority="82" operator="equal">
      <formula>"Insert unit"</formula>
    </cfRule>
    <cfRule type="cellIs" dxfId="2850" priority="83" operator="equal">
      <formula>"Insert data"</formula>
    </cfRule>
  </conditionalFormatting>
  <conditionalFormatting sqref="O31:O33">
    <cfRule type="cellIs" dxfId="2849" priority="72" operator="equal">
      <formula>"Insert unit"</formula>
    </cfRule>
    <cfRule type="cellIs" dxfId="2848" priority="73" operator="equal">
      <formula>"Insert data"</formula>
    </cfRule>
  </conditionalFormatting>
  <conditionalFormatting sqref="O30">
    <cfRule type="cellIs" dxfId="2847" priority="76" operator="equal">
      <formula>"Insert unit"</formula>
    </cfRule>
    <cfRule type="cellIs" dxfId="2846" priority="77" operator="equal">
      <formula>"Insert data"</formula>
    </cfRule>
  </conditionalFormatting>
  <conditionalFormatting sqref="O29">
    <cfRule type="cellIs" dxfId="2845" priority="74" operator="equal">
      <formula>"Insert unit"</formula>
    </cfRule>
    <cfRule type="cellIs" dxfId="2844" priority="75" operator="equal">
      <formula>"Insert data"</formula>
    </cfRule>
  </conditionalFormatting>
  <conditionalFormatting sqref="O23:O25">
    <cfRule type="cellIs" dxfId="2843" priority="70" operator="equal">
      <formula>"Insert unit"</formula>
    </cfRule>
    <cfRule type="cellIs" dxfId="2842" priority="71" operator="equal">
      <formula>"Insert data"</formula>
    </cfRule>
  </conditionalFormatting>
  <conditionalFormatting sqref="P29:P33">
    <cfRule type="cellIs" dxfId="2841" priority="68" operator="equal">
      <formula>"Insert unit"</formula>
    </cfRule>
    <cfRule type="cellIs" dxfId="2840" priority="69" operator="equal">
      <formula>"Insert data"</formula>
    </cfRule>
  </conditionalFormatting>
  <conditionalFormatting sqref="P23:P25">
    <cfRule type="cellIs" dxfId="2839" priority="66" operator="equal">
      <formula>"Insert unit"</formula>
    </cfRule>
    <cfRule type="cellIs" dxfId="2838" priority="67" operator="equal">
      <formula>"Insert data"</formula>
    </cfRule>
  </conditionalFormatting>
  <conditionalFormatting sqref="Q31">
    <cfRule type="cellIs" dxfId="2837" priority="64" operator="equal">
      <formula>"Insert unit"</formula>
    </cfRule>
    <cfRule type="cellIs" dxfId="2836" priority="65" operator="equal">
      <formula>"Insert data"</formula>
    </cfRule>
  </conditionalFormatting>
  <conditionalFormatting sqref="Q23">
    <cfRule type="cellIs" dxfId="2835" priority="62" operator="equal">
      <formula>"Insert unit"</formula>
    </cfRule>
    <cfRule type="cellIs" dxfId="2834" priority="63" operator="equal">
      <formula>"Insert data"</formula>
    </cfRule>
  </conditionalFormatting>
  <conditionalFormatting sqref="Q24:Q25">
    <cfRule type="cellIs" dxfId="2833" priority="60" operator="equal">
      <formula>"Insert unit"</formula>
    </cfRule>
    <cfRule type="cellIs" dxfId="2832" priority="61" operator="equal">
      <formula>"Insert data"</formula>
    </cfRule>
  </conditionalFormatting>
  <conditionalFormatting sqref="O26:Q26">
    <cfRule type="cellIs" dxfId="2831" priority="58" operator="equal">
      <formula>"Insert unit"</formula>
    </cfRule>
    <cfRule type="cellIs" dxfId="2830" priority="59" operator="equal">
      <formula>"Insert data"</formula>
    </cfRule>
  </conditionalFormatting>
  <conditionalFormatting sqref="P28">
    <cfRule type="cellIs" dxfId="2829" priority="56" operator="equal">
      <formula>"Insert unit"</formula>
    </cfRule>
    <cfRule type="cellIs" dxfId="2828" priority="57" operator="equal">
      <formula>"Insert data"</formula>
    </cfRule>
  </conditionalFormatting>
  <conditionalFormatting sqref="N27:Q27">
    <cfRule type="cellIs" dxfId="2827" priority="54" operator="equal">
      <formula>"Insert unit"</formula>
    </cfRule>
    <cfRule type="cellIs" dxfId="2826" priority="55" operator="equal">
      <formula>"Insert data"</formula>
    </cfRule>
  </conditionalFormatting>
  <conditionalFormatting sqref="C15:C16">
    <cfRule type="cellIs" dxfId="2825" priority="52" operator="equal">
      <formula>"Actual"</formula>
    </cfRule>
    <cfRule type="cellIs" dxfId="2824" priority="53" operator="equal">
      <formula>"Default"</formula>
    </cfRule>
  </conditionalFormatting>
  <conditionalFormatting sqref="C15:C16">
    <cfRule type="cellIs" dxfId="2823" priority="50" operator="equal">
      <formula>"Insert unit"</formula>
    </cfRule>
    <cfRule type="cellIs" dxfId="2822" priority="51" operator="equal">
      <formula>"Insert data"</formula>
    </cfRule>
  </conditionalFormatting>
  <conditionalFormatting sqref="D15:D16">
    <cfRule type="cellIs" dxfId="2821" priority="44" operator="equal">
      <formula>"Actual"</formula>
    </cfRule>
    <cfRule type="cellIs" dxfId="2820" priority="45" operator="equal">
      <formula>"Default"</formula>
    </cfRule>
  </conditionalFormatting>
  <conditionalFormatting sqref="D15:D16">
    <cfRule type="cellIs" dxfId="2819" priority="42" operator="equal">
      <formula>"Insert unit"</formula>
    </cfRule>
    <cfRule type="cellIs" dxfId="2818" priority="43" operator="equal">
      <formula>"Insert data"</formula>
    </cfRule>
  </conditionalFormatting>
  <conditionalFormatting sqref="F17:F18">
    <cfRule type="cellIs" dxfId="2817" priority="36" operator="equal">
      <formula>"Insert unit"</formula>
    </cfRule>
  </conditionalFormatting>
  <conditionalFormatting sqref="E18">
    <cfRule type="expression" dxfId="2816" priority="35">
      <formula>C18="Actual"</formula>
    </cfRule>
    <cfRule type="expression" dxfId="2815" priority="38">
      <formula>C18="Standard"</formula>
    </cfRule>
  </conditionalFormatting>
  <conditionalFormatting sqref="D18">
    <cfRule type="expression" dxfId="2814" priority="169">
      <formula>C18="Standard"</formula>
    </cfRule>
    <cfRule type="expression" dxfId="2813" priority="176">
      <formula>C18="Actual"</formula>
    </cfRule>
  </conditionalFormatting>
  <conditionalFormatting sqref="C18">
    <cfRule type="cellIs" dxfId="2812" priority="33" operator="equal">
      <formula>"Actual"</formula>
    </cfRule>
    <cfRule type="cellIs" dxfId="2811" priority="34" operator="equal">
      <formula>"Standard"</formula>
    </cfRule>
  </conditionalFormatting>
  <conditionalFormatting sqref="C17 E17">
    <cfRule type="cellIs" dxfId="2810" priority="28" operator="equal">
      <formula>"Must insert actual data for fertiliser application"</formula>
    </cfRule>
    <cfRule type="cellIs" dxfId="2809" priority="29" operator="equal">
      <formula>"Insert unit"</formula>
    </cfRule>
    <cfRule type="cellIs" dxfId="2808" priority="30" operator="equal">
      <formula>"Insert data"</formula>
    </cfRule>
  </conditionalFormatting>
  <conditionalFormatting sqref="F18">
    <cfRule type="expression" dxfId="2807" priority="2126">
      <formula>#REF!="insert data"</formula>
    </cfRule>
  </conditionalFormatting>
  <conditionalFormatting sqref="F23">
    <cfRule type="cellIs" dxfId="2806" priority="26" operator="equal">
      <formula>"Insert unit"</formula>
    </cfRule>
  </conditionalFormatting>
  <conditionalFormatting sqref="C23 E23">
    <cfRule type="cellIs" dxfId="2805" priority="23" operator="equal">
      <formula>"Must insert actual data for fertiliser application"</formula>
    </cfRule>
    <cfRule type="cellIs" dxfId="2804" priority="24" operator="equal">
      <formula>"Insert unit"</formula>
    </cfRule>
    <cfRule type="cellIs" dxfId="2803" priority="25" operator="equal">
      <formula>"Insert data"</formula>
    </cfRule>
  </conditionalFormatting>
  <conditionalFormatting sqref="F24">
    <cfRule type="cellIs" dxfId="2802" priority="22" operator="equal">
      <formula>"Insert unit"</formula>
    </cfRule>
  </conditionalFormatting>
  <conditionalFormatting sqref="E24">
    <cfRule type="expression" dxfId="2801" priority="20">
      <formula>C24="Actual"</formula>
    </cfRule>
  </conditionalFormatting>
  <conditionalFormatting sqref="D24">
    <cfRule type="expression" dxfId="2800" priority="18">
      <formula>C24="Default"</formula>
    </cfRule>
    <cfRule type="expression" dxfId="2799" priority="2127">
      <formula>C24="Actual"</formula>
    </cfRule>
  </conditionalFormatting>
  <conditionalFormatting sqref="C24">
    <cfRule type="cellIs" dxfId="2798" priority="16" operator="equal">
      <formula>"Actual"</formula>
    </cfRule>
    <cfRule type="cellIs" dxfId="2797" priority="16" operator="equal">
      <formula>"Default"</formula>
    </cfRule>
  </conditionalFormatting>
  <conditionalFormatting sqref="F24">
    <cfRule type="expression" dxfId="2796" priority="21">
      <formula>#REF!="insert data"</formula>
    </cfRule>
  </conditionalFormatting>
  <conditionalFormatting sqref="E20">
    <cfRule type="expression" dxfId="2795" priority="9">
      <formula>C20="Actual"</formula>
    </cfRule>
    <cfRule type="expression" dxfId="2794" priority="10">
      <formula>C20="Default"</formula>
    </cfRule>
  </conditionalFormatting>
  <conditionalFormatting sqref="D20">
    <cfRule type="expression" dxfId="2793" priority="13">
      <formula>C20="Actual"</formula>
    </cfRule>
    <cfRule type="expression" dxfId="2792" priority="14">
      <formula>C20="Default"</formula>
    </cfRule>
  </conditionalFormatting>
  <conditionalFormatting sqref="C20">
    <cfRule type="cellIs" dxfId="2791" priority="11" operator="equal">
      <formula>"Actual"</formula>
    </cfRule>
    <cfRule type="cellIs" dxfId="2790" priority="12" operator="equal">
      <formula>"Default"</formula>
    </cfRule>
  </conditionalFormatting>
  <conditionalFormatting sqref="C20:E20 F19:F20">
    <cfRule type="cellIs" dxfId="2789" priority="8" operator="equal">
      <formula>"Insert unit"</formula>
    </cfRule>
  </conditionalFormatting>
  <conditionalFormatting sqref="C19:E19">
    <cfRule type="cellIs" dxfId="2788" priority="5" operator="equal">
      <formula>"Must insert actual data for fertiliser application"</formula>
    </cfRule>
    <cfRule type="cellIs" dxfId="2787" priority="6" operator="equal">
      <formula>"Insert unit"</formula>
    </cfRule>
    <cfRule type="cellIs" dxfId="2786" priority="7" operator="equal">
      <formula>"Insert data"</formula>
    </cfRule>
  </conditionalFormatting>
  <conditionalFormatting sqref="F19:F20">
    <cfRule type="cellIs" dxfId="2785" priority="4" operator="equal">
      <formula>"Insert unit"</formula>
    </cfRule>
  </conditionalFormatting>
  <conditionalFormatting sqref="F20">
    <cfRule type="expression" dxfId="2784" priority="3">
      <formula>$F$19="insert data"</formula>
    </cfRule>
  </conditionalFormatting>
  <conditionalFormatting sqref="I19:J19">
    <cfRule type="cellIs" dxfId="2783" priority="2" operator="equal">
      <formula>"Insert unit"</formula>
    </cfRule>
  </conditionalFormatting>
  <conditionalFormatting sqref="I20:J20">
    <cfRule type="cellIs" dxfId="2782" priority="1" operator="equal">
      <formula>"Insert unit"</formula>
    </cfRule>
  </conditionalFormatting>
  <dataValidations count="8">
    <dataValidation type="list" allowBlank="1" showInputMessage="1" showErrorMessage="1" sqref="C48 C24 C20" xr:uid="{00000000-0002-0000-0800-000000000000}">
      <formula1>"Default,Actual"</formula1>
    </dataValidation>
    <dataValidation type="list" allowBlank="1" showInputMessage="1" showErrorMessage="1" sqref="D58:D59 D68" xr:uid="{00000000-0002-0000-0800-000001000000}">
      <formula1>"kWh,MWh"</formula1>
    </dataValidation>
    <dataValidation type="list" allowBlank="1" showInputMessage="1" showErrorMessage="1" sqref="C58:C59 C68" xr:uid="{00000000-0002-0000-0800-000002000000}">
      <formula1>Electricity_Source</formula1>
    </dataValidation>
    <dataValidation type="list" allowBlank="1" showInputMessage="1" showErrorMessage="1" sqref="D35:D36" xr:uid="{00000000-0002-0000-0800-000004000000}">
      <formula1>"litres,m3,kWh,MWh,kg,tonnes, MJ"</formula1>
    </dataValidation>
    <dataValidation type="list" allowBlank="1" showInputMessage="1" showErrorMessage="1" sqref="C40:C47" xr:uid="{00000000-0002-0000-0800-000005000000}">
      <formula1>Chemicals</formula1>
    </dataValidation>
    <dataValidation type="list" allowBlank="1" showInputMessage="1" showErrorMessage="1" sqref="D40:D47" xr:uid="{00000000-0002-0000-0800-000006000000}">
      <formula1>"kg,tonnes"</formula1>
    </dataValidation>
    <dataValidation type="list" allowBlank="1" showInputMessage="1" showErrorMessage="1" sqref="D15" xr:uid="{B8B9F445-F4E8-4940-8B60-0ABA82050653}">
      <formula1>"no off-gas combustion, off-gas combustion, unknown"</formula1>
    </dataValidation>
    <dataValidation type="list" allowBlank="1" showInputMessage="1" showErrorMessage="1" sqref="C18" xr:uid="{6EAEE421-26E5-4F42-B112-F26024698719}">
      <formula1>"Standard, Actual"</formula1>
    </dataValidation>
  </dataValidations>
  <pageMargins left="0.7" right="0.7" top="0.75" bottom="0.75" header="0.3" footer="0.3"/>
  <pageSetup orientation="portrait" r:id="rId1"/>
  <headerFooter>
    <oddHeader>&amp;C&amp;"Calibri"&amp;10&amp;K000000 OFFICIAL&amp;1#_x000D_</oddHeader>
    <oddFooter>&amp;C_x000D_&amp;1#&amp;"Calibri"&amp;10&amp;K000000 OFFICIAL</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2E56B82-977A-4E82-B803-42CF29C2C3AC}">
          <x14:formula1>
            <xm:f>'Reference values'!$C$248:$C$253</xm:f>
          </x14:formula1>
          <xm:sqref>C15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9819D-8E3F-4DE2-914A-354E6A26BEA2}">
  <sheetPr codeName="Sheet14"/>
  <dimension ref="A1:O46"/>
  <sheetViews>
    <sheetView zoomScale="85" zoomScaleNormal="85" workbookViewId="0">
      <selection activeCell="B7" sqref="B7"/>
    </sheetView>
  </sheetViews>
  <sheetFormatPr defaultColWidth="8.6640625" defaultRowHeight="14.4" x14ac:dyDescent="0.3"/>
  <cols>
    <col min="1" max="1" width="5.6640625" style="198" customWidth="1"/>
    <col min="2" max="2" width="2.5546875" style="198" customWidth="1"/>
    <col min="3" max="3" width="45.88671875" style="198" bestFit="1" customWidth="1"/>
    <col min="4" max="4" width="21.44140625" style="198" bestFit="1" customWidth="1"/>
    <col min="5" max="5" width="14.88671875" style="198" bestFit="1" customWidth="1"/>
    <col min="6" max="6" width="37.44140625" style="198" bestFit="1" customWidth="1"/>
    <col min="7" max="7" width="11" style="198" customWidth="1"/>
    <col min="8" max="8" width="3.109375" style="198" customWidth="1"/>
    <col min="9" max="9" width="37.44140625" style="198" bestFit="1" customWidth="1"/>
    <col min="10" max="10" width="16.88671875" style="198" bestFit="1" customWidth="1"/>
    <col min="11" max="11" width="3.33203125" style="198" customWidth="1"/>
    <col min="12" max="12" width="8.6640625" style="198"/>
    <col min="13" max="13" width="10.88671875" style="198" bestFit="1" customWidth="1"/>
    <col min="14" max="16384" width="8.6640625" style="198"/>
  </cols>
  <sheetData>
    <row r="1" spans="1:15" s="171" customFormat="1" ht="24.75" customHeight="1" x14ac:dyDescent="0.35">
      <c r="A1" s="159"/>
      <c r="B1" s="159"/>
      <c r="C1" s="159"/>
    </row>
    <row r="2" spans="1:15" s="171" customFormat="1" ht="24.75" customHeight="1" x14ac:dyDescent="0.35"/>
    <row r="3" spans="1:15" s="171" customFormat="1" ht="24.75" customHeight="1" x14ac:dyDescent="0.35"/>
    <row r="4" spans="1:15" s="238" customFormat="1" ht="24.75" customHeight="1" x14ac:dyDescent="0.35"/>
    <row r="5" spans="1:15" s="157" customFormat="1" ht="15" x14ac:dyDescent="0.35">
      <c r="A5" s="21"/>
      <c r="B5" s="21"/>
      <c r="C5" s="21"/>
      <c r="D5" s="21"/>
      <c r="E5" s="21"/>
      <c r="F5" s="21"/>
      <c r="G5" s="21"/>
      <c r="H5" s="21"/>
      <c r="I5" s="21"/>
      <c r="J5" s="21"/>
      <c r="K5" s="21"/>
      <c r="L5" s="21"/>
      <c r="M5" s="21"/>
      <c r="N5" s="21"/>
      <c r="O5" s="21"/>
    </row>
    <row r="6" spans="1:15" s="157" customFormat="1" ht="16.5" customHeight="1" x14ac:dyDescent="0.4">
      <c r="A6" s="21"/>
      <c r="B6" s="728" t="s">
        <v>441</v>
      </c>
      <c r="C6" s="728"/>
      <c r="D6" s="728"/>
      <c r="E6" s="728"/>
      <c r="F6" s="728"/>
      <c r="G6" s="728"/>
      <c r="H6" s="728"/>
      <c r="I6" s="728"/>
      <c r="J6" s="728"/>
      <c r="K6" s="728"/>
      <c r="L6" s="728"/>
      <c r="M6" s="21"/>
      <c r="N6" s="21"/>
      <c r="O6" s="21"/>
    </row>
    <row r="7" spans="1:15" s="157" customFormat="1" ht="15" x14ac:dyDescent="0.35">
      <c r="A7" s="21"/>
      <c r="B7" s="21"/>
      <c r="C7" s="21"/>
      <c r="D7" s="21"/>
      <c r="E7" s="21"/>
      <c r="F7" s="21"/>
      <c r="G7" s="21"/>
      <c r="H7" s="21"/>
      <c r="I7" s="21"/>
      <c r="J7" s="21"/>
      <c r="K7" s="21"/>
      <c r="L7" s="21"/>
      <c r="M7" s="21"/>
      <c r="N7" s="21"/>
      <c r="O7" s="21"/>
    </row>
    <row r="8" spans="1:15" s="21" customFormat="1" ht="15" x14ac:dyDescent="0.35">
      <c r="B8" s="805" t="s">
        <v>442</v>
      </c>
      <c r="C8" s="806"/>
      <c r="D8" s="806"/>
      <c r="E8" s="806"/>
      <c r="F8" s="806"/>
      <c r="G8" s="806"/>
      <c r="H8" s="806"/>
      <c r="I8" s="806"/>
      <c r="J8" s="806"/>
      <c r="K8" s="806"/>
      <c r="L8" s="807"/>
    </row>
    <row r="9" spans="1:15" s="157" customFormat="1" ht="15" x14ac:dyDescent="0.35">
      <c r="A9" s="21"/>
      <c r="B9" s="435"/>
      <c r="C9" s="434"/>
      <c r="D9" s="434"/>
      <c r="E9" s="434"/>
      <c r="F9" s="434"/>
      <c r="G9" s="434"/>
      <c r="H9" s="434"/>
      <c r="I9" s="434"/>
      <c r="J9" s="434"/>
      <c r="K9" s="434"/>
      <c r="L9" s="436"/>
      <c r="M9" s="21"/>
      <c r="N9" s="21"/>
      <c r="O9" s="21"/>
    </row>
    <row r="10" spans="1:15" s="157" customFormat="1" ht="15" x14ac:dyDescent="0.35">
      <c r="A10" s="21"/>
      <c r="B10" s="20"/>
      <c r="C10" s="21"/>
      <c r="D10" s="21"/>
      <c r="E10" s="21"/>
      <c r="F10" s="21"/>
      <c r="G10" s="21"/>
      <c r="H10" s="303" t="s">
        <v>122</v>
      </c>
      <c r="I10" s="47"/>
      <c r="J10" s="47"/>
      <c r="K10" s="45"/>
      <c r="L10" s="35"/>
      <c r="M10" s="21"/>
      <c r="N10" s="21"/>
      <c r="O10" s="21"/>
    </row>
    <row r="11" spans="1:15" s="157" customFormat="1" ht="15" x14ac:dyDescent="0.35">
      <c r="A11" s="21"/>
      <c r="B11" s="20"/>
      <c r="C11" s="21"/>
      <c r="D11" s="21"/>
      <c r="E11" s="21"/>
      <c r="F11" s="21"/>
      <c r="G11" s="21"/>
      <c r="H11" s="41"/>
      <c r="I11" s="36"/>
      <c r="J11" s="164" t="s">
        <v>412</v>
      </c>
      <c r="K11" s="37"/>
      <c r="L11" s="35"/>
      <c r="M11" s="21"/>
      <c r="N11" s="21"/>
      <c r="O11" s="21"/>
    </row>
    <row r="12" spans="1:15" s="157" customFormat="1" ht="15" x14ac:dyDescent="0.35">
      <c r="A12" s="21"/>
      <c r="B12" s="20"/>
      <c r="C12" s="21"/>
      <c r="D12" s="21"/>
      <c r="E12" s="21"/>
      <c r="F12" s="21"/>
      <c r="G12" s="21"/>
      <c r="H12" s="525"/>
      <c r="I12" s="164" t="s">
        <v>443</v>
      </c>
      <c r="J12" s="245">
        <f>IFERROR(SUM(J15:J19), "")</f>
        <v>0</v>
      </c>
      <c r="K12" s="526"/>
      <c r="L12" s="35"/>
      <c r="M12" s="21"/>
      <c r="N12" s="21"/>
      <c r="O12" s="21"/>
    </row>
    <row r="13" spans="1:15" s="4" customFormat="1" ht="16.8" x14ac:dyDescent="0.4">
      <c r="B13" s="20"/>
      <c r="C13" s="243" t="s">
        <v>442</v>
      </c>
      <c r="D13" s="804"/>
      <c r="E13" s="804"/>
      <c r="F13" s="804"/>
      <c r="G13" s="21"/>
      <c r="H13" s="41"/>
      <c r="I13" s="36"/>
      <c r="J13" s="36"/>
      <c r="K13" s="37"/>
      <c r="L13" s="35"/>
    </row>
    <row r="14" spans="1:15" s="4" customFormat="1" ht="16.8" x14ac:dyDescent="0.4">
      <c r="B14" s="20"/>
      <c r="C14" s="527" t="s">
        <v>444</v>
      </c>
      <c r="D14" s="528" t="s">
        <v>445</v>
      </c>
      <c r="E14" s="529" t="s">
        <v>446</v>
      </c>
      <c r="F14" s="530" t="s">
        <v>447</v>
      </c>
      <c r="G14" s="531"/>
      <c r="H14" s="41"/>
      <c r="I14" s="36"/>
      <c r="J14" s="164" t="s">
        <v>412</v>
      </c>
      <c r="K14" s="37"/>
      <c r="L14" s="35"/>
    </row>
    <row r="15" spans="1:15" s="4" customFormat="1" ht="16.8" x14ac:dyDescent="0.4">
      <c r="B15" s="244"/>
      <c r="C15" s="484"/>
      <c r="D15" s="537"/>
      <c r="E15" s="484"/>
      <c r="F15" s="486" t="str">
        <f>IF(E15&gt;0, IF(D15="tonnes", E15*1000000, IF(D15="kg", E15*1000, "error")), "")</f>
        <v/>
      </c>
      <c r="G15" s="20"/>
      <c r="H15" s="41"/>
      <c r="I15" s="448" t="str">
        <f>IF(E15&gt;0, 'Carbon capture'!$C15, "")</f>
        <v/>
      </c>
      <c r="J15" s="245" t="str">
        <f>IF(E15&gt;0, IFERROR('Carbon capture'!$F15/('Final conversion'!$D$11), 0), "")</f>
        <v/>
      </c>
      <c r="K15" s="37"/>
      <c r="L15" s="35"/>
    </row>
    <row r="16" spans="1:15" s="4" customFormat="1" ht="16.8" x14ac:dyDescent="0.4">
      <c r="B16" s="20"/>
      <c r="C16" s="484"/>
      <c r="D16" s="537"/>
      <c r="E16" s="484"/>
      <c r="F16" s="486" t="str">
        <f t="shared" ref="F16:F19" si="0">IF(E16&gt;0, IF(D16="tonnes", E16*1000000, IF(D16="kg", E16*1000, "error")), "")</f>
        <v/>
      </c>
      <c r="G16" s="21"/>
      <c r="H16" s="41"/>
      <c r="I16" s="448" t="str">
        <f>IF(E16&gt;0, 'Carbon capture'!$C16, "")</f>
        <v/>
      </c>
      <c r="J16" s="245" t="str">
        <f>IF(E16&gt;0, IFERROR('Carbon capture'!$F16/('Final conversion'!$D$11), 0), "")</f>
        <v/>
      </c>
      <c r="K16" s="37"/>
      <c r="L16" s="35"/>
    </row>
    <row r="17" spans="2:12" s="4" customFormat="1" ht="16.8" x14ac:dyDescent="0.4">
      <c r="B17" s="244"/>
      <c r="C17" s="484"/>
      <c r="D17" s="537"/>
      <c r="E17" s="484"/>
      <c r="F17" s="486" t="str">
        <f t="shared" si="0"/>
        <v/>
      </c>
      <c r="G17" s="21"/>
      <c r="H17" s="41"/>
      <c r="I17" s="448" t="str">
        <f>IF(E17&gt;0, 'Carbon capture'!$C17, "")</f>
        <v/>
      </c>
      <c r="J17" s="245" t="str">
        <f>IF(E17&gt;0, IFERROR('Carbon capture'!$F17/('Final conversion'!$D$11), 0), "")</f>
        <v/>
      </c>
      <c r="K17" s="37"/>
      <c r="L17" s="35"/>
    </row>
    <row r="18" spans="2:12" s="4" customFormat="1" ht="16.8" x14ac:dyDescent="0.4">
      <c r="B18" s="244"/>
      <c r="C18" s="484"/>
      <c r="D18" s="537"/>
      <c r="E18" s="484"/>
      <c r="F18" s="486" t="str">
        <f t="shared" si="0"/>
        <v/>
      </c>
      <c r="G18" s="21"/>
      <c r="H18" s="41"/>
      <c r="I18" s="448" t="str">
        <f>IF(E18&gt;0, 'Carbon capture'!$C18, "")</f>
        <v/>
      </c>
      <c r="J18" s="245" t="str">
        <f>IF(E18&gt;0, IFERROR('Carbon capture'!$F18/('Final conversion'!$D$11), 0), "")</f>
        <v/>
      </c>
      <c r="K18" s="37"/>
      <c r="L18" s="35"/>
    </row>
    <row r="19" spans="2:12" s="4" customFormat="1" ht="16.8" x14ac:dyDescent="0.4">
      <c r="B19" s="20"/>
      <c r="C19" s="487"/>
      <c r="D19" s="538"/>
      <c r="E19" s="487"/>
      <c r="F19" s="486" t="str">
        <f t="shared" si="0"/>
        <v/>
      </c>
      <c r="G19" s="21"/>
      <c r="H19" s="41"/>
      <c r="I19" s="448" t="str">
        <f>IF(E19&gt;0, 'Carbon capture'!$C19, "")</f>
        <v/>
      </c>
      <c r="J19" s="245" t="str">
        <f>IF(E19&gt;0, IFERROR('Carbon capture'!$F19/('Final conversion'!$D$11), 0), "")</f>
        <v/>
      </c>
      <c r="K19" s="37"/>
      <c r="L19" s="35"/>
    </row>
    <row r="20" spans="2:12" s="4" customFormat="1" ht="16.8" x14ac:dyDescent="0.4">
      <c r="B20" s="20"/>
      <c r="C20" s="489"/>
      <c r="D20" s="489"/>
      <c r="E20" s="489"/>
      <c r="F20" s="532"/>
      <c r="G20" s="21"/>
      <c r="H20" s="46"/>
      <c r="I20" s="58"/>
      <c r="J20" s="58"/>
      <c r="K20" s="59"/>
      <c r="L20" s="35"/>
    </row>
    <row r="21" spans="2:12" s="4" customFormat="1" ht="16.8" x14ac:dyDescent="0.4">
      <c r="B21" s="28"/>
      <c r="C21" s="533"/>
      <c r="D21" s="533"/>
      <c r="E21" s="533"/>
      <c r="F21" s="534"/>
      <c r="G21" s="29"/>
      <c r="H21" s="29"/>
      <c r="I21" s="29"/>
      <c r="J21" s="29"/>
      <c r="K21" s="29"/>
      <c r="L21" s="60"/>
    </row>
    <row r="22" spans="2:12" s="4" customFormat="1" ht="16.8" x14ac:dyDescent="0.4">
      <c r="B22" s="29"/>
      <c r="C22" s="489"/>
      <c r="D22" s="489"/>
      <c r="E22" s="489"/>
      <c r="F22" s="534"/>
      <c r="G22" s="21"/>
      <c r="H22" s="21"/>
      <c r="I22" s="21"/>
      <c r="J22" s="21"/>
      <c r="K22" s="21"/>
      <c r="L22" s="29"/>
    </row>
    <row r="23" spans="2:12" s="21" customFormat="1" ht="15" x14ac:dyDescent="0.35">
      <c r="B23" s="805" t="s">
        <v>448</v>
      </c>
      <c r="C23" s="806"/>
      <c r="D23" s="806"/>
      <c r="E23" s="806"/>
      <c r="F23" s="806"/>
      <c r="G23" s="806"/>
      <c r="H23" s="806"/>
      <c r="I23" s="806"/>
      <c r="J23" s="806"/>
      <c r="K23" s="806"/>
      <c r="L23" s="807"/>
    </row>
    <row r="24" spans="2:12" s="4" customFormat="1" ht="16.8" x14ac:dyDescent="0.4">
      <c r="B24" s="20"/>
      <c r="C24" s="489"/>
      <c r="D24" s="489"/>
      <c r="E24" s="489"/>
      <c r="F24" s="82"/>
      <c r="G24" s="21"/>
      <c r="H24" s="21"/>
      <c r="I24" s="21"/>
      <c r="J24" s="21"/>
      <c r="K24" s="21"/>
      <c r="L24" s="35"/>
    </row>
    <row r="25" spans="2:12" s="4" customFormat="1" ht="16.8" x14ac:dyDescent="0.4">
      <c r="B25" s="20"/>
      <c r="C25" s="489"/>
      <c r="D25" s="489"/>
      <c r="E25" s="489"/>
      <c r="F25" s="82"/>
      <c r="G25" s="21"/>
      <c r="H25" s="303" t="s">
        <v>122</v>
      </c>
      <c r="I25" s="47"/>
      <c r="J25" s="47"/>
      <c r="K25" s="45"/>
      <c r="L25" s="35"/>
    </row>
    <row r="26" spans="2:12" s="4" customFormat="1" ht="16.8" x14ac:dyDescent="0.4">
      <c r="B26" s="20"/>
      <c r="C26" s="489"/>
      <c r="D26" s="489"/>
      <c r="E26" s="489"/>
      <c r="F26" s="82"/>
      <c r="G26" s="21"/>
      <c r="H26" s="41"/>
      <c r="I26" s="36"/>
      <c r="J26" s="164" t="s">
        <v>412</v>
      </c>
      <c r="K26" s="37"/>
      <c r="L26" s="35"/>
    </row>
    <row r="27" spans="2:12" s="4" customFormat="1" ht="16.8" x14ac:dyDescent="0.4">
      <c r="B27" s="20"/>
      <c r="C27" s="489"/>
      <c r="D27" s="489"/>
      <c r="E27" s="489"/>
      <c r="F27" s="82"/>
      <c r="G27" s="21"/>
      <c r="H27" s="41"/>
      <c r="I27" s="164" t="s">
        <v>449</v>
      </c>
      <c r="J27" s="245">
        <f>IFERROR(SUM(J30:J34), "")</f>
        <v>0</v>
      </c>
      <c r="K27" s="37"/>
      <c r="L27" s="35"/>
    </row>
    <row r="28" spans="2:12" s="4" customFormat="1" ht="16.8" x14ac:dyDescent="0.4">
      <c r="B28" s="20"/>
      <c r="C28" s="535" t="s">
        <v>448</v>
      </c>
      <c r="D28" s="535"/>
      <c r="E28" s="535"/>
      <c r="F28" s="150"/>
      <c r="G28" s="21"/>
      <c r="H28" s="41"/>
      <c r="I28" s="36"/>
      <c r="J28" s="36"/>
      <c r="K28" s="37"/>
      <c r="L28" s="35"/>
    </row>
    <row r="29" spans="2:12" s="4" customFormat="1" ht="16.8" x14ac:dyDescent="0.4">
      <c r="B29" s="20"/>
      <c r="C29" s="527" t="s">
        <v>444</v>
      </c>
      <c r="D29" s="501" t="s">
        <v>445</v>
      </c>
      <c r="E29" s="527" t="s">
        <v>446</v>
      </c>
      <c r="F29" s="536" t="s">
        <v>234</v>
      </c>
      <c r="G29" s="21"/>
      <c r="H29" s="41"/>
      <c r="I29" s="36"/>
      <c r="J29" s="164" t="s">
        <v>412</v>
      </c>
      <c r="K29" s="37"/>
      <c r="L29" s="35"/>
    </row>
    <row r="30" spans="2:12" s="4" customFormat="1" ht="16.8" x14ac:dyDescent="0.4">
      <c r="B30" s="20"/>
      <c r="C30" s="484"/>
      <c r="D30" s="537"/>
      <c r="E30" s="484"/>
      <c r="F30" s="486" t="str">
        <f>IF(E30&gt;0, IF(D30="tonnes", E30*1000000, IF(D30="kg", E30*1000, "error")), "")</f>
        <v/>
      </c>
      <c r="G30" s="21"/>
      <c r="H30" s="41"/>
      <c r="I30" s="448" t="str">
        <f>IF(E30&gt;0, 'Carbon capture'!$C30, "")</f>
        <v/>
      </c>
      <c r="J30" s="245" t="str">
        <f>IF(E30&gt;0, IFERROR('Carbon capture'!$F30/('Final conversion'!$D$11), 0), "")</f>
        <v/>
      </c>
      <c r="K30" s="37"/>
      <c r="L30" s="35"/>
    </row>
    <row r="31" spans="2:12" s="4" customFormat="1" ht="16.8" x14ac:dyDescent="0.4">
      <c r="B31" s="20"/>
      <c r="C31" s="484"/>
      <c r="D31" s="537"/>
      <c r="E31" s="484"/>
      <c r="F31" s="486" t="str">
        <f t="shared" ref="F31:F34" si="1">IF(E31&gt;0, IF(D31="tonnes", E31*1000000, IF(D31="kg", E31*1000, "error")), "")</f>
        <v/>
      </c>
      <c r="G31" s="21"/>
      <c r="H31" s="41"/>
      <c r="I31" s="448" t="str">
        <f>IF(E31&gt;0, 'Carbon capture'!$C31, "")</f>
        <v/>
      </c>
      <c r="J31" s="245" t="str">
        <f>IF(E31&gt;0, IFERROR('Carbon capture'!$F31/('Final conversion'!$D$11), 0), "")</f>
        <v/>
      </c>
      <c r="K31" s="37"/>
      <c r="L31" s="35"/>
    </row>
    <row r="32" spans="2:12" s="4" customFormat="1" ht="16.8" x14ac:dyDescent="0.4">
      <c r="B32" s="20"/>
      <c r="C32" s="484"/>
      <c r="D32" s="537"/>
      <c r="E32" s="484"/>
      <c r="F32" s="486" t="str">
        <f t="shared" si="1"/>
        <v/>
      </c>
      <c r="G32" s="21"/>
      <c r="H32" s="41"/>
      <c r="I32" s="448" t="str">
        <f>IF(E32&gt;0, 'Carbon capture'!$C32, "")</f>
        <v/>
      </c>
      <c r="J32" s="245" t="str">
        <f>IF(E32&gt;0, IFERROR('Carbon capture'!$F32/('Final conversion'!$D$11), 0), "")</f>
        <v/>
      </c>
      <c r="K32" s="37"/>
      <c r="L32" s="35"/>
    </row>
    <row r="33" spans="1:15" s="4" customFormat="1" ht="16.8" x14ac:dyDescent="0.4">
      <c r="B33" s="20"/>
      <c r="C33" s="484"/>
      <c r="D33" s="537"/>
      <c r="E33" s="484"/>
      <c r="F33" s="486" t="str">
        <f t="shared" si="1"/>
        <v/>
      </c>
      <c r="G33" s="21"/>
      <c r="H33" s="41"/>
      <c r="I33" s="448" t="str">
        <f>IF(E33&gt;0, 'Carbon capture'!$C33, "")</f>
        <v/>
      </c>
      <c r="J33" s="245" t="str">
        <f>IF(E33&gt;0, IFERROR('Carbon capture'!$F33/('Final conversion'!$D$11), 0), "")</f>
        <v/>
      </c>
      <c r="K33" s="37"/>
      <c r="L33" s="35"/>
    </row>
    <row r="34" spans="1:15" s="4" customFormat="1" ht="16.8" x14ac:dyDescent="0.4">
      <c r="B34" s="20"/>
      <c r="C34" s="487"/>
      <c r="D34" s="538"/>
      <c r="E34" s="487"/>
      <c r="F34" s="437" t="str">
        <f t="shared" si="1"/>
        <v/>
      </c>
      <c r="G34" s="21"/>
      <c r="H34" s="41"/>
      <c r="I34" s="448" t="str">
        <f>IF(E34&gt;0, 'Carbon capture'!$C34, "")</f>
        <v/>
      </c>
      <c r="J34" s="245" t="str">
        <f>IF(E34&gt;0, IFERROR('Carbon capture'!$F34/('Final conversion'!$D$11), 0), "")</f>
        <v/>
      </c>
      <c r="K34" s="37"/>
      <c r="L34" s="35"/>
    </row>
    <row r="35" spans="1:15" s="4" customFormat="1" ht="16.8" x14ac:dyDescent="0.4">
      <c r="B35" s="20"/>
      <c r="C35" s="21"/>
      <c r="D35" s="21"/>
      <c r="E35" s="21"/>
      <c r="F35" s="21"/>
      <c r="G35" s="21"/>
      <c r="H35" s="46"/>
      <c r="I35" s="58"/>
      <c r="J35" s="58"/>
      <c r="K35" s="59"/>
      <c r="L35" s="35"/>
    </row>
    <row r="36" spans="1:15" s="157" customFormat="1" ht="15" x14ac:dyDescent="0.35">
      <c r="A36" s="21"/>
      <c r="B36" s="28"/>
      <c r="C36" s="29"/>
      <c r="D36" s="29"/>
      <c r="E36" s="29"/>
      <c r="F36" s="29"/>
      <c r="G36" s="29"/>
      <c r="H36" s="490"/>
      <c r="I36" s="490"/>
      <c r="J36" s="490"/>
      <c r="K36" s="490"/>
      <c r="L36" s="60"/>
      <c r="M36" s="21"/>
      <c r="N36" s="21"/>
      <c r="O36" s="21"/>
    </row>
    <row r="37" spans="1:15" s="157" customFormat="1" ht="15" x14ac:dyDescent="0.35">
      <c r="A37" s="21"/>
      <c r="B37" s="21"/>
      <c r="C37" s="21"/>
      <c r="D37" s="21"/>
      <c r="E37" s="21"/>
      <c r="F37" s="21"/>
      <c r="G37" s="21"/>
      <c r="H37" s="21"/>
      <c r="I37" s="21"/>
      <c r="J37" s="21"/>
      <c r="K37" s="21"/>
      <c r="L37" s="21"/>
      <c r="M37" s="21"/>
      <c r="N37" s="21"/>
      <c r="O37" s="21"/>
    </row>
    <row r="38" spans="1:15" s="157" customFormat="1" ht="15" x14ac:dyDescent="0.35">
      <c r="A38" s="21"/>
      <c r="B38" s="21"/>
      <c r="C38" s="21"/>
      <c r="D38" s="21"/>
      <c r="E38" s="21"/>
      <c r="F38" s="21"/>
      <c r="G38" s="21"/>
      <c r="H38" s="21"/>
      <c r="I38" s="21"/>
      <c r="J38" s="21"/>
      <c r="K38" s="21"/>
      <c r="L38" s="21"/>
      <c r="M38" s="21"/>
      <c r="N38" s="21"/>
      <c r="O38" s="21"/>
    </row>
    <row r="39" spans="1:15" s="157" customFormat="1" ht="15" x14ac:dyDescent="0.35">
      <c r="A39" s="21"/>
      <c r="B39" s="21"/>
      <c r="C39" s="21"/>
      <c r="D39" s="21"/>
      <c r="E39" s="21"/>
      <c r="F39" s="21"/>
      <c r="G39" s="21"/>
      <c r="H39" s="21"/>
      <c r="I39" s="21"/>
      <c r="J39" s="21"/>
      <c r="K39" s="21"/>
      <c r="L39" s="21"/>
      <c r="M39" s="21"/>
      <c r="N39" s="21"/>
      <c r="O39" s="21"/>
    </row>
    <row r="40" spans="1:15" s="157" customFormat="1" ht="15" x14ac:dyDescent="0.35">
      <c r="A40" s="21"/>
      <c r="B40" s="21"/>
      <c r="C40" s="21"/>
      <c r="D40" s="21"/>
      <c r="E40" s="21"/>
      <c r="F40" s="21"/>
      <c r="G40" s="21"/>
      <c r="H40" s="21"/>
      <c r="I40" s="21"/>
      <c r="J40" s="21"/>
      <c r="K40" s="21"/>
      <c r="L40" s="21"/>
      <c r="M40" s="21"/>
      <c r="N40" s="21"/>
      <c r="O40" s="21"/>
    </row>
    <row r="41" spans="1:15" s="157" customFormat="1" ht="15" x14ac:dyDescent="0.35">
      <c r="A41" s="21"/>
      <c r="B41" s="21"/>
      <c r="C41" s="21"/>
      <c r="D41" s="21"/>
      <c r="E41" s="21"/>
      <c r="F41" s="21"/>
      <c r="G41" s="21"/>
      <c r="H41" s="21"/>
      <c r="I41" s="21"/>
      <c r="J41" s="21"/>
      <c r="K41" s="21"/>
      <c r="L41" s="21"/>
      <c r="M41" s="21"/>
      <c r="N41" s="21"/>
      <c r="O41" s="21"/>
    </row>
    <row r="42" spans="1:15" s="157" customFormat="1" ht="15" x14ac:dyDescent="0.35">
      <c r="A42" s="21"/>
      <c r="B42" s="21"/>
      <c r="C42" s="21"/>
      <c r="D42" s="21"/>
      <c r="E42" s="21"/>
      <c r="F42" s="21"/>
      <c r="G42" s="21"/>
      <c r="H42" s="21"/>
      <c r="I42" s="21"/>
      <c r="J42" s="21"/>
      <c r="K42" s="21"/>
      <c r="L42" s="21"/>
      <c r="M42" s="21"/>
      <c r="N42" s="21"/>
      <c r="O42" s="21"/>
    </row>
    <row r="43" spans="1:15" s="239" customFormat="1" ht="3.75" customHeight="1" thickBot="1" x14ac:dyDescent="0.4"/>
    <row r="44" spans="1:15" s="171" customFormat="1" ht="15" x14ac:dyDescent="0.35"/>
    <row r="45" spans="1:15" s="171" customFormat="1" ht="15" x14ac:dyDescent="0.35"/>
    <row r="46" spans="1:15" ht="15" x14ac:dyDescent="0.35">
      <c r="A46" s="171"/>
      <c r="B46" s="171"/>
      <c r="C46" s="171"/>
      <c r="D46" s="171"/>
      <c r="E46" s="171"/>
      <c r="F46" s="171"/>
      <c r="G46" s="171"/>
      <c r="H46" s="171"/>
      <c r="I46" s="171"/>
      <c r="J46" s="171"/>
      <c r="K46" s="171"/>
      <c r="L46" s="171"/>
      <c r="M46" s="171"/>
      <c r="N46" s="171"/>
      <c r="O46" s="171"/>
    </row>
  </sheetData>
  <sheetProtection algorithmName="SHA-512" hashValue="oTEnMvYB12c5suHb5lg1NBRmeVz0pR1SsIVWzjRoeGl9u80PiDsNIloh64YgF1Yn0OLUax3UH1wStnIUK5v8rA==" saltValue="dLGS2NLdqJbWc0XvPwCCmw==" spinCount="100000" sheet="1" objects="1" scenarios="1"/>
  <mergeCells count="4">
    <mergeCell ref="D13:F13"/>
    <mergeCell ref="B8:L8"/>
    <mergeCell ref="B23:L23"/>
    <mergeCell ref="B6:L6"/>
  </mergeCells>
  <conditionalFormatting sqref="A1:XFD4 A43:XFD45">
    <cfRule type="cellIs" dxfId="2781" priority="96" operator="equal">
      <formula>"Insert unit"</formula>
    </cfRule>
    <cfRule type="cellIs" dxfId="2780" priority="97" operator="equal">
      <formula>"Insert data"</formula>
    </cfRule>
  </conditionalFormatting>
  <conditionalFormatting sqref="L13:XFD22 A14:B22 A13:D13 C14:E14 C29:E29 F24:F28 A24:B35 L24:XFD35 F15:F22 F30:F34">
    <cfRule type="cellIs" dxfId="2779" priority="91" operator="equal">
      <formula>"Warning - crop dry matter content higher than feedstock dry matter content"</formula>
    </cfRule>
    <cfRule type="cellIs" dxfId="2778" priority="92" operator="equal">
      <formula>"Insert unit"</formula>
    </cfRule>
    <cfRule type="cellIs" dxfId="2777" priority="93" operator="equal">
      <formula>"Insert data"</formula>
    </cfRule>
  </conditionalFormatting>
  <conditionalFormatting sqref="C13">
    <cfRule type="cellIs" dxfId="2776" priority="82" operator="equal">
      <formula>"Warning - crop dry matter content higher than feedstock dry matter content"</formula>
    </cfRule>
    <cfRule type="cellIs" dxfId="2775" priority="83" operator="equal">
      <formula>"Insert unit"</formula>
    </cfRule>
    <cfRule type="cellIs" dxfId="2774" priority="84" operator="equal">
      <formula>"Insert data"</formula>
    </cfRule>
  </conditionalFormatting>
  <conditionalFormatting sqref="G14">
    <cfRule type="cellIs" dxfId="2773" priority="79" operator="equal">
      <formula>"Warning - crop dry matter content higher than feedstock dry matter content"</formula>
    </cfRule>
    <cfRule type="cellIs" dxfId="2772" priority="80" operator="equal">
      <formula>"Insert unit"</formula>
    </cfRule>
    <cfRule type="cellIs" dxfId="2771" priority="81" operator="equal">
      <formula>"Insert data"</formula>
    </cfRule>
  </conditionalFormatting>
  <conditionalFormatting sqref="F24:F28 F15:F22 F30:F34">
    <cfRule type="cellIs" dxfId="2770" priority="73" operator="equal">
      <formula>"Warning - crop dry matter content higher than feedstock dry matter content"</formula>
    </cfRule>
    <cfRule type="cellIs" dxfId="2769" priority="74" operator="equal">
      <formula>"Insert unit"</formula>
    </cfRule>
    <cfRule type="cellIs" dxfId="2768" priority="75" operator="equal">
      <formula>"Insert data"</formula>
    </cfRule>
  </conditionalFormatting>
  <conditionalFormatting sqref="D13">
    <cfRule type="cellIs" dxfId="2767" priority="76" operator="equal">
      <formula>"Warning - crop dry matter content higher than feedstock dry matter content"</formula>
    </cfRule>
    <cfRule type="cellIs" dxfId="2766" priority="77" operator="equal">
      <formula>"Insert unit"</formula>
    </cfRule>
    <cfRule type="cellIs" dxfId="2765" priority="78" operator="equal">
      <formula>"Insert data"</formula>
    </cfRule>
  </conditionalFormatting>
  <conditionalFormatting sqref="C15:E22 C30:E34 C24:E28">
    <cfRule type="cellIs" dxfId="2764" priority="70" operator="equal">
      <formula>"Warning - crop dry matter content higher than feedstock dry matter content"</formula>
    </cfRule>
    <cfRule type="cellIs" dxfId="2763" priority="71" operator="equal">
      <formula>"Insert unit"</formula>
    </cfRule>
    <cfRule type="cellIs" dxfId="2762" priority="72" operator="equal">
      <formula>"Insert data"</formula>
    </cfRule>
  </conditionalFormatting>
  <conditionalFormatting sqref="C15:E22 C30:E34 C24:E28">
    <cfRule type="cellIs" dxfId="2761" priority="67" operator="equal">
      <formula>"Warning - crop dry matter content higher than feedstock dry matter content"</formula>
    </cfRule>
    <cfRule type="cellIs" dxfId="2760" priority="68" operator="equal">
      <formula>"Insert unit"</formula>
    </cfRule>
    <cfRule type="cellIs" dxfId="2759" priority="69" operator="equal">
      <formula>"Insert data"</formula>
    </cfRule>
  </conditionalFormatting>
  <conditionalFormatting sqref="F14">
    <cfRule type="cellIs" dxfId="2758" priority="64" operator="equal">
      <formula>"Warning - crop dry matter content higher than feedstock dry matter content"</formula>
    </cfRule>
    <cfRule type="cellIs" dxfId="2757" priority="65" operator="equal">
      <formula>"Insert unit"</formula>
    </cfRule>
    <cfRule type="cellIs" dxfId="2756" priority="66" operator="equal">
      <formula>"Insert data"</formula>
    </cfRule>
  </conditionalFormatting>
  <conditionalFormatting sqref="F14">
    <cfRule type="cellIs" dxfId="2755" priority="61" operator="equal">
      <formula>"Warning - crop dry matter content higher than feedstock dry matter content"</formula>
    </cfRule>
    <cfRule type="cellIs" dxfId="2754" priority="62" operator="equal">
      <formula>"Insert unit"</formula>
    </cfRule>
    <cfRule type="cellIs" dxfId="2753" priority="63" operator="equal">
      <formula>"Insert data"</formula>
    </cfRule>
  </conditionalFormatting>
  <conditionalFormatting sqref="H10:K10 H14:I14 K14">
    <cfRule type="expression" dxfId="2752" priority="58">
      <formula>$E$36="No"</formula>
    </cfRule>
  </conditionalFormatting>
  <conditionalFormatting sqref="H10:K10 H14:I14 K14">
    <cfRule type="cellIs" dxfId="2751" priority="59" operator="equal">
      <formula>"Insert unit"</formula>
    </cfRule>
    <cfRule type="cellIs" dxfId="2750" priority="60" operator="equal">
      <formula>"Insert data"</formula>
    </cfRule>
  </conditionalFormatting>
  <conditionalFormatting sqref="J14">
    <cfRule type="expression" dxfId="2749" priority="55">
      <formula>$E$36="No"</formula>
    </cfRule>
  </conditionalFormatting>
  <conditionalFormatting sqref="J14">
    <cfRule type="cellIs" dxfId="2748" priority="56" operator="equal">
      <formula>"Insert unit"</formula>
    </cfRule>
    <cfRule type="cellIs" dxfId="2747" priority="57" operator="equal">
      <formula>"Insert data"</formula>
    </cfRule>
  </conditionalFormatting>
  <conditionalFormatting sqref="H14:K14 H10:K10">
    <cfRule type="cellIs" dxfId="2746" priority="54" operator="equal">
      <formula>"Insert yield"</formula>
    </cfRule>
  </conditionalFormatting>
  <conditionalFormatting sqref="I15:I19">
    <cfRule type="cellIs" dxfId="2745" priority="50" operator="equal">
      <formula>"Insert unit"</formula>
    </cfRule>
    <cfRule type="cellIs" dxfId="2744" priority="51" operator="equal">
      <formula>"Insert data"</formula>
    </cfRule>
  </conditionalFormatting>
  <conditionalFormatting sqref="I15:J19">
    <cfRule type="cellIs" dxfId="2743" priority="52" operator="equal">
      <formula>"Insert unit"</formula>
    </cfRule>
    <cfRule type="cellIs" dxfId="2742" priority="53" operator="equal">
      <formula>"Insert data"</formula>
    </cfRule>
  </conditionalFormatting>
  <conditionalFormatting sqref="I12">
    <cfRule type="cellIs" dxfId="2741" priority="35" operator="equal">
      <formula>"Insert unit"</formula>
    </cfRule>
    <cfRule type="cellIs" dxfId="2740" priority="36" operator="equal">
      <formula>"Insert data"</formula>
    </cfRule>
  </conditionalFormatting>
  <conditionalFormatting sqref="I11:J12">
    <cfRule type="cellIs" dxfId="2739" priority="37" operator="equal">
      <formula>"Insert unit"</formula>
    </cfRule>
  </conditionalFormatting>
  <conditionalFormatting sqref="F29">
    <cfRule type="cellIs" dxfId="2738" priority="32" operator="equal">
      <formula>"Warning - crop dry matter content higher than feedstock dry matter content"</formula>
    </cfRule>
    <cfRule type="cellIs" dxfId="2737" priority="33" operator="equal">
      <formula>"Insert unit"</formula>
    </cfRule>
    <cfRule type="cellIs" dxfId="2736" priority="34" operator="equal">
      <formula>"Insert data"</formula>
    </cfRule>
  </conditionalFormatting>
  <conditionalFormatting sqref="F29">
    <cfRule type="cellIs" dxfId="2735" priority="29" operator="equal">
      <formula>"Warning - crop dry matter content higher than feedstock dry matter content"</formula>
    </cfRule>
    <cfRule type="cellIs" dxfId="2734" priority="30" operator="equal">
      <formula>"Insert unit"</formula>
    </cfRule>
    <cfRule type="cellIs" dxfId="2733" priority="31" operator="equal">
      <formula>"Insert data"</formula>
    </cfRule>
  </conditionalFormatting>
  <conditionalFormatting sqref="I29">
    <cfRule type="expression" dxfId="2732" priority="26">
      <formula>$E$36="No"</formula>
    </cfRule>
  </conditionalFormatting>
  <conditionalFormatting sqref="I29">
    <cfRule type="cellIs" dxfId="2731" priority="27" operator="equal">
      <formula>"Insert unit"</formula>
    </cfRule>
    <cfRule type="cellIs" dxfId="2730" priority="28" operator="equal">
      <formula>"Insert data"</formula>
    </cfRule>
  </conditionalFormatting>
  <conditionalFormatting sqref="J29">
    <cfRule type="expression" dxfId="2729" priority="23">
      <formula>$E$36="No"</formula>
    </cfRule>
  </conditionalFormatting>
  <conditionalFormatting sqref="J29">
    <cfRule type="cellIs" dxfId="2728" priority="24" operator="equal">
      <formula>"Insert unit"</formula>
    </cfRule>
    <cfRule type="cellIs" dxfId="2727" priority="25" operator="equal">
      <formula>"Insert data"</formula>
    </cfRule>
  </conditionalFormatting>
  <conditionalFormatting sqref="I29:J29">
    <cfRule type="cellIs" dxfId="2726" priority="22" operator="equal">
      <formula>"Insert yield"</formula>
    </cfRule>
  </conditionalFormatting>
  <conditionalFormatting sqref="I30:I34">
    <cfRule type="cellIs" dxfId="2725" priority="14" operator="equal">
      <formula>"Insert unit"</formula>
    </cfRule>
    <cfRule type="cellIs" dxfId="2724" priority="15" operator="equal">
      <formula>"Insert data"</formula>
    </cfRule>
  </conditionalFormatting>
  <conditionalFormatting sqref="I30:I34">
    <cfRule type="cellIs" dxfId="2723" priority="16" operator="equal">
      <formula>"Insert unit"</formula>
    </cfRule>
    <cfRule type="cellIs" dxfId="2722" priority="17" operator="equal">
      <formula>"Insert data"</formula>
    </cfRule>
  </conditionalFormatting>
  <conditionalFormatting sqref="J30:J34">
    <cfRule type="cellIs" dxfId="2721" priority="12" operator="equal">
      <formula>"Insert unit"</formula>
    </cfRule>
    <cfRule type="cellIs" dxfId="2720" priority="13" operator="equal">
      <formula>"Insert data"</formula>
    </cfRule>
  </conditionalFormatting>
  <conditionalFormatting sqref="I27">
    <cfRule type="cellIs" dxfId="2719" priority="9" operator="equal">
      <formula>"Insert unit"</formula>
    </cfRule>
    <cfRule type="cellIs" dxfId="2718" priority="10" operator="equal">
      <formula>"Insert data"</formula>
    </cfRule>
  </conditionalFormatting>
  <conditionalFormatting sqref="I26:J27">
    <cfRule type="cellIs" dxfId="2717" priority="11" operator="equal">
      <formula>"Insert unit"</formula>
    </cfRule>
  </conditionalFormatting>
  <conditionalFormatting sqref="A8:XFD8">
    <cfRule type="cellIs" dxfId="2716" priority="7" operator="equal">
      <formula>"Insert unit"</formula>
    </cfRule>
    <cfRule type="cellIs" dxfId="2715" priority="8" operator="equal">
      <formula>"Insert data"</formula>
    </cfRule>
  </conditionalFormatting>
  <conditionalFormatting sqref="A23:XFD23">
    <cfRule type="cellIs" dxfId="2714" priority="5" operator="equal">
      <formula>"Insert unit"</formula>
    </cfRule>
    <cfRule type="cellIs" dxfId="2713" priority="6" operator="equal">
      <formula>"Insert data"</formula>
    </cfRule>
  </conditionalFormatting>
  <conditionalFormatting sqref="H25">
    <cfRule type="expression" dxfId="2712" priority="2">
      <formula>$E$36="No"</formula>
    </cfRule>
  </conditionalFormatting>
  <conditionalFormatting sqref="H25">
    <cfRule type="cellIs" dxfId="2711" priority="3" operator="equal">
      <formula>"Insert unit"</formula>
    </cfRule>
    <cfRule type="cellIs" dxfId="2710" priority="4" operator="equal">
      <formula>"Insert data"</formula>
    </cfRule>
  </conditionalFormatting>
  <conditionalFormatting sqref="H25">
    <cfRule type="cellIs" dxfId="2709" priority="1" operator="equal">
      <formula>"Insert yield"</formula>
    </cfRule>
  </conditionalFormatting>
  <dataValidations disablePrompts="1" count="1">
    <dataValidation type="list" allowBlank="1" showInputMessage="1" showErrorMessage="1" sqref="D15:D19 D30:D34" xr:uid="{3A8EB9F7-121D-424D-BCA4-2658E58C08CC}">
      <formula1>"kg, tonnes"</formula1>
    </dataValidation>
  </dataValidations>
  <pageMargins left="0.7" right="0.7" top="0.75" bottom="0.75" header="0.3" footer="0.3"/>
  <headerFooter>
    <oddHeader>&amp;C&amp;"Calibri"&amp;10&amp;K000000 OFFICIAL&amp;1#_x000D_</oddHeader>
    <oddFooter>&amp;C_x000D_&amp;1#&amp;"Calibri"&amp;10&amp;K000000 OFFICIAL</oddFooter>
  </headerFooter>
  <ignoredErrors>
    <ignoredError sqref="D17:D19" calculatedColumn="1"/>
  </ignoredError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C0054-EE87-4444-AC1D-A3F210A0AC40}">
  <sheetPr codeName="Sheet17"/>
  <dimension ref="A1:O28"/>
  <sheetViews>
    <sheetView zoomScale="85" zoomScaleNormal="85" workbookViewId="0">
      <selection activeCell="B6" sqref="B6:L6"/>
    </sheetView>
  </sheetViews>
  <sheetFormatPr defaultColWidth="8.6640625" defaultRowHeight="14.4" x14ac:dyDescent="0.3"/>
  <cols>
    <col min="1" max="1" width="5.6640625" style="198" customWidth="1"/>
    <col min="2" max="2" width="2.5546875" style="198" customWidth="1"/>
    <col min="3" max="3" width="45.88671875" style="198" bestFit="1" customWidth="1"/>
    <col min="4" max="4" width="21.44140625" style="198" bestFit="1" customWidth="1"/>
    <col min="5" max="5" width="14.88671875" style="198" bestFit="1" customWidth="1"/>
    <col min="6" max="6" width="14.88671875" style="198" customWidth="1"/>
    <col min="7" max="7" width="11" style="198" customWidth="1"/>
    <col min="8" max="8" width="3.109375" style="198" customWidth="1"/>
    <col min="9" max="9" width="37.44140625" style="198" bestFit="1" customWidth="1"/>
    <col min="10" max="10" width="16.88671875" style="198" bestFit="1" customWidth="1"/>
    <col min="11" max="11" width="3.33203125" style="198" customWidth="1"/>
    <col min="12" max="12" width="8.6640625" style="198"/>
    <col min="13" max="13" width="10.88671875" style="198" bestFit="1" customWidth="1"/>
    <col min="14" max="16384" width="8.6640625" style="198"/>
  </cols>
  <sheetData>
    <row r="1" spans="1:15" s="171" customFormat="1" ht="24.75" customHeight="1" x14ac:dyDescent="0.35">
      <c r="A1" s="159"/>
      <c r="B1" s="159"/>
      <c r="C1" s="159"/>
    </row>
    <row r="2" spans="1:15" s="171" customFormat="1" ht="24.75" customHeight="1" x14ac:dyDescent="0.35"/>
    <row r="3" spans="1:15" s="171" customFormat="1" ht="24.75" customHeight="1" x14ac:dyDescent="0.35"/>
    <row r="4" spans="1:15" s="238" customFormat="1" ht="24.75" customHeight="1" x14ac:dyDescent="0.35"/>
    <row r="5" spans="1:15" s="157" customFormat="1" ht="15" x14ac:dyDescent="0.35">
      <c r="A5" s="21"/>
      <c r="B5" s="21"/>
      <c r="C5" s="21"/>
      <c r="D5" s="21"/>
      <c r="E5" s="21"/>
      <c r="F5" s="21"/>
      <c r="G5" s="21"/>
      <c r="H5" s="21"/>
      <c r="I5" s="21"/>
      <c r="J5" s="21"/>
      <c r="K5" s="21"/>
      <c r="L5" s="21"/>
      <c r="M5" s="21"/>
      <c r="N5" s="21"/>
      <c r="O5" s="21"/>
    </row>
    <row r="6" spans="1:15" s="157" customFormat="1" ht="34.5" customHeight="1" x14ac:dyDescent="0.4">
      <c r="A6" s="21"/>
      <c r="B6" s="728" t="s">
        <v>450</v>
      </c>
      <c r="C6" s="728"/>
      <c r="D6" s="728"/>
      <c r="E6" s="728"/>
      <c r="F6" s="728"/>
      <c r="G6" s="728"/>
      <c r="H6" s="728"/>
      <c r="I6" s="728"/>
      <c r="J6" s="728"/>
      <c r="K6" s="728"/>
      <c r="L6" s="728"/>
      <c r="M6" s="21"/>
      <c r="N6" s="21"/>
      <c r="O6" s="21"/>
    </row>
    <row r="7" spans="1:15" s="157" customFormat="1" ht="15" x14ac:dyDescent="0.35">
      <c r="A7" s="21"/>
      <c r="B7" s="21"/>
      <c r="C7" s="21"/>
      <c r="D7" s="21"/>
      <c r="E7" s="21"/>
      <c r="F7" s="21"/>
      <c r="G7" s="21"/>
      <c r="H7" s="21"/>
      <c r="I7" s="21"/>
      <c r="J7" s="21"/>
      <c r="K7" s="21"/>
      <c r="L7" s="21"/>
      <c r="M7" s="21"/>
      <c r="N7" s="21"/>
      <c r="O7" s="21"/>
    </row>
    <row r="8" spans="1:15" s="21" customFormat="1" ht="15" x14ac:dyDescent="0.35">
      <c r="B8" s="805" t="s">
        <v>451</v>
      </c>
      <c r="C8" s="806"/>
      <c r="D8" s="806"/>
      <c r="E8" s="806"/>
      <c r="F8" s="806"/>
      <c r="G8" s="806"/>
      <c r="H8" s="806"/>
      <c r="I8" s="806"/>
      <c r="J8" s="806"/>
      <c r="K8" s="806"/>
      <c r="L8" s="807"/>
    </row>
    <row r="9" spans="1:15" s="157" customFormat="1" ht="15" x14ac:dyDescent="0.35">
      <c r="A9" s="21"/>
      <c r="B9" s="435"/>
      <c r="C9" s="434"/>
      <c r="D9" s="434"/>
      <c r="E9" s="434"/>
      <c r="F9" s="434"/>
      <c r="G9" s="434"/>
      <c r="H9" s="434"/>
      <c r="I9" s="434"/>
      <c r="J9" s="434"/>
      <c r="K9" s="434"/>
      <c r="L9" s="436"/>
      <c r="M9" s="21"/>
      <c r="N9" s="21"/>
      <c r="O9" s="21"/>
    </row>
    <row r="10" spans="1:15" s="157" customFormat="1" ht="15" x14ac:dyDescent="0.35">
      <c r="A10" s="21"/>
      <c r="B10" s="20"/>
      <c r="C10" s="21"/>
      <c r="D10" s="21"/>
      <c r="E10" s="21"/>
      <c r="F10" s="21"/>
      <c r="G10" s="21"/>
      <c r="H10" s="303" t="s">
        <v>122</v>
      </c>
      <c r="I10" s="47"/>
      <c r="J10" s="47"/>
      <c r="K10" s="45"/>
      <c r="L10" s="35"/>
      <c r="M10" s="21"/>
      <c r="N10" s="21"/>
      <c r="O10" s="21"/>
    </row>
    <row r="11" spans="1:15" s="157" customFormat="1" ht="15" x14ac:dyDescent="0.35">
      <c r="A11" s="21"/>
      <c r="B11" s="20"/>
      <c r="C11" s="21"/>
      <c r="D11" s="21"/>
      <c r="E11" s="21"/>
      <c r="F11" s="21"/>
      <c r="G11" s="21"/>
      <c r="H11" s="41"/>
      <c r="I11" s="36"/>
      <c r="J11" s="164" t="s">
        <v>412</v>
      </c>
      <c r="K11" s="37"/>
      <c r="L11" s="35"/>
      <c r="M11" s="21"/>
      <c r="N11" s="21"/>
      <c r="O11" s="21"/>
    </row>
    <row r="12" spans="1:15" s="157" customFormat="1" ht="15" x14ac:dyDescent="0.35">
      <c r="A12" s="21"/>
      <c r="B12" s="20"/>
      <c r="C12" s="21"/>
      <c r="D12" s="21"/>
      <c r="E12" s="21"/>
      <c r="F12" s="21"/>
      <c r="G12" s="21"/>
      <c r="H12" s="525"/>
      <c r="I12" s="164" t="s">
        <v>452</v>
      </c>
      <c r="J12" s="614">
        <f>IFERROR(SUM(J15:J19), "")</f>
        <v>0</v>
      </c>
      <c r="K12" s="526"/>
      <c r="L12" s="35"/>
      <c r="M12" s="21"/>
      <c r="N12" s="21"/>
      <c r="O12" s="21"/>
    </row>
    <row r="13" spans="1:15" s="4" customFormat="1" ht="16.8" x14ac:dyDescent="0.4">
      <c r="B13" s="20"/>
      <c r="C13" s="243" t="s">
        <v>451</v>
      </c>
      <c r="D13" s="804"/>
      <c r="E13" s="804"/>
      <c r="F13" s="611"/>
      <c r="G13" s="21"/>
      <c r="H13" s="41"/>
      <c r="I13" s="36"/>
      <c r="J13" s="36"/>
      <c r="K13" s="37"/>
      <c r="L13" s="35"/>
    </row>
    <row r="14" spans="1:15" s="4" customFormat="1" ht="16.8" x14ac:dyDescent="0.4">
      <c r="B14" s="20"/>
      <c r="C14" s="527" t="s">
        <v>453</v>
      </c>
      <c r="D14" s="528" t="s">
        <v>454</v>
      </c>
      <c r="E14" s="529" t="s">
        <v>140</v>
      </c>
      <c r="F14" s="612" t="s">
        <v>455</v>
      </c>
      <c r="G14" s="531"/>
      <c r="H14" s="41"/>
      <c r="I14" s="36"/>
      <c r="J14" s="164" t="s">
        <v>412</v>
      </c>
      <c r="K14" s="37"/>
      <c r="L14" s="35"/>
    </row>
    <row r="15" spans="1:15" s="4" customFormat="1" ht="16.8" x14ac:dyDescent="0.4">
      <c r="B15" s="244"/>
      <c r="C15" s="484"/>
      <c r="D15" s="613"/>
      <c r="E15" s="484"/>
      <c r="F15" s="485" t="str">
        <f>IFERROR(IF(D15="litres", E15*INDEX(Fuel_Densities,MATCH(C15,Fuels_for_Densities,0))/1000*INDEX(Fuel_LHV,MATCH(C15,Fuels_for_LHV,0))/1000*INDEX(Fuel_EFs,MATCH(C15,Fuels_for_EF,0)),IF(D15="kg", E15*INDEX(Fuel_LHV,MATCH(C15,Fuels_for_LHV,0))/1000
*INDEX(Fuel_EFs,MATCH(C15,Fuels_for_EF,0)),IF(D15="tonnes", E15*INDEX(Fuel_LHV,MATCH(C15,Fuels_for_LHV,0))*INDEX(Fuel_EFs,MATCH(C15,Fuels_for_EF,0)),""))), "")</f>
        <v/>
      </c>
      <c r="G15" s="20"/>
      <c r="H15" s="41"/>
      <c r="I15" s="448" t="str">
        <f>IF(E15&gt;0, $C15, "")</f>
        <v/>
      </c>
      <c r="J15" s="614" t="str">
        <f>IF(E15&gt;0, IFERROR(F15*INDEX(Fuel_EFs,MATCH(C15,Fuels_for_EF,0))/('Final conversion'!$D$11), 0), "")</f>
        <v/>
      </c>
      <c r="K15" s="37"/>
      <c r="L15" s="35"/>
    </row>
    <row r="16" spans="1:15" s="4" customFormat="1" ht="16.8" x14ac:dyDescent="0.4">
      <c r="B16" s="20"/>
      <c r="C16" s="484"/>
      <c r="D16" s="613"/>
      <c r="E16" s="484"/>
      <c r="F16" s="485" t="str">
        <f>IFERROR(IF(D16="litres", E16*INDEX(Fuel_Densities,MATCH(C16,Fuels_for_Densities,0))/1000*INDEX(Fuel_LHV,MATCH(C16,Fuels_for_LHV,0))/1000*INDEX(Fuel_EFs,MATCH(C16,Fuels_for_EF,0)),IF(D16="kg", E16*INDEX(Fuel_LHV,MATCH(C16,Fuels_for_LHV,0))/1000
*INDEX(Fuel_EFs,MATCH(C16,Fuels_for_EF,0)),IF(D16="tonnes", E16*INDEX(Fuel_LHV,MATCH(C16,Fuels_for_LHV,0))*INDEX(Fuel_EFs,MATCH(C16,Fuels_for_EF,0)),""))), "")</f>
        <v/>
      </c>
      <c r="G16" s="244"/>
      <c r="H16" s="41"/>
      <c r="I16" s="448" t="str">
        <f>IF(E16&gt;0, $C16, "")</f>
        <v/>
      </c>
      <c r="J16" s="614" t="str">
        <f>IF(E16&gt;0, IFERROR(F16*INDEX(Fuel_EFs,MATCH(C16,Fuels_for_EF,0))/('Final conversion'!$D$11), 0), "")</f>
        <v/>
      </c>
      <c r="K16" s="37"/>
      <c r="L16" s="35"/>
    </row>
    <row r="17" spans="1:15" s="4" customFormat="1" ht="16.8" x14ac:dyDescent="0.4">
      <c r="B17" s="244"/>
      <c r="C17" s="484"/>
      <c r="D17" s="613"/>
      <c r="E17" s="484"/>
      <c r="F17" s="485" t="str">
        <f>IFERROR(IF(D17="litres", E17*INDEX(Fuel_Densities,MATCH(C17,Fuels_for_Densities,0))/1000*INDEX(Fuel_LHV,MATCH(C17,Fuels_for_LHV,0))/1000*INDEX(Fuel_EFs,MATCH(C17,Fuels_for_EF,0)),IF(D17="kg", E17*INDEX(Fuel_LHV,MATCH(C17,Fuels_for_LHV,0))/1000
*INDEX(Fuel_EFs,MATCH(C17,Fuels_for_EF,0)),IF(D17="tonnes", E17*INDEX(Fuel_LHV,MATCH(C17,Fuels_for_LHV,0))*INDEX(Fuel_EFs,MATCH(C17,Fuels_for_EF,0)),""))), "")</f>
        <v/>
      </c>
      <c r="G17" s="244"/>
      <c r="H17" s="41"/>
      <c r="I17" s="448" t="str">
        <f>IF(E17&gt;0, $C17, "")</f>
        <v/>
      </c>
      <c r="J17" s="614" t="str">
        <f>IF(E17&gt;0, IFERROR(F17*INDEX(Fuel_EFs,MATCH(C17,Fuels_for_EF,0))/('Final conversion'!$D$11), 0), "")</f>
        <v/>
      </c>
      <c r="K17" s="37"/>
      <c r="L17" s="35"/>
    </row>
    <row r="18" spans="1:15" s="4" customFormat="1" ht="16.8" x14ac:dyDescent="0.4">
      <c r="B18" s="244"/>
      <c r="C18" s="484"/>
      <c r="D18" s="613"/>
      <c r="E18" s="484"/>
      <c r="F18" s="485" t="str">
        <f>IFERROR(IF(D18="litres", E18*INDEX(Fuel_Densities,MATCH(C18,Fuels_for_Densities,0))/1000*INDEX(Fuel_LHV,MATCH(C18,Fuels_for_LHV,0))/1000*INDEX(Fuel_EFs,MATCH(C18,Fuels_for_EF,0)),IF(D18="kg", E18*INDEX(Fuel_LHV,MATCH(C18,Fuels_for_LHV,0))/1000
*INDEX(Fuel_EFs,MATCH(C18,Fuels_for_EF,0)),IF(D18="tonnes", E18*INDEX(Fuel_LHV,MATCH(C18,Fuels_for_LHV,0))*INDEX(Fuel_EFs,MATCH(C18,Fuels_for_EF,0)),""))), "")</f>
        <v/>
      </c>
      <c r="G18" s="244"/>
      <c r="H18" s="41"/>
      <c r="I18" s="448" t="str">
        <f>IF(E18&gt;0, $C18, "")</f>
        <v/>
      </c>
      <c r="J18" s="614" t="str">
        <f>IF(E18&gt;0, IFERROR(F18*INDEX(Fuel_EFs,MATCH(C18,Fuels_for_EF,0))/('Final conversion'!$D$11), 0), "")</f>
        <v/>
      </c>
      <c r="K18" s="37"/>
      <c r="L18" s="35"/>
    </row>
    <row r="19" spans="1:15" s="4" customFormat="1" ht="16.8" x14ac:dyDescent="0.4">
      <c r="B19" s="20"/>
      <c r="C19" s="487"/>
      <c r="D19" s="613"/>
      <c r="E19" s="145"/>
      <c r="F19" s="485" t="str">
        <f>IFERROR(IF(D19="litres", E19*INDEX(Fuel_Densities,MATCH(C19,Fuels_for_Densities,0))/1000*INDEX(Fuel_LHV,MATCH(C19,Fuels_for_LHV,0))/1000*INDEX(Fuel_EFs,MATCH(C19,Fuels_for_EF,0)),IF(D19="kg", E19*INDEX(Fuel_LHV,MATCH(C19,Fuels_for_LHV,0))/1000
*INDEX(Fuel_EFs,MATCH(C19,Fuels_for_EF,0)),IF(D19="tonnes", E19*INDEX(Fuel_LHV,MATCH(C19,Fuels_for_LHV,0))*INDEX(Fuel_EFs,MATCH(C19,Fuels_for_EF,0)),""))), "")</f>
        <v/>
      </c>
      <c r="G19" s="244"/>
      <c r="H19" s="41"/>
      <c r="I19" s="448" t="str">
        <f>IF(E19&gt;0, $C19, "")</f>
        <v/>
      </c>
      <c r="J19" s="614" t="str">
        <f>IF(E19&gt;0, IFERROR(F19*INDEX(Fuel_EFs,MATCH(C19,Fuels_for_EF,0))/('Final conversion'!$D$11), 0), "")</f>
        <v/>
      </c>
      <c r="K19" s="37"/>
      <c r="L19" s="35"/>
    </row>
    <row r="20" spans="1:15" s="4" customFormat="1" ht="16.8" x14ac:dyDescent="0.4">
      <c r="B20" s="20"/>
      <c r="C20" s="489"/>
      <c r="D20" s="610"/>
      <c r="E20" s="489"/>
      <c r="F20" s="610"/>
      <c r="G20" s="21"/>
      <c r="H20" s="46"/>
      <c r="I20" s="58"/>
      <c r="J20" s="58"/>
      <c r="K20" s="59"/>
      <c r="L20" s="35"/>
    </row>
    <row r="21" spans="1:15" s="4" customFormat="1" ht="16.8" x14ac:dyDescent="0.4">
      <c r="B21" s="28"/>
      <c r="C21" s="533"/>
      <c r="D21" s="533"/>
      <c r="E21" s="533"/>
      <c r="F21" s="533"/>
      <c r="G21" s="29"/>
      <c r="H21" s="29"/>
      <c r="I21" s="29"/>
      <c r="J21" s="29"/>
      <c r="K21" s="29"/>
      <c r="L21" s="60"/>
    </row>
    <row r="22" spans="1:15" s="4" customFormat="1" ht="16.8" x14ac:dyDescent="0.4">
      <c r="B22" s="21"/>
      <c r="C22" s="489"/>
      <c r="D22" s="489"/>
      <c r="E22" s="489"/>
      <c r="F22" s="489"/>
      <c r="G22" s="21"/>
      <c r="H22" s="21"/>
      <c r="I22" s="21"/>
      <c r="J22" s="21"/>
      <c r="K22" s="21"/>
      <c r="L22" s="21"/>
    </row>
    <row r="23" spans="1:15" s="157" customFormat="1" ht="15" x14ac:dyDescent="0.35">
      <c r="A23" s="21"/>
      <c r="B23" s="21"/>
      <c r="C23" s="21"/>
      <c r="D23" s="21"/>
      <c r="E23" s="21"/>
      <c r="F23" s="21"/>
      <c r="G23" s="21"/>
      <c r="H23" s="21"/>
      <c r="I23" s="21"/>
      <c r="J23" s="21"/>
      <c r="K23" s="21"/>
      <c r="L23" s="21"/>
      <c r="M23" s="21"/>
      <c r="N23" s="21"/>
      <c r="O23" s="21"/>
    </row>
    <row r="24" spans="1:15" s="157" customFormat="1" ht="15" x14ac:dyDescent="0.35">
      <c r="A24" s="21"/>
      <c r="B24" s="21"/>
      <c r="C24" s="21"/>
      <c r="D24" s="21"/>
      <c r="E24" s="21"/>
      <c r="F24" s="21"/>
      <c r="G24" s="21"/>
      <c r="H24" s="21"/>
      <c r="I24" s="21"/>
      <c r="J24" s="21"/>
      <c r="K24" s="21"/>
      <c r="L24" s="21"/>
      <c r="M24" s="21"/>
      <c r="N24" s="21"/>
      <c r="O24" s="21"/>
    </row>
    <row r="25" spans="1:15" s="239" customFormat="1" ht="3.75" customHeight="1" thickBot="1" x14ac:dyDescent="0.4"/>
    <row r="26" spans="1:15" s="171" customFormat="1" ht="15" x14ac:dyDescent="0.35"/>
    <row r="27" spans="1:15" s="171" customFormat="1" ht="15" x14ac:dyDescent="0.35"/>
    <row r="28" spans="1:15" ht="15" x14ac:dyDescent="0.35">
      <c r="A28" s="171"/>
      <c r="B28" s="171"/>
      <c r="C28" s="171"/>
      <c r="D28" s="171"/>
      <c r="E28" s="171"/>
      <c r="F28" s="171"/>
      <c r="G28" s="171"/>
      <c r="H28" s="171"/>
      <c r="I28" s="171"/>
      <c r="J28" s="171"/>
      <c r="K28" s="171"/>
      <c r="L28" s="171"/>
      <c r="M28" s="171"/>
      <c r="N28" s="171"/>
      <c r="O28" s="171"/>
    </row>
  </sheetData>
  <sheetProtection algorithmName="SHA-512" hashValue="f2Gzx02lLGd1x8366mw+NLvNEntREYItH6OsNXJtlWePwIa5IHSgYhAGDpKs+9agCqNRorXFbwk696UccLi6WA==" saltValue="i9wmKi3BN0lIuGvmgo9hIw==" spinCount="100000" sheet="1" objects="1" scenarios="1"/>
  <mergeCells count="3">
    <mergeCell ref="B8:L8"/>
    <mergeCell ref="D13:E13"/>
    <mergeCell ref="B6:L6"/>
  </mergeCells>
  <conditionalFormatting sqref="A1:XFD4 A25:XFD27 A8:XFD8">
    <cfRule type="cellIs" dxfId="2708" priority="72" operator="equal">
      <formula>"Insert unit"</formula>
    </cfRule>
    <cfRule type="cellIs" dxfId="2707" priority="73" operator="equal">
      <formula>"Insert data"</formula>
    </cfRule>
  </conditionalFormatting>
  <conditionalFormatting sqref="L13:XFD22 A14:B22 A13:D13 C14:F14">
    <cfRule type="cellIs" dxfId="2706" priority="69" operator="equal">
      <formula>"Warning - crop dry matter content higher than feedstock dry matter content"</formula>
    </cfRule>
    <cfRule type="cellIs" dxfId="2705" priority="70" operator="equal">
      <formula>"Insert unit"</formula>
    </cfRule>
    <cfRule type="cellIs" dxfId="2704" priority="71" operator="equal">
      <formula>"Insert data"</formula>
    </cfRule>
  </conditionalFormatting>
  <conditionalFormatting sqref="C13">
    <cfRule type="cellIs" dxfId="2703" priority="66" operator="equal">
      <formula>"Warning - crop dry matter content higher than feedstock dry matter content"</formula>
    </cfRule>
    <cfRule type="cellIs" dxfId="2702" priority="67" operator="equal">
      <formula>"Insert unit"</formula>
    </cfRule>
    <cfRule type="cellIs" dxfId="2701" priority="68" operator="equal">
      <formula>"Insert data"</formula>
    </cfRule>
  </conditionalFormatting>
  <conditionalFormatting sqref="G14">
    <cfRule type="cellIs" dxfId="2700" priority="63" operator="equal">
      <formula>"Warning - crop dry matter content higher than feedstock dry matter content"</formula>
    </cfRule>
    <cfRule type="cellIs" dxfId="2699" priority="64" operator="equal">
      <formula>"Insert unit"</formula>
    </cfRule>
    <cfRule type="cellIs" dxfId="2698" priority="65" operator="equal">
      <formula>"Insert data"</formula>
    </cfRule>
  </conditionalFormatting>
  <conditionalFormatting sqref="D13">
    <cfRule type="cellIs" dxfId="2697" priority="60" operator="equal">
      <formula>"Warning - crop dry matter content higher than feedstock dry matter content"</formula>
    </cfRule>
    <cfRule type="cellIs" dxfId="2696" priority="61" operator="equal">
      <formula>"Insert unit"</formula>
    </cfRule>
    <cfRule type="cellIs" dxfId="2695" priority="62" operator="equal">
      <formula>"Insert data"</formula>
    </cfRule>
  </conditionalFormatting>
  <conditionalFormatting sqref="C15:F22">
    <cfRule type="cellIs" dxfId="2694" priority="54" operator="equal">
      <formula>"Warning - crop dry matter content higher than feedstock dry matter content"</formula>
    </cfRule>
    <cfRule type="cellIs" dxfId="2693" priority="55" operator="equal">
      <formula>"Insert unit"</formula>
    </cfRule>
    <cfRule type="cellIs" dxfId="2692" priority="56" operator="equal">
      <formula>"Insert data"</formula>
    </cfRule>
  </conditionalFormatting>
  <conditionalFormatting sqref="C15:F22">
    <cfRule type="cellIs" dxfId="2691" priority="51" operator="equal">
      <formula>"Warning - crop dry matter content higher than feedstock dry matter content"</formula>
    </cfRule>
    <cfRule type="cellIs" dxfId="2690" priority="52" operator="equal">
      <formula>"Insert unit"</formula>
    </cfRule>
    <cfRule type="cellIs" dxfId="2689" priority="53" operator="equal">
      <formula>"Insert data"</formula>
    </cfRule>
  </conditionalFormatting>
  <conditionalFormatting sqref="H10:K10 H14:I14 K14">
    <cfRule type="cellIs" dxfId="2688" priority="43" operator="equal">
      <formula>"Insert unit"</formula>
    </cfRule>
    <cfRule type="cellIs" dxfId="2687" priority="44" operator="equal">
      <formula>"Insert data"</formula>
    </cfRule>
  </conditionalFormatting>
  <conditionalFormatting sqref="J14">
    <cfRule type="cellIs" dxfId="2686" priority="40" operator="equal">
      <formula>"Insert unit"</formula>
    </cfRule>
    <cfRule type="cellIs" dxfId="2685" priority="41" operator="equal">
      <formula>"Insert data"</formula>
    </cfRule>
  </conditionalFormatting>
  <conditionalFormatting sqref="H14:K14 H10:K10">
    <cfRule type="cellIs" dxfId="2684" priority="38" operator="equal">
      <formula>"Insert yield"</formula>
    </cfRule>
  </conditionalFormatting>
  <conditionalFormatting sqref="I15:I19">
    <cfRule type="cellIs" dxfId="2683" priority="34" operator="equal">
      <formula>"Insert unit"</formula>
    </cfRule>
    <cfRule type="cellIs" dxfId="2682" priority="35" operator="equal">
      <formula>"Insert data"</formula>
    </cfRule>
  </conditionalFormatting>
  <conditionalFormatting sqref="I15:J19">
    <cfRule type="cellIs" dxfId="2681" priority="36" operator="equal">
      <formula>"Insert unit"</formula>
    </cfRule>
    <cfRule type="cellIs" dxfId="2680" priority="37" operator="equal">
      <formula>"Insert data"</formula>
    </cfRule>
  </conditionalFormatting>
  <conditionalFormatting sqref="I12">
    <cfRule type="cellIs" dxfId="2679" priority="31" operator="equal">
      <formula>"Insert unit"</formula>
    </cfRule>
    <cfRule type="cellIs" dxfId="2678" priority="32" operator="equal">
      <formula>"Insert data"</formula>
    </cfRule>
  </conditionalFormatting>
  <conditionalFormatting sqref="I11:J12">
    <cfRule type="cellIs" dxfId="2677" priority="33" operator="equal">
      <formula>"Insert unit"</formula>
    </cfRule>
  </conditionalFormatting>
  <conditionalFormatting sqref="H10:K10 H14:K14">
    <cfRule type="expression" dxfId="2676" priority="2097">
      <formula>#REF!="No"</formula>
    </cfRule>
  </conditionalFormatting>
  <dataValidations count="2">
    <dataValidation type="list" allowBlank="1" showInputMessage="1" showErrorMessage="1" sqref="C15:C19" xr:uid="{E6CBF034-D0AA-4474-969C-8C2923B9E6AA}">
      <formula1>Fuels_for_EF</formula1>
    </dataValidation>
    <dataValidation type="list" allowBlank="1" showInputMessage="1" showErrorMessage="1" sqref="D15:D19" xr:uid="{546157DE-5A53-4ACB-81FD-9F04EA5E6D7E}">
      <formula1>"litres, kg, tonnes, kWh"</formula1>
    </dataValidation>
  </dataValidations>
  <pageMargins left="0.7" right="0.7" top="0.75" bottom="0.75" header="0.3" footer="0.3"/>
  <headerFooter>
    <oddHeader>&amp;C&amp;"Calibri"&amp;10&amp;K000000 OFFICIAL&amp;1#_x000D_</oddHeader>
    <oddFooter>&amp;C_x000D_&amp;1#&amp;"Calibri"&amp;10&amp;K000000 OFFICIAL</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AT414"/>
  <sheetViews>
    <sheetView zoomScale="71" zoomScaleNormal="85" workbookViewId="0">
      <selection activeCell="I220" sqref="I220"/>
    </sheetView>
  </sheetViews>
  <sheetFormatPr defaultColWidth="9.109375" defaultRowHeight="15" outlineLevelRow="1" x14ac:dyDescent="0.35"/>
  <cols>
    <col min="1" max="1" width="3.5546875" style="171" customWidth="1"/>
    <col min="2" max="2" width="2.6640625" style="171" customWidth="1"/>
    <col min="3" max="3" width="52.5546875" style="171" customWidth="1"/>
    <col min="4" max="4" width="37.44140625" style="171" customWidth="1"/>
    <col min="5" max="5" width="57.88671875" style="171" customWidth="1"/>
    <col min="6" max="6" width="2.6640625" style="171" customWidth="1"/>
    <col min="7" max="7" width="5.6640625" style="171" customWidth="1"/>
    <col min="8" max="8" width="2.6640625" style="171" customWidth="1"/>
    <col min="9" max="9" width="33.6640625" style="171" customWidth="1"/>
    <col min="10" max="10" width="21.109375" style="171" customWidth="1"/>
    <col min="11" max="11" width="16.109375" style="171" customWidth="1"/>
    <col min="12" max="12" width="17.44140625" style="171" bestFit="1" customWidth="1"/>
    <col min="13" max="13" width="10.5546875" style="171" customWidth="1"/>
    <col min="14" max="14" width="11.88671875" style="171" customWidth="1"/>
    <col min="15" max="15" width="46.5546875" style="171" customWidth="1"/>
    <col min="16" max="16" width="17.6640625" style="171" customWidth="1"/>
    <col min="17" max="17" width="32.6640625" style="171" customWidth="1"/>
    <col min="18" max="18" width="20.33203125" style="171" customWidth="1"/>
    <col min="19" max="19" width="49.109375" style="171" customWidth="1"/>
    <col min="20" max="20" width="4" style="171" hidden="1" customWidth="1"/>
    <col min="21" max="21" width="4.33203125" style="171" customWidth="1"/>
    <col min="22" max="22" width="9.109375" style="171"/>
    <col min="23" max="23" width="37.44140625" style="171" customWidth="1"/>
    <col min="24" max="24" width="9.88671875" style="171" customWidth="1"/>
    <col min="25" max="16384" width="9.109375" style="171"/>
  </cols>
  <sheetData>
    <row r="1" spans="1:46" ht="24.75" customHeight="1" x14ac:dyDescent="0.4">
      <c r="A1" s="158"/>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row>
    <row r="2" spans="1:46" ht="24.75" customHeight="1" x14ac:dyDescent="0.4">
      <c r="A2" s="158"/>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row>
    <row r="3" spans="1:46" s="159" customFormat="1" ht="24.75" customHeight="1" x14ac:dyDescent="0.35"/>
    <row r="4" spans="1:46" s="190" customFormat="1" ht="24.75" customHeight="1" x14ac:dyDescent="0.35">
      <c r="C4" s="197"/>
    </row>
    <row r="5" spans="1:46" s="1" customFormat="1" x14ac:dyDescent="0.35"/>
    <row r="6" spans="1:46" s="1" customFormat="1" ht="34.5" customHeight="1" x14ac:dyDescent="0.4">
      <c r="B6" s="728" t="s">
        <v>456</v>
      </c>
      <c r="C6" s="728"/>
      <c r="D6" s="728"/>
      <c r="E6" s="728"/>
      <c r="F6" s="728"/>
    </row>
    <row r="7" spans="1:46" s="1" customFormat="1" x14ac:dyDescent="0.35"/>
    <row r="8" spans="1:46" s="96" customFormat="1" ht="19.2" x14ac:dyDescent="0.45">
      <c r="B8" s="754" t="s">
        <v>457</v>
      </c>
      <c r="C8" s="755"/>
      <c r="D8" s="755"/>
      <c r="E8" s="755"/>
      <c r="F8" s="756"/>
      <c r="H8" s="754" t="s">
        <v>458</v>
      </c>
      <c r="I8" s="755"/>
      <c r="J8" s="755"/>
      <c r="K8" s="755"/>
      <c r="L8" s="755"/>
      <c r="M8" s="755"/>
      <c r="N8" s="755"/>
      <c r="O8" s="755"/>
      <c r="P8" s="756"/>
    </row>
    <row r="9" spans="1:46" s="1" customFormat="1" outlineLevel="1" x14ac:dyDescent="0.35">
      <c r="B9" s="51"/>
      <c r="F9" s="54"/>
      <c r="H9" s="51"/>
      <c r="P9" s="54"/>
    </row>
    <row r="10" spans="1:46" s="1" customFormat="1" outlineLevel="1" x14ac:dyDescent="0.35">
      <c r="B10" s="51"/>
      <c r="C10" s="811" t="s">
        <v>459</v>
      </c>
      <c r="D10" s="776"/>
      <c r="E10" s="777"/>
      <c r="F10" s="54"/>
      <c r="H10" s="51"/>
      <c r="I10" s="812" t="s">
        <v>460</v>
      </c>
      <c r="J10" s="812"/>
      <c r="K10" s="812"/>
      <c r="L10" s="812"/>
      <c r="M10" s="812"/>
      <c r="N10" s="812"/>
      <c r="O10" s="812"/>
      <c r="P10" s="54"/>
    </row>
    <row r="11" spans="1:46" s="1" customFormat="1" outlineLevel="1" x14ac:dyDescent="0.35">
      <c r="B11" s="51"/>
      <c r="C11" s="165" t="s">
        <v>160</v>
      </c>
      <c r="D11" s="165" t="s">
        <v>461</v>
      </c>
      <c r="E11" s="165" t="s">
        <v>188</v>
      </c>
      <c r="F11" s="54"/>
      <c r="H11" s="51"/>
      <c r="I11" s="165" t="s">
        <v>462</v>
      </c>
      <c r="J11" s="165" t="s">
        <v>463</v>
      </c>
      <c r="K11" s="165" t="s">
        <v>464</v>
      </c>
      <c r="L11" s="165" t="s">
        <v>465</v>
      </c>
      <c r="M11" s="165" t="s">
        <v>466</v>
      </c>
      <c r="N11" s="165" t="s">
        <v>467</v>
      </c>
      <c r="O11" s="165" t="s">
        <v>188</v>
      </c>
      <c r="P11" s="54"/>
    </row>
    <row r="12" spans="1:46" s="1" customFormat="1" outlineLevel="1" x14ac:dyDescent="0.35">
      <c r="B12" s="51"/>
      <c r="C12" s="9" t="s">
        <v>166</v>
      </c>
      <c r="D12" s="128">
        <v>43.1</v>
      </c>
      <c r="E12" s="9" t="s">
        <v>468</v>
      </c>
      <c r="F12" s="54"/>
      <c r="H12" s="51"/>
      <c r="I12" s="9" t="s">
        <v>469</v>
      </c>
      <c r="J12" s="103">
        <v>0.34</v>
      </c>
      <c r="K12" s="103"/>
      <c r="L12" s="103"/>
      <c r="M12" s="103"/>
      <c r="N12" s="103"/>
      <c r="O12" s="103" t="s">
        <v>470</v>
      </c>
      <c r="P12" s="54"/>
    </row>
    <row r="13" spans="1:46" s="1" customFormat="1" outlineLevel="1" x14ac:dyDescent="0.35">
      <c r="B13" s="51"/>
      <c r="C13" s="9" t="s">
        <v>471</v>
      </c>
      <c r="D13" s="128">
        <v>40.5</v>
      </c>
      <c r="E13" s="9" t="s">
        <v>468</v>
      </c>
      <c r="F13" s="54"/>
      <c r="H13" s="51"/>
      <c r="I13" s="9" t="s">
        <v>472</v>
      </c>
      <c r="J13" s="103">
        <v>0.21</v>
      </c>
      <c r="K13" s="103"/>
      <c r="L13" s="103"/>
      <c r="M13" s="103">
        <v>0.6</v>
      </c>
      <c r="N13" s="103"/>
      <c r="O13" s="103" t="s">
        <v>470</v>
      </c>
      <c r="P13" s="54"/>
    </row>
    <row r="14" spans="1:46" s="1" customFormat="1" outlineLevel="1" x14ac:dyDescent="0.35">
      <c r="B14" s="51"/>
      <c r="C14" s="9" t="s">
        <v>473</v>
      </c>
      <c r="D14" s="128">
        <v>40.5</v>
      </c>
      <c r="E14" s="9" t="s">
        <v>468</v>
      </c>
      <c r="F14" s="54"/>
      <c r="H14" s="51"/>
      <c r="I14" s="9" t="s">
        <v>474</v>
      </c>
      <c r="J14" s="103">
        <v>0.21</v>
      </c>
      <c r="K14" s="103"/>
      <c r="L14" s="103"/>
      <c r="M14" s="103">
        <v>0.6</v>
      </c>
      <c r="N14" s="103"/>
      <c r="O14" s="103" t="s">
        <v>470</v>
      </c>
      <c r="P14" s="54"/>
    </row>
    <row r="15" spans="1:46" s="1" customFormat="1" outlineLevel="1" x14ac:dyDescent="0.35">
      <c r="B15" s="51"/>
      <c r="C15" s="9" t="s">
        <v>475</v>
      </c>
      <c r="D15" s="128">
        <v>43.2</v>
      </c>
      <c r="E15" s="9" t="s">
        <v>468</v>
      </c>
      <c r="F15" s="54"/>
      <c r="H15" s="51"/>
      <c r="I15" s="9" t="s">
        <v>476</v>
      </c>
      <c r="J15" s="103">
        <v>0.82</v>
      </c>
      <c r="K15" s="103"/>
      <c r="L15" s="103"/>
      <c r="M15" s="103"/>
      <c r="N15" s="103"/>
      <c r="O15" s="103" t="s">
        <v>470</v>
      </c>
      <c r="P15" s="54"/>
    </row>
    <row r="16" spans="1:46" s="1" customFormat="1" outlineLevel="1" x14ac:dyDescent="0.35">
      <c r="B16" s="51"/>
      <c r="C16" s="9" t="s">
        <v>477</v>
      </c>
      <c r="D16" s="128">
        <v>50</v>
      </c>
      <c r="E16" s="9" t="s">
        <v>468</v>
      </c>
      <c r="F16" s="54"/>
      <c r="H16" s="51"/>
      <c r="I16" s="9" t="s">
        <v>478</v>
      </c>
      <c r="J16" s="103">
        <v>0.27</v>
      </c>
      <c r="K16" s="103"/>
      <c r="L16" s="103"/>
      <c r="M16" s="103"/>
      <c r="N16" s="103"/>
      <c r="O16" s="103" t="s">
        <v>470</v>
      </c>
      <c r="P16" s="54"/>
    </row>
    <row r="17" spans="2:16" s="1" customFormat="1" outlineLevel="1" x14ac:dyDescent="0.35">
      <c r="B17" s="51"/>
      <c r="C17" s="9" t="s">
        <v>479</v>
      </c>
      <c r="D17" s="128">
        <v>50</v>
      </c>
      <c r="E17" s="9" t="s">
        <v>468</v>
      </c>
      <c r="F17" s="54"/>
      <c r="H17" s="51"/>
      <c r="I17" s="9" t="s">
        <v>480</v>
      </c>
      <c r="J17" s="103">
        <v>0.15</v>
      </c>
      <c r="K17" s="103"/>
      <c r="L17" s="103"/>
      <c r="M17" s="103"/>
      <c r="N17" s="103"/>
      <c r="O17" s="103" t="s">
        <v>470</v>
      </c>
      <c r="P17" s="54"/>
    </row>
    <row r="18" spans="2:16" s="1" customFormat="1" outlineLevel="1" x14ac:dyDescent="0.35">
      <c r="B18" s="51"/>
      <c r="C18" s="9" t="s">
        <v>481</v>
      </c>
      <c r="D18" s="128">
        <v>26.81</v>
      </c>
      <c r="E18" s="9" t="s">
        <v>468</v>
      </c>
      <c r="F18" s="54"/>
      <c r="H18" s="51"/>
      <c r="I18" s="9" t="s">
        <v>482</v>
      </c>
      <c r="J18" s="103">
        <v>0.32</v>
      </c>
      <c r="K18" s="103"/>
      <c r="L18" s="103"/>
      <c r="M18" s="103"/>
      <c r="N18" s="103"/>
      <c r="O18" s="103" t="s">
        <v>470</v>
      </c>
      <c r="P18" s="54"/>
    </row>
    <row r="19" spans="2:16" s="1" customFormat="1" outlineLevel="1" x14ac:dyDescent="0.35">
      <c r="B19" s="51"/>
      <c r="C19" s="9" t="s">
        <v>483</v>
      </c>
      <c r="D19" s="128">
        <v>44</v>
      </c>
      <c r="E19" s="9" t="s">
        <v>468</v>
      </c>
      <c r="F19" s="54"/>
      <c r="H19" s="51"/>
      <c r="I19" s="9" t="s">
        <v>484</v>
      </c>
      <c r="J19" s="103">
        <v>1</v>
      </c>
      <c r="K19" s="103"/>
      <c r="L19" s="103"/>
      <c r="M19" s="103"/>
      <c r="N19" s="103"/>
      <c r="O19" s="9" t="s">
        <v>485</v>
      </c>
      <c r="P19" s="54"/>
    </row>
    <row r="20" spans="2:16" s="1" customFormat="1" outlineLevel="1" x14ac:dyDescent="0.35">
      <c r="B20" s="51"/>
      <c r="C20" s="9" t="s">
        <v>486</v>
      </c>
      <c r="D20" s="128">
        <v>19.899999999999999</v>
      </c>
      <c r="E20" s="9" t="s">
        <v>468</v>
      </c>
      <c r="F20" s="54"/>
      <c r="H20" s="51"/>
      <c r="I20" s="313"/>
      <c r="J20" s="314"/>
      <c r="K20" s="314"/>
      <c r="L20" s="314"/>
      <c r="M20" s="314"/>
      <c r="N20" s="314"/>
      <c r="O20" s="314"/>
      <c r="P20" s="54"/>
    </row>
    <row r="21" spans="2:16" s="1" customFormat="1" outlineLevel="1" x14ac:dyDescent="0.35">
      <c r="B21" s="51"/>
      <c r="C21" s="9" t="s">
        <v>366</v>
      </c>
      <c r="D21" s="128">
        <f>(37.5+((43-37.5)/2))/(D37)</f>
        <v>50.3125</v>
      </c>
      <c r="E21" s="9" t="s">
        <v>487</v>
      </c>
      <c r="F21" s="54"/>
      <c r="H21" s="51"/>
      <c r="I21" s="324"/>
      <c r="J21" s="325"/>
      <c r="K21" s="325"/>
      <c r="L21" s="325"/>
      <c r="M21" s="325"/>
      <c r="N21" s="325"/>
      <c r="O21" s="325"/>
      <c r="P21" s="54"/>
    </row>
    <row r="22" spans="2:16" s="1" customFormat="1" outlineLevel="1" x14ac:dyDescent="0.35">
      <c r="B22" s="51"/>
      <c r="C22" s="330" t="s">
        <v>488</v>
      </c>
      <c r="D22" s="9"/>
      <c r="E22" s="9"/>
      <c r="F22" s="54"/>
      <c r="H22" s="51"/>
      <c r="I22" s="313"/>
      <c r="J22" s="314"/>
      <c r="K22" s="314"/>
      <c r="L22" s="314"/>
      <c r="M22" s="314"/>
      <c r="N22" s="314"/>
      <c r="O22" s="314"/>
      <c r="P22" s="54"/>
    </row>
    <row r="23" spans="2:16" s="1" customFormat="1" outlineLevel="1" x14ac:dyDescent="0.35">
      <c r="B23" s="51"/>
      <c r="F23" s="54"/>
      <c r="H23" s="51"/>
      <c r="I23" s="324"/>
      <c r="J23" s="325"/>
      <c r="K23" s="325"/>
      <c r="L23" s="325"/>
      <c r="M23" s="325"/>
      <c r="N23" s="325"/>
      <c r="O23" s="325"/>
      <c r="P23" s="54"/>
    </row>
    <row r="24" spans="2:16" s="1" customFormat="1" outlineLevel="1" x14ac:dyDescent="0.35">
      <c r="B24" s="51"/>
      <c r="C24" s="811" t="s">
        <v>489</v>
      </c>
      <c r="D24" s="776"/>
      <c r="E24" s="777"/>
      <c r="F24" s="54"/>
      <c r="H24" s="51"/>
      <c r="I24" s="313"/>
      <c r="J24" s="314"/>
      <c r="K24" s="314"/>
      <c r="L24" s="314"/>
      <c r="M24" s="314"/>
      <c r="N24" s="314"/>
      <c r="O24" s="314"/>
      <c r="P24" s="54"/>
    </row>
    <row r="25" spans="2:16" s="1" customFormat="1" ht="15.6" outlineLevel="1" x14ac:dyDescent="0.35">
      <c r="B25" s="51"/>
      <c r="C25" s="165" t="s">
        <v>160</v>
      </c>
      <c r="D25" s="165" t="s">
        <v>490</v>
      </c>
      <c r="E25" s="165" t="s">
        <v>188</v>
      </c>
      <c r="F25" s="54"/>
      <c r="H25" s="51"/>
      <c r="P25" s="54"/>
    </row>
    <row r="26" spans="2:16" s="1" customFormat="1" outlineLevel="1" x14ac:dyDescent="0.35">
      <c r="B26" s="51"/>
      <c r="C26" s="9" t="s">
        <v>166</v>
      </c>
      <c r="D26" s="9">
        <v>832</v>
      </c>
      <c r="E26" s="9" t="s">
        <v>468</v>
      </c>
      <c r="F26" s="54"/>
      <c r="H26" s="51"/>
      <c r="I26" s="811" t="s">
        <v>491</v>
      </c>
      <c r="J26" s="776"/>
      <c r="K26" s="776"/>
      <c r="L26" s="776"/>
      <c r="M26" s="776"/>
      <c r="N26" s="776"/>
      <c r="O26" s="777"/>
      <c r="P26" s="54"/>
    </row>
    <row r="27" spans="2:16" s="1" customFormat="1" outlineLevel="1" x14ac:dyDescent="0.35">
      <c r="B27" s="51"/>
      <c r="C27" s="9" t="s">
        <v>471</v>
      </c>
      <c r="D27" s="9">
        <v>970</v>
      </c>
      <c r="E27" s="9" t="s">
        <v>468</v>
      </c>
      <c r="F27" s="54"/>
      <c r="H27" s="51"/>
      <c r="I27" s="165" t="s">
        <v>462</v>
      </c>
      <c r="J27" s="165" t="s">
        <v>463</v>
      </c>
      <c r="K27" s="165" t="s">
        <v>492</v>
      </c>
      <c r="L27" s="165" t="s">
        <v>493</v>
      </c>
      <c r="M27" s="165" t="s">
        <v>494</v>
      </c>
      <c r="N27" s="165" t="s">
        <v>467</v>
      </c>
      <c r="O27" s="165" t="s">
        <v>188</v>
      </c>
      <c r="P27" s="54"/>
    </row>
    <row r="28" spans="2:16" s="1" customFormat="1" outlineLevel="1" x14ac:dyDescent="0.35">
      <c r="B28" s="51"/>
      <c r="C28" s="9" t="s">
        <v>473</v>
      </c>
      <c r="D28" s="9">
        <v>970</v>
      </c>
      <c r="E28" s="9" t="s">
        <v>468</v>
      </c>
      <c r="F28" s="54"/>
      <c r="H28" s="51"/>
      <c r="I28" s="9" t="s">
        <v>495</v>
      </c>
      <c r="J28" s="223">
        <v>6.0000000000000001E-3</v>
      </c>
      <c r="K28" s="9"/>
      <c r="L28" s="9"/>
      <c r="M28" s="9"/>
      <c r="N28" s="9"/>
      <c r="O28" s="433" t="s">
        <v>496</v>
      </c>
      <c r="P28" s="54"/>
    </row>
    <row r="29" spans="2:16" s="1" customFormat="1" outlineLevel="1" x14ac:dyDescent="0.35">
      <c r="B29" s="51"/>
      <c r="C29" s="9" t="s">
        <v>475</v>
      </c>
      <c r="D29" s="9">
        <v>745</v>
      </c>
      <c r="E29" s="9" t="s">
        <v>468</v>
      </c>
      <c r="F29" s="54"/>
      <c r="H29" s="51"/>
      <c r="I29" s="9" t="s">
        <v>497</v>
      </c>
      <c r="J29" s="223">
        <v>1.6000000000000001E-3</v>
      </c>
      <c r="K29" s="9"/>
      <c r="L29" s="9"/>
      <c r="M29" s="9"/>
      <c r="N29" s="9"/>
      <c r="O29" s="433" t="s">
        <v>496</v>
      </c>
      <c r="P29" s="54"/>
    </row>
    <row r="30" spans="2:16" s="1" customFormat="1" outlineLevel="1" x14ac:dyDescent="0.35">
      <c r="B30" s="51"/>
      <c r="C30" s="9" t="s">
        <v>477</v>
      </c>
      <c r="D30" s="127">
        <v>0.66800000000000004</v>
      </c>
      <c r="E30" s="695" t="s">
        <v>498</v>
      </c>
      <c r="F30" s="54"/>
      <c r="H30" s="51"/>
      <c r="I30" s="9" t="s">
        <v>499</v>
      </c>
      <c r="J30" s="223">
        <v>2.5999999999999999E-3</v>
      </c>
      <c r="K30" s="9"/>
      <c r="L30" s="9"/>
      <c r="M30" s="9"/>
      <c r="N30" s="9"/>
      <c r="O30" s="433" t="s">
        <v>496</v>
      </c>
      <c r="P30" s="54"/>
    </row>
    <row r="31" spans="2:16" s="1" customFormat="1" outlineLevel="1" x14ac:dyDescent="0.35">
      <c r="B31" s="51"/>
      <c r="C31" s="9" t="s">
        <v>479</v>
      </c>
      <c r="D31" s="127">
        <v>0.71699999999999997</v>
      </c>
      <c r="E31" s="695" t="s">
        <v>498</v>
      </c>
      <c r="F31" s="54"/>
      <c r="H31" s="51"/>
      <c r="I31" s="9" t="s">
        <v>500</v>
      </c>
      <c r="J31" s="223">
        <v>3.5999999999999999E-3</v>
      </c>
      <c r="K31" s="9"/>
      <c r="L31" s="9"/>
      <c r="M31" s="9"/>
      <c r="N31" s="9"/>
      <c r="O31" s="433" t="s">
        <v>496</v>
      </c>
      <c r="P31" s="54"/>
    </row>
    <row r="32" spans="2:16" s="1" customFormat="1" outlineLevel="1" x14ac:dyDescent="0.35">
      <c r="B32" s="51"/>
      <c r="C32" s="9" t="s">
        <v>481</v>
      </c>
      <c r="D32" s="9">
        <v>794</v>
      </c>
      <c r="E32" s="9" t="s">
        <v>468</v>
      </c>
      <c r="F32" s="54"/>
      <c r="H32" s="51"/>
      <c r="I32" s="9" t="s">
        <v>250</v>
      </c>
      <c r="J32" s="223">
        <v>2.0999999999999999E-3</v>
      </c>
      <c r="K32" s="9"/>
      <c r="L32" s="9"/>
      <c r="M32" s="9"/>
      <c r="N32" s="9"/>
      <c r="O32" s="9" t="s">
        <v>485</v>
      </c>
      <c r="P32" s="54"/>
    </row>
    <row r="33" spans="2:16" s="1" customFormat="1" outlineLevel="1" x14ac:dyDescent="0.35">
      <c r="B33" s="51"/>
      <c r="C33" s="9" t="s">
        <v>483</v>
      </c>
      <c r="D33" s="9">
        <v>780</v>
      </c>
      <c r="E33" s="9" t="s">
        <v>468</v>
      </c>
      <c r="F33" s="54"/>
      <c r="H33" s="51"/>
      <c r="I33" s="9" t="s">
        <v>501</v>
      </c>
      <c r="J33" s="223">
        <v>6.4999999999999997E-3</v>
      </c>
      <c r="K33" s="9"/>
      <c r="L33" s="9"/>
      <c r="M33" s="9"/>
      <c r="N33" s="9"/>
      <c r="O33" s="433" t="s">
        <v>496</v>
      </c>
      <c r="P33" s="54"/>
    </row>
    <row r="34" spans="2:16" s="1" customFormat="1" outlineLevel="1" x14ac:dyDescent="0.35">
      <c r="B34" s="51"/>
      <c r="C34" s="9" t="s">
        <v>486</v>
      </c>
      <c r="D34" s="9">
        <v>793</v>
      </c>
      <c r="E34" s="9" t="s">
        <v>468</v>
      </c>
      <c r="F34" s="54"/>
      <c r="H34" s="51"/>
      <c r="I34" s="9" t="s">
        <v>502</v>
      </c>
      <c r="J34" s="223">
        <v>7.0000000000000001E-3</v>
      </c>
      <c r="K34" s="9"/>
      <c r="L34" s="9"/>
      <c r="M34" s="9"/>
      <c r="N34" s="9"/>
      <c r="O34" s="433" t="s">
        <v>496</v>
      </c>
      <c r="P34" s="54"/>
    </row>
    <row r="35" spans="2:16" s="1" customFormat="1" outlineLevel="1" x14ac:dyDescent="0.35">
      <c r="B35" s="51"/>
      <c r="C35" s="9" t="s">
        <v>503</v>
      </c>
      <c r="D35" s="9">
        <v>1.8420000000000001</v>
      </c>
      <c r="E35" s="695" t="s">
        <v>498</v>
      </c>
      <c r="F35" s="54"/>
      <c r="H35" s="51"/>
      <c r="I35" s="9" t="s">
        <v>504</v>
      </c>
      <c r="J35" s="223">
        <v>7.0000000000000001E-3</v>
      </c>
      <c r="K35" s="9"/>
      <c r="L35" s="9"/>
      <c r="M35" s="9"/>
      <c r="N35" s="9"/>
      <c r="O35" s="433" t="s">
        <v>496</v>
      </c>
      <c r="P35" s="54"/>
    </row>
    <row r="36" spans="2:16" s="1" customFormat="1" outlineLevel="1" x14ac:dyDescent="0.35">
      <c r="B36" s="51"/>
      <c r="C36" s="9" t="s">
        <v>505</v>
      </c>
      <c r="D36" s="9">
        <v>1.9770000000000001</v>
      </c>
      <c r="E36" s="695" t="s">
        <v>498</v>
      </c>
      <c r="F36" s="54"/>
      <c r="H36" s="51"/>
      <c r="I36" s="9" t="s">
        <v>506</v>
      </c>
      <c r="J36" s="223">
        <v>3.0000000000000001E-3</v>
      </c>
      <c r="K36" s="9"/>
      <c r="L36" s="9"/>
      <c r="M36" s="9"/>
      <c r="N36" s="9"/>
      <c r="O36" s="433" t="s">
        <v>496</v>
      </c>
      <c r="P36" s="54"/>
    </row>
    <row r="37" spans="2:16" s="1" customFormat="1" outlineLevel="1" x14ac:dyDescent="0.35">
      <c r="B37" s="51"/>
      <c r="C37" s="9" t="s">
        <v>366</v>
      </c>
      <c r="D37" s="9">
        <v>0.8</v>
      </c>
      <c r="E37" s="9" t="s">
        <v>507</v>
      </c>
      <c r="F37" s="54"/>
      <c r="H37" s="51"/>
      <c r="I37" s="9" t="s">
        <v>508</v>
      </c>
      <c r="J37" s="223">
        <v>3.5999999999999999E-3</v>
      </c>
      <c r="K37" s="9"/>
      <c r="L37" s="9"/>
      <c r="M37" s="9"/>
      <c r="N37" s="9"/>
      <c r="O37" s="433" t="s">
        <v>496</v>
      </c>
      <c r="P37" s="54"/>
    </row>
    <row r="38" spans="2:16" s="1" customFormat="1" outlineLevel="1" x14ac:dyDescent="0.35">
      <c r="B38" s="51"/>
      <c r="C38" s="330" t="s">
        <v>488</v>
      </c>
      <c r="F38" s="54"/>
      <c r="H38" s="51"/>
      <c r="I38" s="9" t="s">
        <v>509</v>
      </c>
      <c r="J38" s="223">
        <v>4.4000000000000003E-3</v>
      </c>
      <c r="K38" s="9"/>
      <c r="L38" s="9"/>
      <c r="M38" s="9"/>
      <c r="N38" s="9"/>
      <c r="O38" s="433" t="s">
        <v>496</v>
      </c>
      <c r="P38" s="54"/>
    </row>
    <row r="39" spans="2:16" s="1" customFormat="1" outlineLevel="1" x14ac:dyDescent="0.35">
      <c r="B39" s="51"/>
      <c r="F39" s="54"/>
      <c r="H39" s="51"/>
      <c r="I39" s="9" t="s">
        <v>510</v>
      </c>
      <c r="J39" s="223">
        <v>1.9E-2</v>
      </c>
      <c r="K39" s="9"/>
      <c r="L39" s="9"/>
      <c r="M39" s="9"/>
      <c r="N39" s="9"/>
      <c r="O39" s="433" t="s">
        <v>496</v>
      </c>
      <c r="P39" s="54"/>
    </row>
    <row r="40" spans="2:16" s="1" customFormat="1" outlineLevel="1" x14ac:dyDescent="0.35">
      <c r="B40" s="51"/>
      <c r="C40" s="808" t="s">
        <v>511</v>
      </c>
      <c r="D40" s="809"/>
      <c r="E40" s="810"/>
      <c r="F40" s="54"/>
      <c r="H40" s="51"/>
      <c r="I40" s="9" t="s">
        <v>512</v>
      </c>
      <c r="J40" s="223">
        <v>0.03</v>
      </c>
      <c r="K40" s="9"/>
      <c r="L40" s="9"/>
      <c r="M40" s="9"/>
      <c r="N40" s="9"/>
      <c r="O40" s="9" t="s">
        <v>513</v>
      </c>
      <c r="P40" s="54"/>
    </row>
    <row r="41" spans="2:16" s="1" customFormat="1" ht="15.6" outlineLevel="1" x14ac:dyDescent="0.35">
      <c r="B41" s="51"/>
      <c r="C41" s="8" t="s">
        <v>514</v>
      </c>
      <c r="D41" s="8" t="s">
        <v>515</v>
      </c>
      <c r="E41" s="8" t="s">
        <v>188</v>
      </c>
      <c r="F41" s="54"/>
      <c r="H41" s="51"/>
      <c r="I41" s="9" t="s">
        <v>516</v>
      </c>
      <c r="J41" s="223">
        <v>7.0000000000000001E-3</v>
      </c>
      <c r="K41" s="9"/>
      <c r="L41" s="9"/>
      <c r="M41" s="9"/>
      <c r="N41" s="9"/>
      <c r="O41" s="433" t="s">
        <v>496</v>
      </c>
      <c r="P41" s="54"/>
    </row>
    <row r="42" spans="2:16" s="1" customFormat="1" outlineLevel="1" x14ac:dyDescent="0.35">
      <c r="B42" s="51"/>
      <c r="C42" s="9" t="s">
        <v>517</v>
      </c>
      <c r="D42" s="9">
        <v>21</v>
      </c>
      <c r="E42" s="433" t="s">
        <v>518</v>
      </c>
      <c r="F42" s="54"/>
      <c r="H42" s="51"/>
      <c r="I42" s="9" t="s">
        <v>519</v>
      </c>
      <c r="J42" s="221">
        <v>0.46</v>
      </c>
      <c r="K42" s="9"/>
      <c r="L42" s="9"/>
      <c r="M42" s="9"/>
      <c r="N42" s="9"/>
      <c r="O42" s="9" t="s">
        <v>520</v>
      </c>
      <c r="P42" s="54"/>
    </row>
    <row r="43" spans="2:16" s="1" customFormat="1" outlineLevel="1" x14ac:dyDescent="0.35">
      <c r="B43" s="51"/>
      <c r="C43" s="9" t="s">
        <v>280</v>
      </c>
      <c r="D43" s="9">
        <v>34</v>
      </c>
      <c r="E43" s="433" t="s">
        <v>518</v>
      </c>
      <c r="F43" s="54"/>
      <c r="H43" s="51"/>
      <c r="I43" s="324"/>
      <c r="J43" s="325"/>
      <c r="K43" s="325"/>
      <c r="L43" s="325"/>
      <c r="M43" s="325"/>
      <c r="N43" s="325"/>
      <c r="O43" s="324"/>
      <c r="P43" s="54"/>
    </row>
    <row r="44" spans="2:16" s="1" customFormat="1" outlineLevel="1" x14ac:dyDescent="0.35">
      <c r="B44" s="51"/>
      <c r="F44" s="54"/>
      <c r="H44" s="51"/>
      <c r="I44" s="313"/>
      <c r="J44" s="314"/>
      <c r="K44" s="314"/>
      <c r="L44" s="314"/>
      <c r="M44" s="314"/>
      <c r="N44" s="314"/>
      <c r="O44" s="313"/>
      <c r="P44" s="54"/>
    </row>
    <row r="45" spans="2:16" s="1" customFormat="1" outlineLevel="1" x14ac:dyDescent="0.35">
      <c r="B45" s="51"/>
      <c r="C45" s="310" t="s">
        <v>521</v>
      </c>
      <c r="D45" s="311"/>
      <c r="F45" s="54"/>
      <c r="H45" s="51"/>
      <c r="I45" s="324"/>
      <c r="J45" s="325"/>
      <c r="K45" s="325"/>
      <c r="L45" s="325"/>
      <c r="M45" s="325"/>
      <c r="N45" s="325"/>
      <c r="O45" s="324"/>
      <c r="P45" s="54"/>
    </row>
    <row r="46" spans="2:16" s="1" customFormat="1" outlineLevel="1" x14ac:dyDescent="0.35">
      <c r="B46" s="51"/>
      <c r="C46" s="165" t="s">
        <v>522</v>
      </c>
      <c r="D46" s="165" t="s">
        <v>140</v>
      </c>
      <c r="F46" s="54"/>
      <c r="H46" s="51"/>
      <c r="I46" s="313"/>
      <c r="J46" s="314"/>
      <c r="K46" s="314"/>
      <c r="L46" s="314"/>
      <c r="M46" s="314"/>
      <c r="N46" s="314"/>
      <c r="O46" s="313"/>
      <c r="P46" s="54"/>
    </row>
    <row r="47" spans="2:16" s="1" customFormat="1" outlineLevel="1" x14ac:dyDescent="0.35">
      <c r="B47" s="51"/>
      <c r="C47" s="9" t="s">
        <v>523</v>
      </c>
      <c r="D47" s="11">
        <v>3600</v>
      </c>
      <c r="F47" s="54"/>
      <c r="H47" s="51"/>
      <c r="I47" s="324"/>
      <c r="J47" s="325"/>
      <c r="K47" s="325"/>
      <c r="L47" s="325"/>
      <c r="M47" s="325"/>
      <c r="N47" s="325"/>
      <c r="O47" s="324"/>
      <c r="P47" s="54"/>
    </row>
    <row r="48" spans="2:16" s="1" customFormat="1" outlineLevel="1" x14ac:dyDescent="0.35">
      <c r="B48" s="51"/>
      <c r="C48" s="9" t="s">
        <v>524</v>
      </c>
      <c r="D48" s="104">
        <f>1/D47</f>
        <v>2.7777777777777778E-4</v>
      </c>
      <c r="F48" s="54"/>
      <c r="H48" s="51"/>
      <c r="P48" s="54"/>
    </row>
    <row r="49" spans="2:16" s="1" customFormat="1" outlineLevel="1" x14ac:dyDescent="0.35">
      <c r="B49" s="51"/>
      <c r="C49" s="9" t="s">
        <v>525</v>
      </c>
      <c r="D49" s="105">
        <v>3.6</v>
      </c>
      <c r="F49" s="54"/>
      <c r="H49" s="51"/>
      <c r="I49" s="811" t="s">
        <v>526</v>
      </c>
      <c r="J49" s="816"/>
      <c r="K49" s="816"/>
      <c r="L49" s="816"/>
      <c r="M49" s="816"/>
      <c r="N49" s="816"/>
      <c r="O49" s="817"/>
      <c r="P49" s="54"/>
    </row>
    <row r="50" spans="2:16" s="1" customFormat="1" outlineLevel="1" x14ac:dyDescent="0.35">
      <c r="B50" s="51"/>
      <c r="C50" s="9" t="s">
        <v>527</v>
      </c>
      <c r="D50" s="106">
        <f>1/D49</f>
        <v>0.27777777777777779</v>
      </c>
      <c r="F50" s="54"/>
      <c r="H50" s="51"/>
      <c r="I50" s="165" t="s">
        <v>462</v>
      </c>
      <c r="J50" s="165" t="s">
        <v>463</v>
      </c>
      <c r="K50" s="165" t="s">
        <v>464</v>
      </c>
      <c r="L50" s="165" t="s">
        <v>465</v>
      </c>
      <c r="M50" s="165" t="s">
        <v>466</v>
      </c>
      <c r="N50" s="165" t="s">
        <v>528</v>
      </c>
      <c r="O50" s="165" t="s">
        <v>188</v>
      </c>
      <c r="P50" s="54"/>
    </row>
    <row r="51" spans="2:16" s="1" customFormat="1" x14ac:dyDescent="0.35">
      <c r="B51" s="51"/>
      <c r="C51" s="9" t="s">
        <v>529</v>
      </c>
      <c r="D51" s="11">
        <v>1000</v>
      </c>
      <c r="F51" s="54"/>
      <c r="H51" s="51"/>
      <c r="I51" s="313"/>
      <c r="J51" s="314"/>
      <c r="K51" s="314"/>
      <c r="L51" s="314"/>
      <c r="M51" s="314"/>
      <c r="N51" s="314"/>
      <c r="O51" s="313"/>
      <c r="P51" s="54"/>
    </row>
    <row r="52" spans="2:16" s="1" customFormat="1" x14ac:dyDescent="0.35">
      <c r="B52" s="51"/>
      <c r="C52" s="9" t="s">
        <v>530</v>
      </c>
      <c r="D52" s="106">
        <v>1E-3</v>
      </c>
      <c r="F52" s="54"/>
      <c r="H52" s="51"/>
      <c r="P52" s="54"/>
    </row>
    <row r="53" spans="2:16" s="1" customFormat="1" x14ac:dyDescent="0.35">
      <c r="B53" s="51"/>
      <c r="F53" s="54"/>
      <c r="H53" s="51"/>
      <c r="I53" s="811" t="s">
        <v>531</v>
      </c>
      <c r="J53" s="816"/>
      <c r="K53" s="816"/>
      <c r="L53" s="816"/>
      <c r="M53" s="816"/>
      <c r="N53" s="816"/>
      <c r="O53" s="817"/>
      <c r="P53" s="54"/>
    </row>
    <row r="54" spans="2:16" s="1" customFormat="1" x14ac:dyDescent="0.35">
      <c r="B54" s="51"/>
      <c r="C54" s="811" t="s">
        <v>532</v>
      </c>
      <c r="D54" s="776"/>
      <c r="E54" s="777"/>
      <c r="F54" s="54"/>
      <c r="H54" s="51"/>
      <c r="I54" s="165" t="s">
        <v>462</v>
      </c>
      <c r="J54" s="165" t="s">
        <v>463</v>
      </c>
      <c r="K54" s="165" t="s">
        <v>464</v>
      </c>
      <c r="L54" s="165" t="s">
        <v>465</v>
      </c>
      <c r="M54" s="165" t="s">
        <v>466</v>
      </c>
      <c r="N54" s="165" t="s">
        <v>467</v>
      </c>
      <c r="O54" s="165" t="s">
        <v>188</v>
      </c>
      <c r="P54" s="54"/>
    </row>
    <row r="55" spans="2:16" s="1" customFormat="1" x14ac:dyDescent="0.35">
      <c r="B55" s="51"/>
      <c r="C55" s="165" t="s">
        <v>514</v>
      </c>
      <c r="D55" s="165" t="s">
        <v>533</v>
      </c>
      <c r="E55" s="165" t="s">
        <v>188</v>
      </c>
      <c r="F55" s="54"/>
      <c r="H55" s="51"/>
      <c r="I55" s="9" t="s">
        <v>534</v>
      </c>
      <c r="J55" s="103"/>
      <c r="K55" s="103">
        <v>0.48</v>
      </c>
      <c r="L55" s="103"/>
      <c r="M55" s="103"/>
      <c r="N55" s="103"/>
      <c r="O55" s="103" t="s">
        <v>470</v>
      </c>
      <c r="P55" s="54"/>
    </row>
    <row r="56" spans="2:16" s="1" customFormat="1" x14ac:dyDescent="0.35">
      <c r="B56" s="51"/>
      <c r="C56" s="9" t="s">
        <v>535</v>
      </c>
      <c r="D56" s="9">
        <v>1</v>
      </c>
      <c r="E56" s="433" t="s">
        <v>536</v>
      </c>
      <c r="F56" s="54"/>
      <c r="H56" s="51"/>
      <c r="I56" s="9" t="s">
        <v>537</v>
      </c>
      <c r="J56" s="103"/>
      <c r="K56" s="103">
        <v>0.25</v>
      </c>
      <c r="L56" s="103"/>
      <c r="M56" s="103">
        <v>0.23</v>
      </c>
      <c r="N56" s="103"/>
      <c r="O56" s="103" t="s">
        <v>470</v>
      </c>
      <c r="P56" s="54"/>
    </row>
    <row r="57" spans="2:16" s="1" customFormat="1" x14ac:dyDescent="0.35">
      <c r="B57" s="51"/>
      <c r="C57" s="9" t="s">
        <v>538</v>
      </c>
      <c r="D57" s="9">
        <v>25</v>
      </c>
      <c r="E57" s="433" t="s">
        <v>536</v>
      </c>
      <c r="F57" s="54"/>
      <c r="H57" s="51"/>
      <c r="I57" s="9" t="s">
        <v>539</v>
      </c>
      <c r="J57" s="103">
        <v>0.11</v>
      </c>
      <c r="K57" s="103">
        <v>0.52</v>
      </c>
      <c r="L57" s="103"/>
      <c r="M57" s="103"/>
      <c r="N57" s="103"/>
      <c r="O57" s="103" t="s">
        <v>470</v>
      </c>
      <c r="P57" s="54"/>
    </row>
    <row r="58" spans="2:16" s="1" customFormat="1" x14ac:dyDescent="0.35">
      <c r="B58" s="51"/>
      <c r="C58" s="9" t="s">
        <v>540</v>
      </c>
      <c r="D58" s="9">
        <v>298</v>
      </c>
      <c r="E58" s="433" t="s">
        <v>536</v>
      </c>
      <c r="F58" s="54"/>
      <c r="H58" s="51"/>
      <c r="I58" s="9" t="s">
        <v>541</v>
      </c>
      <c r="J58" s="103">
        <v>0.18</v>
      </c>
      <c r="K58" s="103">
        <v>0.46</v>
      </c>
      <c r="L58" s="103"/>
      <c r="M58" s="103"/>
      <c r="N58" s="103"/>
      <c r="O58" s="103" t="s">
        <v>470</v>
      </c>
      <c r="P58" s="54"/>
    </row>
    <row r="59" spans="2:16" s="1" customFormat="1" x14ac:dyDescent="0.35">
      <c r="B59" s="51"/>
      <c r="F59" s="54"/>
      <c r="H59" s="51"/>
      <c r="I59" s="9" t="s">
        <v>542</v>
      </c>
      <c r="J59" s="103"/>
      <c r="K59" s="103">
        <v>1</v>
      </c>
      <c r="L59" s="103"/>
      <c r="M59" s="103"/>
      <c r="N59" s="103"/>
      <c r="O59" s="103"/>
      <c r="P59" s="54"/>
    </row>
    <row r="60" spans="2:16" s="1" customFormat="1" x14ac:dyDescent="0.35">
      <c r="B60" s="51"/>
      <c r="C60" s="808" t="s">
        <v>543</v>
      </c>
      <c r="D60" s="809"/>
      <c r="E60" s="810"/>
      <c r="F60" s="54"/>
      <c r="H60" s="51"/>
      <c r="I60" s="324"/>
      <c r="J60" s="325"/>
      <c r="K60" s="325"/>
      <c r="L60" s="325"/>
      <c r="M60" s="325"/>
      <c r="N60" s="325"/>
      <c r="O60" s="325"/>
      <c r="P60" s="54"/>
    </row>
    <row r="61" spans="2:16" s="1" customFormat="1" x14ac:dyDescent="0.35">
      <c r="B61" s="51"/>
      <c r="C61" s="165" t="s">
        <v>160</v>
      </c>
      <c r="D61" s="165" t="s">
        <v>544</v>
      </c>
      <c r="E61" s="165" t="s">
        <v>188</v>
      </c>
      <c r="F61" s="54"/>
      <c r="H61" s="51"/>
      <c r="I61" s="313"/>
      <c r="J61" s="314"/>
      <c r="K61" s="314"/>
      <c r="L61" s="314"/>
      <c r="M61" s="314"/>
      <c r="N61" s="314"/>
      <c r="O61" s="314"/>
      <c r="P61" s="54"/>
    </row>
    <row r="62" spans="2:16" s="1" customFormat="1" x14ac:dyDescent="0.35">
      <c r="B62" s="51"/>
      <c r="C62" s="9" t="s">
        <v>545</v>
      </c>
      <c r="D62" s="9">
        <v>0.9</v>
      </c>
      <c r="E62" s="9" t="s">
        <v>546</v>
      </c>
      <c r="F62" s="54"/>
      <c r="H62" s="51"/>
      <c r="I62" s="324"/>
      <c r="J62" s="325"/>
      <c r="K62" s="325"/>
      <c r="L62" s="325"/>
      <c r="M62" s="325"/>
      <c r="N62" s="325"/>
      <c r="O62" s="325"/>
      <c r="P62" s="54"/>
    </row>
    <row r="63" spans="2:16" s="1" customFormat="1" x14ac:dyDescent="0.35">
      <c r="B63" s="107"/>
      <c r="C63" s="85"/>
      <c r="D63" s="85"/>
      <c r="E63" s="85"/>
      <c r="F63" s="90"/>
      <c r="H63" s="51"/>
      <c r="I63" s="313"/>
      <c r="J63" s="314"/>
      <c r="K63" s="314"/>
      <c r="L63" s="314"/>
      <c r="M63" s="314"/>
      <c r="N63" s="314"/>
      <c r="O63" s="314"/>
      <c r="P63" s="54"/>
    </row>
    <row r="64" spans="2:16" s="1" customFormat="1" x14ac:dyDescent="0.35">
      <c r="H64" s="51"/>
      <c r="I64" s="324"/>
      <c r="J64" s="325"/>
      <c r="K64" s="325"/>
      <c r="L64" s="325"/>
      <c r="M64" s="325"/>
      <c r="N64" s="325"/>
      <c r="O64" s="325"/>
      <c r="P64" s="54"/>
    </row>
    <row r="65" spans="2:16" s="1" customFormat="1" ht="19.2" x14ac:dyDescent="0.45">
      <c r="B65" s="813" t="s">
        <v>547</v>
      </c>
      <c r="C65" s="814"/>
      <c r="D65" s="814"/>
      <c r="E65" s="814"/>
      <c r="F65" s="815"/>
      <c r="H65" s="51"/>
      <c r="P65" s="54"/>
    </row>
    <row r="66" spans="2:16" s="1" customFormat="1" outlineLevel="1" x14ac:dyDescent="0.35">
      <c r="B66" s="51"/>
      <c r="F66" s="54"/>
      <c r="H66" s="51"/>
      <c r="I66" s="811" t="s">
        <v>548</v>
      </c>
      <c r="J66" s="816"/>
      <c r="K66" s="816"/>
      <c r="L66" s="816"/>
      <c r="M66" s="816"/>
      <c r="N66" s="816"/>
      <c r="O66" s="817"/>
      <c r="P66" s="54"/>
    </row>
    <row r="67" spans="2:16" s="1" customFormat="1" outlineLevel="1" x14ac:dyDescent="0.35">
      <c r="B67" s="51"/>
      <c r="C67" s="811" t="s">
        <v>549</v>
      </c>
      <c r="D67" s="776"/>
      <c r="E67" s="777"/>
      <c r="F67" s="54"/>
      <c r="H67" s="51"/>
      <c r="I67" s="165" t="s">
        <v>462</v>
      </c>
      <c r="J67" s="165" t="s">
        <v>463</v>
      </c>
      <c r="K67" s="165" t="s">
        <v>464</v>
      </c>
      <c r="L67" s="165" t="s">
        <v>465</v>
      </c>
      <c r="M67" s="165" t="s">
        <v>466</v>
      </c>
      <c r="N67" s="165" t="s">
        <v>467</v>
      </c>
      <c r="O67" s="165" t="s">
        <v>188</v>
      </c>
      <c r="P67" s="54"/>
    </row>
    <row r="68" spans="2:16" s="1" customFormat="1" outlineLevel="1" x14ac:dyDescent="0.35">
      <c r="B68" s="51"/>
      <c r="C68" s="201" t="s">
        <v>123</v>
      </c>
      <c r="D68" s="201" t="s">
        <v>336</v>
      </c>
      <c r="E68" s="201" t="s">
        <v>188</v>
      </c>
      <c r="F68" s="54"/>
      <c r="H68" s="51"/>
      <c r="I68" s="9" t="s">
        <v>550</v>
      </c>
      <c r="J68" s="103"/>
      <c r="K68" s="103"/>
      <c r="L68" s="103">
        <v>0.6</v>
      </c>
      <c r="M68" s="103"/>
      <c r="N68" s="103"/>
      <c r="O68" s="103" t="s">
        <v>470</v>
      </c>
      <c r="P68" s="54"/>
    </row>
    <row r="69" spans="2:16" s="1" customFormat="1" outlineLevel="1" x14ac:dyDescent="0.35">
      <c r="B69" s="51"/>
      <c r="C69" s="9" t="s">
        <v>551</v>
      </c>
      <c r="D69" s="103">
        <v>0.35</v>
      </c>
      <c r="E69" s="433" t="s">
        <v>536</v>
      </c>
      <c r="F69" s="54"/>
      <c r="H69" s="51"/>
      <c r="I69" s="9" t="s">
        <v>552</v>
      </c>
      <c r="J69" s="103"/>
      <c r="K69" s="103"/>
      <c r="L69" s="103">
        <v>1</v>
      </c>
      <c r="M69" s="103"/>
      <c r="N69" s="103"/>
      <c r="O69" s="103"/>
      <c r="P69" s="54"/>
    </row>
    <row r="70" spans="2:16" s="1" customFormat="1" outlineLevel="1" x14ac:dyDescent="0.35">
      <c r="B70" s="51"/>
      <c r="C70" s="9" t="s">
        <v>553</v>
      </c>
      <c r="D70" s="103">
        <v>0.35</v>
      </c>
      <c r="E70" s="9" t="s">
        <v>554</v>
      </c>
      <c r="F70" s="54"/>
      <c r="H70" s="51"/>
      <c r="I70" s="315"/>
      <c r="J70" s="316"/>
      <c r="K70" s="316"/>
      <c r="L70" s="316"/>
      <c r="M70" s="316"/>
      <c r="N70" s="316"/>
      <c r="O70" s="316"/>
      <c r="P70" s="54"/>
    </row>
    <row r="71" spans="2:16" s="1" customFormat="1" outlineLevel="1" x14ac:dyDescent="0.35">
      <c r="B71" s="51"/>
      <c r="C71" s="9" t="s">
        <v>555</v>
      </c>
      <c r="D71" s="103">
        <v>0.25</v>
      </c>
      <c r="E71" s="433" t="s">
        <v>556</v>
      </c>
      <c r="F71" s="54"/>
      <c r="H71" s="51"/>
      <c r="I71" s="326"/>
      <c r="J71" s="327"/>
      <c r="K71" s="327"/>
      <c r="L71" s="327"/>
      <c r="M71" s="327"/>
      <c r="N71" s="327"/>
      <c r="O71" s="327"/>
      <c r="P71" s="54"/>
    </row>
    <row r="72" spans="2:16" s="1" customFormat="1" outlineLevel="1" x14ac:dyDescent="0.35">
      <c r="B72" s="51"/>
      <c r="C72" s="9" t="s">
        <v>557</v>
      </c>
      <c r="D72" s="103">
        <v>0.217</v>
      </c>
      <c r="E72" s="9" t="s">
        <v>554</v>
      </c>
      <c r="F72" s="54"/>
      <c r="H72" s="51"/>
      <c r="I72" s="315"/>
      <c r="J72" s="316"/>
      <c r="K72" s="316"/>
      <c r="L72" s="316"/>
      <c r="M72" s="316"/>
      <c r="N72" s="316"/>
      <c r="O72" s="316"/>
      <c r="P72" s="54"/>
    </row>
    <row r="73" spans="2:16" s="1" customFormat="1" outlineLevel="1" x14ac:dyDescent="0.35">
      <c r="B73" s="51"/>
      <c r="C73" s="9" t="s">
        <v>558</v>
      </c>
      <c r="D73" s="103">
        <v>0.35</v>
      </c>
      <c r="E73" s="9" t="s">
        <v>554</v>
      </c>
      <c r="F73" s="54"/>
      <c r="H73" s="51"/>
      <c r="I73" s="326"/>
      <c r="J73" s="327"/>
      <c r="K73" s="327"/>
      <c r="L73" s="327"/>
      <c r="M73" s="327"/>
      <c r="N73" s="327"/>
      <c r="O73" s="327"/>
      <c r="P73" s="54"/>
    </row>
    <row r="74" spans="2:16" s="1" customFormat="1" outlineLevel="1" x14ac:dyDescent="0.35">
      <c r="B74" s="51"/>
      <c r="C74" s="9"/>
      <c r="D74" s="206"/>
      <c r="E74" s="9"/>
      <c r="F74" s="54"/>
      <c r="H74" s="51"/>
      <c r="I74" s="315"/>
      <c r="J74" s="316"/>
      <c r="K74" s="316"/>
      <c r="L74" s="316"/>
      <c r="M74" s="316"/>
      <c r="N74" s="316"/>
      <c r="O74" s="316"/>
      <c r="P74" s="54"/>
    </row>
    <row r="75" spans="2:16" s="1" customFormat="1" outlineLevel="1" x14ac:dyDescent="0.35">
      <c r="B75" s="51"/>
      <c r="C75" s="9" t="s">
        <v>559</v>
      </c>
      <c r="D75" s="206" t="s">
        <v>300</v>
      </c>
      <c r="E75" s="9" t="s">
        <v>554</v>
      </c>
      <c r="F75" s="54"/>
      <c r="H75" s="51"/>
      <c r="P75" s="54"/>
    </row>
    <row r="76" spans="2:16" s="1" customFormat="1" outlineLevel="1" x14ac:dyDescent="0.35">
      <c r="B76" s="51"/>
      <c r="F76" s="54"/>
      <c r="H76" s="51"/>
      <c r="I76" s="811" t="s">
        <v>560</v>
      </c>
      <c r="J76" s="816"/>
      <c r="K76" s="816"/>
      <c r="L76" s="816"/>
      <c r="M76" s="816"/>
      <c r="N76" s="816"/>
      <c r="O76" s="817"/>
      <c r="P76" s="54"/>
    </row>
    <row r="77" spans="2:16" s="1" customFormat="1" outlineLevel="1" x14ac:dyDescent="0.35">
      <c r="B77" s="51"/>
      <c r="C77" s="811" t="s">
        <v>561</v>
      </c>
      <c r="D77" s="776"/>
      <c r="E77" s="777"/>
      <c r="F77" s="54"/>
      <c r="H77" s="51"/>
      <c r="I77" s="165" t="s">
        <v>462</v>
      </c>
      <c r="J77" s="165" t="s">
        <v>463</v>
      </c>
      <c r="K77" s="165" t="s">
        <v>464</v>
      </c>
      <c r="L77" s="165" t="s">
        <v>465</v>
      </c>
      <c r="M77" s="165" t="s">
        <v>466</v>
      </c>
      <c r="N77" s="165" t="s">
        <v>528</v>
      </c>
      <c r="O77" s="165" t="s">
        <v>188</v>
      </c>
      <c r="P77" s="54"/>
    </row>
    <row r="78" spans="2:16" s="1" customFormat="1" outlineLevel="1" x14ac:dyDescent="0.35">
      <c r="B78" s="51"/>
      <c r="C78" s="201" t="s">
        <v>123</v>
      </c>
      <c r="D78" s="201" t="s">
        <v>562</v>
      </c>
      <c r="E78" s="201" t="s">
        <v>188</v>
      </c>
      <c r="F78" s="54"/>
      <c r="H78" s="51"/>
      <c r="I78" s="9" t="s">
        <v>563</v>
      </c>
      <c r="J78" s="103">
        <v>0.15</v>
      </c>
      <c r="K78" s="103">
        <v>0.15</v>
      </c>
      <c r="L78" s="103">
        <v>0.15</v>
      </c>
      <c r="M78" s="103"/>
      <c r="N78" s="103">
        <v>0.15</v>
      </c>
      <c r="O78" s="103" t="s">
        <v>470</v>
      </c>
      <c r="P78" s="54"/>
    </row>
    <row r="79" spans="2:16" s="1" customFormat="1" outlineLevel="1" x14ac:dyDescent="0.35">
      <c r="B79" s="51"/>
      <c r="C79" s="9" t="s">
        <v>551</v>
      </c>
      <c r="D79" s="128">
        <v>40.755501839176802</v>
      </c>
      <c r="E79" s="433" t="s">
        <v>536</v>
      </c>
      <c r="F79" s="54"/>
      <c r="H79" s="51"/>
      <c r="I79" s="9" t="s">
        <v>564</v>
      </c>
      <c r="J79" s="103"/>
      <c r="K79" s="103"/>
      <c r="L79" s="103"/>
      <c r="M79" s="103"/>
      <c r="N79" s="103">
        <v>1</v>
      </c>
      <c r="O79" s="103"/>
      <c r="P79" s="54"/>
    </row>
    <row r="80" spans="2:16" s="1" customFormat="1" outlineLevel="1" x14ac:dyDescent="0.35">
      <c r="B80" s="51"/>
      <c r="C80" s="9" t="s">
        <v>553</v>
      </c>
      <c r="D80" s="128">
        <v>35.132300000000001</v>
      </c>
      <c r="E80" s="9" t="s">
        <v>554</v>
      </c>
      <c r="F80" s="54"/>
      <c r="H80" s="51"/>
      <c r="I80" s="9" t="s">
        <v>565</v>
      </c>
      <c r="J80" s="103"/>
      <c r="K80" s="103"/>
      <c r="L80" s="103"/>
      <c r="M80" s="103"/>
      <c r="N80" s="103">
        <v>1</v>
      </c>
      <c r="O80" s="103"/>
      <c r="P80" s="54"/>
    </row>
    <row r="81" spans="2:16" s="1" customFormat="1" outlineLevel="1" x14ac:dyDescent="0.35">
      <c r="B81" s="51"/>
      <c r="C81" s="9" t="s">
        <v>555</v>
      </c>
      <c r="D81" s="128">
        <v>68.86</v>
      </c>
      <c r="E81" s="433" t="s">
        <v>556</v>
      </c>
      <c r="F81" s="54"/>
      <c r="H81" s="51"/>
      <c r="I81" s="9" t="s">
        <v>566</v>
      </c>
      <c r="J81" s="103"/>
      <c r="K81" s="103"/>
      <c r="L81" s="103"/>
      <c r="M81" s="103"/>
      <c r="N81" s="103">
        <v>1</v>
      </c>
      <c r="O81" s="103"/>
      <c r="P81" s="54"/>
    </row>
    <row r="82" spans="2:16" s="1" customFormat="1" outlineLevel="1" x14ac:dyDescent="0.35">
      <c r="B82" s="51"/>
      <c r="C82" s="9" t="s">
        <v>557</v>
      </c>
      <c r="D82" s="128">
        <v>52.36</v>
      </c>
      <c r="E82" s="9" t="s">
        <v>554</v>
      </c>
      <c r="F82" s="54"/>
      <c r="H82" s="51"/>
      <c r="I82" s="9" t="s">
        <v>567</v>
      </c>
      <c r="J82" s="103"/>
      <c r="K82" s="103"/>
      <c r="L82" s="103"/>
      <c r="M82" s="103"/>
      <c r="N82" s="103">
        <v>1</v>
      </c>
      <c r="O82" s="9"/>
      <c r="P82" s="54"/>
    </row>
    <row r="83" spans="2:16" s="1" customFormat="1" outlineLevel="1" x14ac:dyDescent="0.35">
      <c r="B83" s="51"/>
      <c r="C83" s="9" t="s">
        <v>558</v>
      </c>
      <c r="D83" s="128">
        <v>35</v>
      </c>
      <c r="E83" s="9" t="s">
        <v>554</v>
      </c>
      <c r="F83" s="54"/>
      <c r="H83" s="51"/>
      <c r="I83" s="9" t="s">
        <v>568</v>
      </c>
      <c r="J83" s="103"/>
      <c r="K83" s="103"/>
      <c r="L83" s="103"/>
      <c r="M83" s="103"/>
      <c r="N83" s="103">
        <v>1</v>
      </c>
      <c r="O83" s="103"/>
      <c r="P83" s="54"/>
    </row>
    <row r="84" spans="2:16" s="1" customFormat="1" outlineLevel="1" x14ac:dyDescent="0.35">
      <c r="B84" s="51"/>
      <c r="C84" s="9" t="s">
        <v>569</v>
      </c>
      <c r="D84" s="206" t="s">
        <v>300</v>
      </c>
      <c r="E84" s="9" t="s">
        <v>554</v>
      </c>
      <c r="F84" s="54"/>
      <c r="H84" s="51"/>
      <c r="I84" s="313"/>
      <c r="J84" s="314"/>
      <c r="K84" s="314"/>
      <c r="L84" s="314"/>
      <c r="M84" s="314"/>
      <c r="N84" s="314"/>
      <c r="O84" s="314"/>
      <c r="P84" s="54"/>
    </row>
    <row r="85" spans="2:16" s="1" customFormat="1" outlineLevel="1" x14ac:dyDescent="0.35">
      <c r="B85" s="51"/>
      <c r="C85" s="9" t="s">
        <v>559</v>
      </c>
      <c r="D85" s="206" t="s">
        <v>300</v>
      </c>
      <c r="E85" s="9" t="s">
        <v>554</v>
      </c>
      <c r="F85" s="54"/>
      <c r="H85" s="51"/>
      <c r="I85" s="324"/>
      <c r="J85" s="325"/>
      <c r="K85" s="325"/>
      <c r="L85" s="325"/>
      <c r="M85" s="325"/>
      <c r="N85" s="325"/>
      <c r="O85" s="325"/>
      <c r="P85" s="54"/>
    </row>
    <row r="86" spans="2:16" s="1" customFormat="1" outlineLevel="1" x14ac:dyDescent="0.35">
      <c r="B86" s="51"/>
      <c r="F86" s="54"/>
      <c r="H86" s="51"/>
      <c r="I86" s="313"/>
      <c r="J86" s="314"/>
      <c r="K86" s="314"/>
      <c r="L86" s="314"/>
      <c r="M86" s="314"/>
      <c r="N86" s="314"/>
      <c r="O86" s="314"/>
      <c r="P86" s="54"/>
    </row>
    <row r="87" spans="2:16" s="1" customFormat="1" outlineLevel="1" x14ac:dyDescent="0.35">
      <c r="B87" s="51"/>
      <c r="C87" s="811" t="s">
        <v>570</v>
      </c>
      <c r="D87" s="776"/>
      <c r="E87" s="777"/>
      <c r="F87" s="54"/>
      <c r="H87" s="51"/>
      <c r="I87" s="324"/>
      <c r="J87" s="325"/>
      <c r="K87" s="325"/>
      <c r="L87" s="325"/>
      <c r="M87" s="325"/>
      <c r="N87" s="325"/>
      <c r="O87" s="325"/>
      <c r="P87" s="54"/>
    </row>
    <row r="88" spans="2:16" s="1" customFormat="1" outlineLevel="1" x14ac:dyDescent="0.35">
      <c r="B88" s="51"/>
      <c r="C88" s="201" t="s">
        <v>46</v>
      </c>
      <c r="D88" s="201" t="s">
        <v>336</v>
      </c>
      <c r="E88" s="201" t="s">
        <v>188</v>
      </c>
      <c r="F88" s="54"/>
      <c r="H88" s="51"/>
      <c r="I88" s="313"/>
      <c r="J88" s="314"/>
      <c r="K88" s="314"/>
      <c r="L88" s="314"/>
      <c r="M88" s="314"/>
      <c r="N88" s="314"/>
      <c r="O88" s="314"/>
      <c r="P88" s="54"/>
    </row>
    <row r="89" spans="2:16" s="1" customFormat="1" outlineLevel="1" x14ac:dyDescent="0.35">
      <c r="B89" s="51"/>
      <c r="C89" s="9" t="s">
        <v>571</v>
      </c>
      <c r="D89" s="103">
        <v>0.87</v>
      </c>
      <c r="E89" s="433" t="s">
        <v>572</v>
      </c>
      <c r="F89" s="54"/>
      <c r="H89" s="107"/>
      <c r="I89" s="85"/>
      <c r="J89" s="85"/>
      <c r="K89" s="85"/>
      <c r="L89" s="85"/>
      <c r="M89" s="85"/>
      <c r="N89" s="85"/>
      <c r="O89" s="85"/>
      <c r="P89" s="90"/>
    </row>
    <row r="90" spans="2:16" s="1" customFormat="1" outlineLevel="1" x14ac:dyDescent="0.35">
      <c r="B90" s="51"/>
      <c r="C90" s="9"/>
      <c r="D90" s="103"/>
      <c r="E90" s="211"/>
      <c r="F90" s="54"/>
    </row>
    <row r="91" spans="2:16" s="1" customFormat="1" outlineLevel="1" x14ac:dyDescent="0.35">
      <c r="B91" s="51"/>
      <c r="C91" s="9" t="s">
        <v>573</v>
      </c>
      <c r="D91" s="103">
        <v>0.16</v>
      </c>
      <c r="E91" s="433" t="s">
        <v>572</v>
      </c>
      <c r="F91" s="54"/>
    </row>
    <row r="92" spans="2:16" s="1" customFormat="1" outlineLevel="1" x14ac:dyDescent="0.35">
      <c r="B92" s="51"/>
      <c r="C92" s="9"/>
      <c r="D92" s="103"/>
      <c r="E92" s="211"/>
      <c r="F92" s="54"/>
      <c r="H92" s="408"/>
      <c r="I92" s="372"/>
      <c r="J92" s="372"/>
      <c r="K92" s="372"/>
      <c r="L92" s="372"/>
      <c r="M92" s="372"/>
      <c r="N92" s="372"/>
      <c r="O92" s="372"/>
      <c r="P92" s="409"/>
    </row>
    <row r="93" spans="2:16" s="1" customFormat="1" outlineLevel="1" x14ac:dyDescent="0.35">
      <c r="B93" s="51"/>
      <c r="C93" s="9" t="s">
        <v>103</v>
      </c>
      <c r="D93" s="103">
        <v>0.35</v>
      </c>
      <c r="E93" s="433" t="s">
        <v>572</v>
      </c>
      <c r="F93" s="54"/>
      <c r="H93" s="51"/>
      <c r="I93" s="822" t="s">
        <v>574</v>
      </c>
      <c r="J93" s="823"/>
      <c r="K93" s="823"/>
      <c r="L93" s="823"/>
      <c r="M93" s="823"/>
      <c r="N93" s="823"/>
      <c r="O93" s="824"/>
      <c r="P93" s="54"/>
    </row>
    <row r="94" spans="2:16" s="1" customFormat="1" ht="15.6" outlineLevel="1" x14ac:dyDescent="0.35">
      <c r="B94" s="51"/>
      <c r="C94" s="9" t="s">
        <v>575</v>
      </c>
      <c r="D94" s="103">
        <v>0.33</v>
      </c>
      <c r="E94" s="433" t="s">
        <v>572</v>
      </c>
      <c r="F94" s="54"/>
      <c r="H94" s="51"/>
      <c r="I94" s="410"/>
      <c r="J94" s="410" t="s">
        <v>576</v>
      </c>
      <c r="K94" s="410" t="s">
        <v>577</v>
      </c>
      <c r="L94" s="410" t="s">
        <v>578</v>
      </c>
      <c r="M94" s="410" t="s">
        <v>579</v>
      </c>
      <c r="N94" s="410"/>
      <c r="O94" s="410" t="s">
        <v>188</v>
      </c>
      <c r="P94" s="54"/>
    </row>
    <row r="95" spans="2:16" s="1" customFormat="1" outlineLevel="1" x14ac:dyDescent="0.35">
      <c r="B95" s="51"/>
      <c r="C95" s="9" t="s">
        <v>580</v>
      </c>
      <c r="D95" s="103">
        <v>0.24</v>
      </c>
      <c r="E95" s="433" t="s">
        <v>572</v>
      </c>
      <c r="F95" s="54"/>
      <c r="H95" s="51"/>
      <c r="I95" s="411" t="s">
        <v>581</v>
      </c>
      <c r="J95" s="413">
        <v>0.2</v>
      </c>
      <c r="K95" s="413">
        <f>J95/0.52</f>
        <v>0.38461538461538464</v>
      </c>
      <c r="L95" s="413">
        <f>K95/0.98</f>
        <v>0.39246467817896391</v>
      </c>
      <c r="M95" s="414">
        <f>L95/D43</f>
        <v>1.1543078769969527E-2</v>
      </c>
      <c r="N95" s="412"/>
      <c r="O95" s="677" t="str">
        <f>HYPERLINK("https://www.umweltbundesamt.de/sites/default/files/medien/1410/publikationen/2020-01-30_texte_24-2020_biogas2030.pdf ","Umweltbundesamt 2020 (DE Central Environment Auhthority)")</f>
        <v>Umweltbundesamt 2020 (DE Central Environment Auhthority)</v>
      </c>
      <c r="P95" s="54"/>
    </row>
    <row r="96" spans="2:16" s="1" customFormat="1" outlineLevel="1" x14ac:dyDescent="0.35">
      <c r="B96" s="51"/>
      <c r="C96" s="9" t="s">
        <v>582</v>
      </c>
      <c r="D96" s="103">
        <v>0.25</v>
      </c>
      <c r="E96" s="433" t="s">
        <v>572</v>
      </c>
      <c r="F96" s="54"/>
      <c r="H96" s="107"/>
      <c r="I96" s="85"/>
      <c r="J96" s="85"/>
      <c r="K96" s="85"/>
      <c r="L96" s="85"/>
      <c r="M96" s="85"/>
      <c r="N96" s="85"/>
      <c r="O96" s="85"/>
      <c r="P96" s="90"/>
    </row>
    <row r="97" spans="2:21" s="1" customFormat="1" outlineLevel="1" x14ac:dyDescent="0.35">
      <c r="B97" s="51"/>
      <c r="C97" s="9" t="s">
        <v>583</v>
      </c>
      <c r="D97" s="103">
        <v>0.27</v>
      </c>
      <c r="E97" s="433" t="s">
        <v>572</v>
      </c>
      <c r="F97" s="54"/>
    </row>
    <row r="98" spans="2:21" s="1" customFormat="1" outlineLevel="1" x14ac:dyDescent="0.35">
      <c r="B98" s="51"/>
      <c r="C98" s="9" t="s">
        <v>555</v>
      </c>
      <c r="D98" s="103">
        <v>0.23</v>
      </c>
      <c r="E98" s="433" t="s">
        <v>572</v>
      </c>
      <c r="F98" s="54"/>
    </row>
    <row r="99" spans="2:21" s="1" customFormat="1" ht="19.2" outlineLevel="1" x14ac:dyDescent="0.45">
      <c r="B99" s="51"/>
      <c r="C99" s="9" t="s">
        <v>584</v>
      </c>
      <c r="D99" s="103">
        <v>0.25</v>
      </c>
      <c r="E99" s="433" t="s">
        <v>572</v>
      </c>
      <c r="F99" s="54"/>
      <c r="H99" s="825" t="s">
        <v>585</v>
      </c>
      <c r="I99" s="826"/>
      <c r="J99" s="826"/>
      <c r="K99" s="826"/>
      <c r="L99" s="826"/>
      <c r="M99" s="826"/>
      <c r="N99" s="826"/>
      <c r="O99" s="826"/>
      <c r="P99" s="826"/>
      <c r="Q99" s="664"/>
      <c r="R99" s="664"/>
      <c r="S99" s="664"/>
      <c r="T99" s="664"/>
      <c r="U99" s="664"/>
    </row>
    <row r="100" spans="2:21" s="1" customFormat="1" outlineLevel="1" x14ac:dyDescent="0.35">
      <c r="B100" s="51"/>
      <c r="C100" s="9" t="s">
        <v>586</v>
      </c>
      <c r="D100" s="103">
        <v>0.22</v>
      </c>
      <c r="E100" s="433" t="s">
        <v>572</v>
      </c>
      <c r="F100" s="54"/>
      <c r="H100" s="51"/>
      <c r="U100" s="54"/>
    </row>
    <row r="101" spans="2:21" s="1" customFormat="1" outlineLevel="1" x14ac:dyDescent="0.35">
      <c r="B101" s="51"/>
      <c r="C101" s="9" t="s">
        <v>587</v>
      </c>
      <c r="D101" s="103">
        <v>0.33</v>
      </c>
      <c r="E101" s="433" t="s">
        <v>572</v>
      </c>
      <c r="F101" s="54"/>
      <c r="H101" s="51"/>
      <c r="I101" s="808" t="s">
        <v>585</v>
      </c>
      <c r="J101" s="821"/>
      <c r="K101" s="821"/>
      <c r="L101" s="821"/>
      <c r="M101" s="821"/>
      <c r="N101" s="821"/>
      <c r="O101" s="821"/>
      <c r="P101" s="821"/>
      <c r="Q101" s="821"/>
      <c r="R101" s="662"/>
      <c r="S101" s="662"/>
      <c r="T101" s="663"/>
      <c r="U101" s="54"/>
    </row>
    <row r="102" spans="2:21" s="1" customFormat="1" outlineLevel="1" x14ac:dyDescent="0.35">
      <c r="B102" s="51"/>
      <c r="C102" s="9" t="s">
        <v>588</v>
      </c>
      <c r="D102" s="103">
        <v>0.25</v>
      </c>
      <c r="E102" s="433" t="s">
        <v>572</v>
      </c>
      <c r="F102" s="54"/>
      <c r="G102" s="667"/>
      <c r="H102" s="51"/>
      <c r="I102" s="165" t="s">
        <v>123</v>
      </c>
      <c r="J102" s="165" t="s">
        <v>589</v>
      </c>
      <c r="K102" s="165" t="s">
        <v>590</v>
      </c>
      <c r="L102" s="165" t="s">
        <v>591</v>
      </c>
      <c r="M102" s="165" t="s">
        <v>592</v>
      </c>
      <c r="N102" s="165" t="s">
        <v>593</v>
      </c>
      <c r="O102" s="165" t="s">
        <v>594</v>
      </c>
      <c r="P102" s="165" t="s">
        <v>595</v>
      </c>
      <c r="Q102" s="165" t="s">
        <v>596</v>
      </c>
      <c r="R102" s="165" t="s">
        <v>597</v>
      </c>
      <c r="S102" s="165" t="s">
        <v>188</v>
      </c>
      <c r="T102" s="165"/>
      <c r="U102" s="54"/>
    </row>
    <row r="103" spans="2:21" s="1" customFormat="1" outlineLevel="1" x14ac:dyDescent="0.35">
      <c r="B103" s="51"/>
      <c r="C103" s="212" t="s">
        <v>598</v>
      </c>
      <c r="D103" s="206"/>
      <c r="E103" s="210"/>
      <c r="F103" s="54"/>
      <c r="H103" s="51"/>
      <c r="I103" s="9" t="s">
        <v>551</v>
      </c>
      <c r="J103" s="674">
        <v>63.237336248723501</v>
      </c>
      <c r="K103" s="674">
        <v>38.5187756690271</v>
      </c>
      <c r="L103" s="675">
        <v>23.990604249395801</v>
      </c>
      <c r="M103" s="675">
        <v>123.765530370237</v>
      </c>
      <c r="N103" s="675">
        <v>279.64619500501499</v>
      </c>
      <c r="O103" s="675">
        <v>6.7036311034818796</v>
      </c>
      <c r="P103" s="9">
        <v>25</v>
      </c>
      <c r="Q103" s="9">
        <v>60.1</v>
      </c>
      <c r="R103" s="9">
        <v>24.961200000000002</v>
      </c>
      <c r="S103" s="676" t="s">
        <v>536</v>
      </c>
      <c r="U103" s="54"/>
    </row>
    <row r="104" spans="2:21" s="1" customFormat="1" outlineLevel="1" x14ac:dyDescent="0.35">
      <c r="B104" s="51"/>
      <c r="C104" s="9" t="s">
        <v>599</v>
      </c>
      <c r="D104" s="103">
        <v>0.35</v>
      </c>
      <c r="E104" s="433" t="s">
        <v>572</v>
      </c>
      <c r="F104" s="54"/>
      <c r="H104" s="51"/>
      <c r="I104" s="9" t="s">
        <v>553</v>
      </c>
      <c r="J104" s="674">
        <v>173.5</v>
      </c>
      <c r="K104" s="674">
        <v>41</v>
      </c>
      <c r="L104" s="675">
        <v>58.5</v>
      </c>
      <c r="M104" s="675">
        <v>0</v>
      </c>
      <c r="N104" s="675">
        <v>0</v>
      </c>
      <c r="O104" s="675">
        <v>4.55</v>
      </c>
      <c r="P104" s="9">
        <v>120</v>
      </c>
      <c r="Q104" s="9">
        <v>79.2</v>
      </c>
      <c r="R104" s="9">
        <v>32.811100000000003</v>
      </c>
      <c r="S104" s="9" t="s">
        <v>554</v>
      </c>
      <c r="U104" s="54"/>
    </row>
    <row r="105" spans="2:21" s="1" customFormat="1" outlineLevel="1" x14ac:dyDescent="0.35">
      <c r="B105" s="51"/>
      <c r="C105" s="9" t="s">
        <v>600</v>
      </c>
      <c r="D105" s="103">
        <v>0.06</v>
      </c>
      <c r="E105" s="433" t="s">
        <v>572</v>
      </c>
      <c r="F105" s="54"/>
      <c r="H105" s="51"/>
      <c r="I105" s="9" t="s">
        <v>555</v>
      </c>
      <c r="J105" s="674">
        <v>119.651356999755</v>
      </c>
      <c r="K105" s="674">
        <v>59.704474207636103</v>
      </c>
      <c r="L105" s="675">
        <v>134.88512128680799</v>
      </c>
      <c r="M105" s="675">
        <v>0</v>
      </c>
      <c r="N105" s="675">
        <v>400</v>
      </c>
      <c r="O105" s="675">
        <v>1.2965</v>
      </c>
      <c r="P105" s="9">
        <v>6</v>
      </c>
      <c r="Q105" s="9">
        <v>150</v>
      </c>
      <c r="R105" s="9">
        <v>133.07668000000001</v>
      </c>
      <c r="S105" s="676" t="s">
        <v>556</v>
      </c>
      <c r="U105" s="54"/>
    </row>
    <row r="106" spans="2:21" s="1" customFormat="1" outlineLevel="1" x14ac:dyDescent="0.35">
      <c r="B106" s="51"/>
      <c r="C106" s="9" t="s">
        <v>601</v>
      </c>
      <c r="D106" s="103">
        <v>2.5000000000000001E-2</v>
      </c>
      <c r="E106" s="433" t="s">
        <v>572</v>
      </c>
      <c r="F106" s="54"/>
      <c r="H106" s="51"/>
      <c r="I106" s="9" t="s">
        <v>558</v>
      </c>
      <c r="J106" s="674">
        <v>140</v>
      </c>
      <c r="K106" s="674">
        <v>110</v>
      </c>
      <c r="L106" s="675">
        <v>130</v>
      </c>
      <c r="M106" s="675">
        <v>0</v>
      </c>
      <c r="N106" s="675">
        <v>0</v>
      </c>
      <c r="O106" s="675">
        <v>4.55</v>
      </c>
      <c r="P106" s="9">
        <v>120</v>
      </c>
      <c r="Q106" s="9">
        <v>72.900000000000006</v>
      </c>
      <c r="R106" s="9">
        <v>21.433800000000002</v>
      </c>
      <c r="S106" s="9" t="s">
        <v>554</v>
      </c>
      <c r="U106" s="54"/>
    </row>
    <row r="107" spans="2:21" s="1" customFormat="1" outlineLevel="1" x14ac:dyDescent="0.35">
      <c r="B107" s="51"/>
      <c r="C107" s="9" t="s">
        <v>602</v>
      </c>
      <c r="D107" s="103">
        <v>0.45</v>
      </c>
      <c r="E107" s="433" t="s">
        <v>572</v>
      </c>
      <c r="F107" s="54"/>
      <c r="H107" s="51"/>
      <c r="I107" s="9" t="s">
        <v>557</v>
      </c>
      <c r="J107" s="674">
        <v>138</v>
      </c>
      <c r="K107" s="674">
        <v>27</v>
      </c>
      <c r="L107" s="675">
        <v>77</v>
      </c>
      <c r="M107" s="675">
        <v>41.429000000000002</v>
      </c>
      <c r="N107" s="675">
        <v>200</v>
      </c>
      <c r="O107" s="675">
        <v>0.72</v>
      </c>
      <c r="P107" s="9">
        <v>3.3</v>
      </c>
      <c r="Q107" s="9">
        <v>8.4499999999999993</v>
      </c>
      <c r="R107" s="9">
        <v>33.335299999999997</v>
      </c>
      <c r="S107" s="9" t="s">
        <v>554</v>
      </c>
      <c r="U107" s="54"/>
    </row>
    <row r="108" spans="2:21" s="1" customFormat="1" outlineLevel="1" x14ac:dyDescent="0.35">
      <c r="B108" s="51"/>
      <c r="C108" s="9" t="s">
        <v>603</v>
      </c>
      <c r="D108" s="103">
        <v>0.85</v>
      </c>
      <c r="E108" s="433" t="s">
        <v>572</v>
      </c>
      <c r="F108" s="54"/>
      <c r="H108" s="51"/>
      <c r="I108" s="9" t="s">
        <v>127</v>
      </c>
      <c r="J108" s="674">
        <v>0</v>
      </c>
      <c r="K108" s="674">
        <v>0</v>
      </c>
      <c r="L108" s="675">
        <v>0</v>
      </c>
      <c r="M108" s="675">
        <v>0</v>
      </c>
      <c r="N108" s="675">
        <v>0</v>
      </c>
      <c r="O108" s="675">
        <v>0</v>
      </c>
      <c r="P108" s="9">
        <v>0</v>
      </c>
      <c r="Q108" s="9">
        <v>0</v>
      </c>
      <c r="R108" s="9">
        <v>0</v>
      </c>
      <c r="S108" s="9"/>
      <c r="U108" s="54"/>
    </row>
    <row r="109" spans="2:21" s="1" customFormat="1" outlineLevel="1" x14ac:dyDescent="0.35">
      <c r="B109" s="51"/>
      <c r="C109" s="9" t="s">
        <v>604</v>
      </c>
      <c r="D109" s="103">
        <v>3.6999999999999998E-2</v>
      </c>
      <c r="E109" s="433" t="s">
        <v>572</v>
      </c>
      <c r="F109" s="54"/>
      <c r="H109" s="107"/>
      <c r="I109" s="85"/>
      <c r="J109" s="85"/>
      <c r="K109" s="85"/>
      <c r="L109" s="85"/>
      <c r="M109" s="85"/>
      <c r="N109" s="85"/>
      <c r="O109" s="85"/>
      <c r="P109" s="85"/>
      <c r="Q109" s="85"/>
      <c r="R109" s="85"/>
      <c r="S109" s="85"/>
      <c r="T109" s="85"/>
      <c r="U109" s="90"/>
    </row>
    <row r="110" spans="2:21" s="1" customFormat="1" outlineLevel="1" x14ac:dyDescent="0.35">
      <c r="B110" s="51"/>
      <c r="C110" s="9" t="s">
        <v>605</v>
      </c>
      <c r="D110" s="103">
        <v>0.13</v>
      </c>
      <c r="E110" s="433" t="s">
        <v>572</v>
      </c>
      <c r="F110" s="54"/>
    </row>
    <row r="111" spans="2:21" s="1" customFormat="1" outlineLevel="1" x14ac:dyDescent="0.35">
      <c r="B111" s="51"/>
      <c r="C111" s="9" t="s">
        <v>606</v>
      </c>
      <c r="D111" s="103">
        <v>0.06</v>
      </c>
      <c r="E111" s="433" t="s">
        <v>572</v>
      </c>
      <c r="F111" s="54"/>
    </row>
    <row r="112" spans="2:21" s="1" customFormat="1" outlineLevel="1" x14ac:dyDescent="0.35">
      <c r="B112" s="51"/>
      <c r="C112" s="9" t="s">
        <v>607</v>
      </c>
      <c r="D112" s="103">
        <v>0.12</v>
      </c>
      <c r="E112" s="433" t="s">
        <v>572</v>
      </c>
      <c r="F112" s="54"/>
    </row>
    <row r="113" spans="2:6" s="1" customFormat="1" outlineLevel="1" x14ac:dyDescent="0.35">
      <c r="B113" s="51"/>
      <c r="C113" s="9" t="s">
        <v>608</v>
      </c>
      <c r="D113" s="103">
        <v>0.92</v>
      </c>
      <c r="E113" s="433" t="s">
        <v>572</v>
      </c>
      <c r="F113" s="54"/>
    </row>
    <row r="114" spans="2:6" s="1" customFormat="1" outlineLevel="1" x14ac:dyDescent="0.35">
      <c r="B114" s="51"/>
      <c r="C114" s="9" t="s">
        <v>609</v>
      </c>
      <c r="D114" s="103">
        <v>1</v>
      </c>
      <c r="E114" s="433" t="s">
        <v>572</v>
      </c>
      <c r="F114" s="54"/>
    </row>
    <row r="115" spans="2:6" s="1" customFormat="1" outlineLevel="1" x14ac:dyDescent="0.35">
      <c r="B115" s="51"/>
      <c r="C115" s="9" t="s">
        <v>610</v>
      </c>
      <c r="D115" s="103">
        <v>0.23</v>
      </c>
      <c r="E115" s="433" t="s">
        <v>572</v>
      </c>
      <c r="F115" s="54"/>
    </row>
    <row r="116" spans="2:6" s="1" customFormat="1" outlineLevel="1" x14ac:dyDescent="0.35">
      <c r="B116" s="51"/>
      <c r="F116" s="54"/>
    </row>
    <row r="117" spans="2:6" s="1" customFormat="1" outlineLevel="1" x14ac:dyDescent="0.35">
      <c r="B117" s="51"/>
      <c r="C117" s="808" t="s">
        <v>611</v>
      </c>
      <c r="D117" s="809"/>
      <c r="E117" s="810"/>
      <c r="F117" s="54"/>
    </row>
    <row r="118" spans="2:6" s="1" customFormat="1" outlineLevel="1" x14ac:dyDescent="0.35">
      <c r="B118" s="51"/>
      <c r="C118" s="201" t="s">
        <v>46</v>
      </c>
      <c r="D118" s="201" t="s">
        <v>612</v>
      </c>
      <c r="E118" s="201" t="s">
        <v>188</v>
      </c>
      <c r="F118" s="54"/>
    </row>
    <row r="119" spans="2:6" s="1" customFormat="1" outlineLevel="1" x14ac:dyDescent="0.35">
      <c r="B119" s="51"/>
      <c r="C119" s="9" t="s">
        <v>571</v>
      </c>
      <c r="D119" s="103">
        <v>0.97</v>
      </c>
      <c r="E119" s="433" t="s">
        <v>572</v>
      </c>
      <c r="F119" s="54"/>
    </row>
    <row r="120" spans="2:6" s="1" customFormat="1" outlineLevel="1" x14ac:dyDescent="0.35">
      <c r="B120" s="51"/>
      <c r="C120" s="9"/>
      <c r="D120" s="103"/>
      <c r="E120" s="9"/>
      <c r="F120" s="54"/>
    </row>
    <row r="121" spans="2:6" s="1" customFormat="1" outlineLevel="1" x14ac:dyDescent="0.35">
      <c r="B121" s="51"/>
      <c r="C121" s="9" t="s">
        <v>573</v>
      </c>
      <c r="D121" s="103">
        <v>0.9</v>
      </c>
      <c r="E121" s="433" t="s">
        <v>572</v>
      </c>
      <c r="F121" s="54"/>
    </row>
    <row r="122" spans="2:6" s="1" customFormat="1" outlineLevel="1" x14ac:dyDescent="0.35">
      <c r="B122" s="51"/>
      <c r="C122" s="9"/>
      <c r="D122" s="103"/>
      <c r="E122" s="9"/>
      <c r="F122" s="54"/>
    </row>
    <row r="123" spans="2:6" s="1" customFormat="1" outlineLevel="1" x14ac:dyDescent="0.35">
      <c r="B123" s="51"/>
      <c r="C123" s="9" t="s">
        <v>103</v>
      </c>
      <c r="D123" s="103">
        <v>0.9</v>
      </c>
      <c r="E123" s="433" t="s">
        <v>572</v>
      </c>
      <c r="F123" s="54"/>
    </row>
    <row r="124" spans="2:6" s="1" customFormat="1" outlineLevel="1" x14ac:dyDescent="0.35">
      <c r="B124" s="51"/>
      <c r="C124" s="9" t="s">
        <v>575</v>
      </c>
      <c r="D124" s="103">
        <v>0.95</v>
      </c>
      <c r="E124" s="433" t="s">
        <v>572</v>
      </c>
      <c r="F124" s="54"/>
    </row>
    <row r="125" spans="2:6" s="1" customFormat="1" outlineLevel="1" x14ac:dyDescent="0.35">
      <c r="B125" s="51"/>
      <c r="C125" s="9" t="s">
        <v>580</v>
      </c>
      <c r="D125" s="103">
        <v>0.95</v>
      </c>
      <c r="E125" s="433" t="s">
        <v>572</v>
      </c>
      <c r="F125" s="54"/>
    </row>
    <row r="126" spans="2:6" s="1" customFormat="1" outlineLevel="1" x14ac:dyDescent="0.35">
      <c r="B126" s="51"/>
      <c r="C126" s="9" t="s">
        <v>582</v>
      </c>
      <c r="D126" s="103">
        <v>0.9</v>
      </c>
      <c r="E126" s="433" t="s">
        <v>572</v>
      </c>
      <c r="F126" s="54"/>
    </row>
    <row r="127" spans="2:6" s="1" customFormat="1" outlineLevel="1" x14ac:dyDescent="0.35">
      <c r="B127" s="51"/>
      <c r="C127" s="9" t="s">
        <v>583</v>
      </c>
      <c r="D127" s="103">
        <v>0.91</v>
      </c>
      <c r="E127" s="433" t="s">
        <v>572</v>
      </c>
      <c r="F127" s="54"/>
    </row>
    <row r="128" spans="2:6" s="1" customFormat="1" outlineLevel="1" x14ac:dyDescent="0.35">
      <c r="B128" s="51"/>
      <c r="C128" s="9" t="s">
        <v>555</v>
      </c>
      <c r="D128" s="103">
        <v>0.9</v>
      </c>
      <c r="E128" s="433" t="s">
        <v>572</v>
      </c>
      <c r="F128" s="54"/>
    </row>
    <row r="129" spans="2:6" s="1" customFormat="1" outlineLevel="1" x14ac:dyDescent="0.35">
      <c r="B129" s="51"/>
      <c r="C129" s="9" t="s">
        <v>584</v>
      </c>
      <c r="D129" s="103">
        <v>0.9</v>
      </c>
      <c r="E129" s="433" t="s">
        <v>572</v>
      </c>
      <c r="F129" s="54"/>
    </row>
    <row r="130" spans="2:6" s="1" customFormat="1" outlineLevel="1" x14ac:dyDescent="0.35">
      <c r="B130" s="51"/>
      <c r="C130" s="9" t="s">
        <v>586</v>
      </c>
      <c r="D130" s="103">
        <v>0.91</v>
      </c>
      <c r="E130" s="433" t="s">
        <v>572</v>
      </c>
      <c r="F130" s="54"/>
    </row>
    <row r="131" spans="2:6" s="1" customFormat="1" outlineLevel="1" x14ac:dyDescent="0.35">
      <c r="B131" s="51"/>
      <c r="C131" s="9" t="s">
        <v>587</v>
      </c>
      <c r="D131" s="103">
        <v>0.95</v>
      </c>
      <c r="E131" s="433" t="s">
        <v>572</v>
      </c>
      <c r="F131" s="54"/>
    </row>
    <row r="132" spans="2:6" s="1" customFormat="1" outlineLevel="1" x14ac:dyDescent="0.35">
      <c r="B132" s="51"/>
      <c r="C132" s="9" t="s">
        <v>588</v>
      </c>
      <c r="D132" s="103">
        <v>0.88</v>
      </c>
      <c r="E132" s="433" t="s">
        <v>572</v>
      </c>
      <c r="F132" s="54"/>
    </row>
    <row r="133" spans="2:6" s="1" customFormat="1" outlineLevel="1" x14ac:dyDescent="0.35">
      <c r="B133" s="51"/>
      <c r="C133" s="212" t="s">
        <v>598</v>
      </c>
      <c r="D133" s="103"/>
      <c r="E133" s="9"/>
      <c r="F133" s="54"/>
    </row>
    <row r="134" spans="2:6" s="1" customFormat="1" outlineLevel="1" x14ac:dyDescent="0.35">
      <c r="B134" s="51"/>
      <c r="C134" s="9" t="s">
        <v>599</v>
      </c>
      <c r="D134" s="103">
        <v>0.88</v>
      </c>
      <c r="E134" s="433" t="s">
        <v>572</v>
      </c>
      <c r="F134" s="54"/>
    </row>
    <row r="135" spans="2:6" s="1" customFormat="1" outlineLevel="1" x14ac:dyDescent="0.35">
      <c r="B135" s="51"/>
      <c r="C135" s="9" t="s">
        <v>600</v>
      </c>
      <c r="D135" s="103">
        <v>0.94</v>
      </c>
      <c r="E135" s="433" t="s">
        <v>572</v>
      </c>
      <c r="F135" s="54"/>
    </row>
    <row r="136" spans="2:6" s="1" customFormat="1" outlineLevel="1" x14ac:dyDescent="0.35">
      <c r="B136" s="51"/>
      <c r="C136" s="9" t="s">
        <v>601</v>
      </c>
      <c r="D136" s="103">
        <v>0.95</v>
      </c>
      <c r="E136" s="433" t="s">
        <v>572</v>
      </c>
      <c r="F136" s="54"/>
    </row>
    <row r="137" spans="2:6" s="1" customFormat="1" outlineLevel="1" x14ac:dyDescent="0.35">
      <c r="B137" s="51"/>
      <c r="C137" s="9" t="s">
        <v>602</v>
      </c>
      <c r="D137" s="103">
        <v>0.85</v>
      </c>
      <c r="E137" s="433" t="s">
        <v>572</v>
      </c>
      <c r="F137" s="54"/>
    </row>
    <row r="138" spans="2:6" s="1" customFormat="1" outlineLevel="1" x14ac:dyDescent="0.35">
      <c r="B138" s="51"/>
      <c r="C138" s="9" t="s">
        <v>603</v>
      </c>
      <c r="D138" s="103">
        <v>0.88</v>
      </c>
      <c r="E138" s="433" t="s">
        <v>572</v>
      </c>
      <c r="F138" s="54"/>
    </row>
    <row r="139" spans="2:6" s="1" customFormat="1" outlineLevel="1" x14ac:dyDescent="0.35">
      <c r="B139" s="51"/>
      <c r="C139" s="9" t="s">
        <v>604</v>
      </c>
      <c r="D139" s="103">
        <v>0.73</v>
      </c>
      <c r="E139" s="433" t="s">
        <v>572</v>
      </c>
      <c r="F139" s="54"/>
    </row>
    <row r="140" spans="2:6" s="1" customFormat="1" outlineLevel="1" x14ac:dyDescent="0.35">
      <c r="B140" s="51"/>
      <c r="C140" s="9" t="s">
        <v>605</v>
      </c>
      <c r="D140" s="103">
        <v>0.9</v>
      </c>
      <c r="E140" s="433" t="s">
        <v>572</v>
      </c>
      <c r="F140" s="54"/>
    </row>
    <row r="141" spans="2:6" s="1" customFormat="1" outlineLevel="1" x14ac:dyDescent="0.35">
      <c r="B141" s="51"/>
      <c r="C141" s="9" t="s">
        <v>606</v>
      </c>
      <c r="D141" s="103">
        <v>0.85</v>
      </c>
      <c r="E141" s="433" t="s">
        <v>572</v>
      </c>
      <c r="F141" s="54"/>
    </row>
    <row r="142" spans="2:6" s="1" customFormat="1" outlineLevel="1" x14ac:dyDescent="0.35">
      <c r="B142" s="51"/>
      <c r="C142" s="9" t="s">
        <v>607</v>
      </c>
      <c r="D142" s="103">
        <v>0.875</v>
      </c>
      <c r="E142" s="433" t="s">
        <v>572</v>
      </c>
      <c r="F142" s="54"/>
    </row>
    <row r="143" spans="2:6" s="1" customFormat="1" outlineLevel="1" x14ac:dyDescent="0.35">
      <c r="B143" s="51"/>
      <c r="C143" s="9" t="s">
        <v>608</v>
      </c>
      <c r="D143" s="103">
        <v>0.87</v>
      </c>
      <c r="E143" s="433" t="s">
        <v>572</v>
      </c>
      <c r="F143" s="54"/>
    </row>
    <row r="144" spans="2:6" s="1" customFormat="1" outlineLevel="1" x14ac:dyDescent="0.35">
      <c r="B144" s="51"/>
      <c r="C144" s="9" t="s">
        <v>609</v>
      </c>
      <c r="D144" s="103">
        <v>1</v>
      </c>
      <c r="E144" s="433" t="s">
        <v>572</v>
      </c>
      <c r="F144" s="54"/>
    </row>
    <row r="145" spans="2:6" s="1" customFormat="1" outlineLevel="1" x14ac:dyDescent="0.35">
      <c r="B145" s="51"/>
      <c r="C145" s="9" t="s">
        <v>610</v>
      </c>
      <c r="D145" s="103">
        <v>0.75</v>
      </c>
      <c r="E145" s="433" t="s">
        <v>572</v>
      </c>
      <c r="F145" s="54"/>
    </row>
    <row r="146" spans="2:6" s="1" customFormat="1" outlineLevel="1" x14ac:dyDescent="0.35">
      <c r="B146" s="51"/>
      <c r="F146" s="54"/>
    </row>
    <row r="147" spans="2:6" s="1" customFormat="1" outlineLevel="1" x14ac:dyDescent="0.35">
      <c r="B147" s="51"/>
      <c r="C147" s="811" t="s">
        <v>613</v>
      </c>
      <c r="D147" s="776"/>
      <c r="E147" s="777"/>
      <c r="F147" s="54"/>
    </row>
    <row r="148" spans="2:6" s="1" customFormat="1" outlineLevel="1" x14ac:dyDescent="0.35">
      <c r="B148" s="51"/>
      <c r="C148" s="201" t="s">
        <v>46</v>
      </c>
      <c r="D148" s="201" t="s">
        <v>336</v>
      </c>
      <c r="E148" s="201" t="s">
        <v>188</v>
      </c>
      <c r="F148" s="54"/>
    </row>
    <row r="149" spans="2:6" s="1" customFormat="1" outlineLevel="1" x14ac:dyDescent="0.35">
      <c r="B149" s="51"/>
      <c r="C149" s="9" t="s">
        <v>614</v>
      </c>
      <c r="D149" s="103">
        <v>0.25</v>
      </c>
      <c r="E149" s="433" t="s">
        <v>572</v>
      </c>
      <c r="F149" s="54"/>
    </row>
    <row r="150" spans="2:6" s="1" customFormat="1" outlineLevel="1" x14ac:dyDescent="0.35">
      <c r="B150" s="51"/>
      <c r="C150" s="9" t="s">
        <v>615</v>
      </c>
      <c r="D150" s="103">
        <v>0.1</v>
      </c>
      <c r="E150" s="433" t="s">
        <v>572</v>
      </c>
      <c r="F150" s="54"/>
    </row>
    <row r="151" spans="2:6" s="1" customFormat="1" outlineLevel="1" x14ac:dyDescent="0.35">
      <c r="B151" s="51"/>
      <c r="C151" s="9" t="s">
        <v>616</v>
      </c>
      <c r="D151" s="103">
        <v>0.28000000000000003</v>
      </c>
      <c r="E151" s="433" t="s">
        <v>572</v>
      </c>
      <c r="F151" s="54"/>
    </row>
    <row r="152" spans="2:6" s="1" customFormat="1" outlineLevel="1" x14ac:dyDescent="0.35">
      <c r="B152" s="51"/>
      <c r="C152" s="9" t="s">
        <v>105</v>
      </c>
      <c r="D152" s="294">
        <v>0.24</v>
      </c>
      <c r="E152" s="433" t="s">
        <v>617</v>
      </c>
      <c r="F152" s="54"/>
    </row>
    <row r="153" spans="2:6" s="1" customFormat="1" outlineLevel="1" x14ac:dyDescent="0.35">
      <c r="B153" s="51"/>
      <c r="C153" s="9" t="s">
        <v>618</v>
      </c>
      <c r="D153" s="103">
        <v>0.06</v>
      </c>
      <c r="E153" s="433" t="s">
        <v>572</v>
      </c>
      <c r="F153" s="54"/>
    </row>
    <row r="154" spans="2:6" s="1" customFormat="1" outlineLevel="1" x14ac:dyDescent="0.35">
      <c r="B154" s="51"/>
      <c r="C154" s="9" t="s">
        <v>619</v>
      </c>
      <c r="D154" s="103">
        <v>0.4</v>
      </c>
      <c r="E154" s="433" t="s">
        <v>572</v>
      </c>
      <c r="F154" s="54"/>
    </row>
    <row r="155" spans="2:6" s="1" customFormat="1" outlineLevel="1" x14ac:dyDescent="0.35">
      <c r="B155" s="51"/>
      <c r="F155" s="54"/>
    </row>
    <row r="156" spans="2:6" s="1" customFormat="1" outlineLevel="1" x14ac:dyDescent="0.35">
      <c r="B156" s="51"/>
      <c r="F156" s="54"/>
    </row>
    <row r="157" spans="2:6" s="1" customFormat="1" outlineLevel="1" x14ac:dyDescent="0.35">
      <c r="B157" s="51"/>
      <c r="C157" s="808" t="s">
        <v>620</v>
      </c>
      <c r="D157" s="809"/>
      <c r="E157" s="810"/>
      <c r="F157" s="54"/>
    </row>
    <row r="158" spans="2:6" s="1" customFormat="1" outlineLevel="1" x14ac:dyDescent="0.35">
      <c r="B158" s="51"/>
      <c r="C158" s="201" t="s">
        <v>46</v>
      </c>
      <c r="D158" s="201" t="s">
        <v>612</v>
      </c>
      <c r="E158" s="201" t="s">
        <v>188</v>
      </c>
      <c r="F158" s="54"/>
    </row>
    <row r="159" spans="2:6" s="1" customFormat="1" outlineLevel="1" x14ac:dyDescent="0.35">
      <c r="B159" s="51"/>
      <c r="C159" s="9" t="s">
        <v>614</v>
      </c>
      <c r="D159" s="103">
        <v>0.8</v>
      </c>
      <c r="E159" s="433" t="s">
        <v>572</v>
      </c>
      <c r="F159" s="54"/>
    </row>
    <row r="160" spans="2:6" s="1" customFormat="1" outlineLevel="1" x14ac:dyDescent="0.35">
      <c r="B160" s="51"/>
      <c r="C160" s="9" t="s">
        <v>615</v>
      </c>
      <c r="D160" s="103">
        <v>0.8</v>
      </c>
      <c r="E160" s="433" t="s">
        <v>572</v>
      </c>
      <c r="F160" s="54"/>
    </row>
    <row r="161" spans="2:6" s="1" customFormat="1" outlineLevel="1" x14ac:dyDescent="0.35">
      <c r="B161" s="51"/>
      <c r="C161" s="9" t="s">
        <v>616</v>
      </c>
      <c r="D161" s="103">
        <v>0.75</v>
      </c>
      <c r="E161" s="433" t="s">
        <v>572</v>
      </c>
      <c r="F161" s="54"/>
    </row>
    <row r="162" spans="2:6" s="1" customFormat="1" outlineLevel="1" x14ac:dyDescent="0.35">
      <c r="B162" s="51"/>
      <c r="C162" s="9" t="s">
        <v>105</v>
      </c>
      <c r="D162" s="103">
        <f>22/24</f>
        <v>0.91666666666666663</v>
      </c>
      <c r="E162" s="433" t="s">
        <v>617</v>
      </c>
      <c r="F162" s="54"/>
    </row>
    <row r="163" spans="2:6" s="1" customFormat="1" outlineLevel="1" x14ac:dyDescent="0.35">
      <c r="B163" s="51"/>
      <c r="C163" s="9" t="s">
        <v>618</v>
      </c>
      <c r="D163" s="103">
        <v>0.75</v>
      </c>
      <c r="E163" s="433" t="s">
        <v>572</v>
      </c>
      <c r="F163" s="54"/>
    </row>
    <row r="164" spans="2:6" s="1" customFormat="1" outlineLevel="1" x14ac:dyDescent="0.35">
      <c r="B164" s="51"/>
      <c r="C164" s="9" t="s">
        <v>619</v>
      </c>
      <c r="D164" s="103">
        <v>0.75</v>
      </c>
      <c r="E164" s="433" t="s">
        <v>572</v>
      </c>
      <c r="F164" s="54"/>
    </row>
    <row r="165" spans="2:6" s="1" customFormat="1" outlineLevel="1" x14ac:dyDescent="0.35">
      <c r="B165" s="51"/>
      <c r="F165" s="54"/>
    </row>
    <row r="166" spans="2:6" s="1" customFormat="1" outlineLevel="1" x14ac:dyDescent="0.35">
      <c r="B166" s="51"/>
      <c r="C166" s="811" t="s">
        <v>621</v>
      </c>
      <c r="D166" s="776"/>
      <c r="E166" s="777"/>
      <c r="F166" s="54"/>
    </row>
    <row r="167" spans="2:6" s="1" customFormat="1" ht="15.6" outlineLevel="1" x14ac:dyDescent="0.35">
      <c r="B167" s="51"/>
      <c r="C167" s="201" t="s">
        <v>46</v>
      </c>
      <c r="D167" s="201" t="s">
        <v>622</v>
      </c>
      <c r="E167" s="201" t="s">
        <v>188</v>
      </c>
      <c r="F167" s="54"/>
    </row>
    <row r="168" spans="2:6" s="1" customFormat="1" outlineLevel="1" x14ac:dyDescent="0.35">
      <c r="B168" s="51"/>
      <c r="C168" s="213" t="s">
        <v>571</v>
      </c>
      <c r="D168" s="207">
        <v>389</v>
      </c>
      <c r="E168" s="433" t="s">
        <v>572</v>
      </c>
      <c r="F168" s="54"/>
    </row>
    <row r="169" spans="2:6" s="1" customFormat="1" outlineLevel="1" x14ac:dyDescent="0.35">
      <c r="B169" s="51"/>
      <c r="C169" s="213"/>
      <c r="D169" s="207"/>
      <c r="E169" s="211"/>
      <c r="F169" s="54"/>
    </row>
    <row r="170" spans="2:6" s="1" customFormat="1" outlineLevel="1" x14ac:dyDescent="0.35">
      <c r="B170" s="51"/>
      <c r="C170" s="213" t="s">
        <v>573</v>
      </c>
      <c r="D170" s="207">
        <v>350</v>
      </c>
      <c r="E170" s="433" t="s">
        <v>572</v>
      </c>
      <c r="F170" s="54"/>
    </row>
    <row r="171" spans="2:6" s="1" customFormat="1" outlineLevel="1" x14ac:dyDescent="0.35">
      <c r="B171" s="51"/>
      <c r="C171" s="213"/>
      <c r="D171" s="207"/>
      <c r="E171" s="211"/>
      <c r="F171" s="54"/>
    </row>
    <row r="172" spans="2:6" s="1" customFormat="1" outlineLevel="1" x14ac:dyDescent="0.35">
      <c r="B172" s="51"/>
      <c r="C172" s="213" t="s">
        <v>103</v>
      </c>
      <c r="D172" s="207">
        <v>310</v>
      </c>
      <c r="E172" s="433" t="s">
        <v>572</v>
      </c>
      <c r="F172" s="54"/>
    </row>
    <row r="173" spans="2:6" s="1" customFormat="1" outlineLevel="1" x14ac:dyDescent="0.35">
      <c r="B173" s="51"/>
      <c r="C173" s="213" t="s">
        <v>575</v>
      </c>
      <c r="D173" s="207">
        <v>340</v>
      </c>
      <c r="E173" s="433" t="s">
        <v>572</v>
      </c>
      <c r="F173" s="54"/>
    </row>
    <row r="174" spans="2:6" s="1" customFormat="1" outlineLevel="1" x14ac:dyDescent="0.35">
      <c r="B174" s="51"/>
      <c r="C174" s="213" t="s">
        <v>580</v>
      </c>
      <c r="D174" s="207">
        <v>218</v>
      </c>
      <c r="E174" s="433" t="s">
        <v>572</v>
      </c>
      <c r="F174" s="54"/>
    </row>
    <row r="175" spans="2:6" s="1" customFormat="1" outlineLevel="1" x14ac:dyDescent="0.35">
      <c r="B175" s="51"/>
      <c r="C175" s="213" t="s">
        <v>582</v>
      </c>
      <c r="D175" s="207">
        <v>324</v>
      </c>
      <c r="E175" s="433" t="s">
        <v>572</v>
      </c>
      <c r="F175" s="54"/>
    </row>
    <row r="176" spans="2:6" s="1" customFormat="1" outlineLevel="1" x14ac:dyDescent="0.35">
      <c r="B176" s="51"/>
      <c r="C176" s="213" t="s">
        <v>583</v>
      </c>
      <c r="D176" s="207">
        <v>286</v>
      </c>
      <c r="E176" s="433" t="s">
        <v>572</v>
      </c>
      <c r="F176" s="54"/>
    </row>
    <row r="177" spans="2:6" s="1" customFormat="1" outlineLevel="1" x14ac:dyDescent="0.35">
      <c r="B177" s="51"/>
      <c r="C177" s="213" t="s">
        <v>555</v>
      </c>
      <c r="D177" s="207">
        <v>350</v>
      </c>
      <c r="E177" s="433" t="s">
        <v>572</v>
      </c>
      <c r="F177" s="54"/>
    </row>
    <row r="178" spans="2:6" s="1" customFormat="1" outlineLevel="1" x14ac:dyDescent="0.35">
      <c r="B178" s="51"/>
      <c r="C178" s="213" t="s">
        <v>584</v>
      </c>
      <c r="D178" s="207">
        <v>298</v>
      </c>
      <c r="E178" s="433" t="s">
        <v>572</v>
      </c>
      <c r="F178" s="54"/>
    </row>
    <row r="179" spans="2:6" s="1" customFormat="1" outlineLevel="1" x14ac:dyDescent="0.35">
      <c r="B179" s="51"/>
      <c r="C179" s="213" t="s">
        <v>586</v>
      </c>
      <c r="D179" s="207">
        <v>291</v>
      </c>
      <c r="E179" s="433" t="s">
        <v>572</v>
      </c>
      <c r="F179" s="54"/>
    </row>
    <row r="180" spans="2:6" s="1" customFormat="1" outlineLevel="1" x14ac:dyDescent="0.35">
      <c r="B180" s="51"/>
      <c r="C180" s="213" t="s">
        <v>587</v>
      </c>
      <c r="D180" s="214">
        <v>329</v>
      </c>
      <c r="E180" s="433" t="s">
        <v>572</v>
      </c>
      <c r="F180" s="54"/>
    </row>
    <row r="181" spans="2:6" s="1" customFormat="1" outlineLevel="1" x14ac:dyDescent="0.35">
      <c r="B181" s="51"/>
      <c r="C181" s="213" t="s">
        <v>588</v>
      </c>
      <c r="D181" s="214">
        <v>319</v>
      </c>
      <c r="E181" s="433" t="s">
        <v>572</v>
      </c>
      <c r="F181" s="54"/>
    </row>
    <row r="182" spans="2:6" s="1" customFormat="1" outlineLevel="1" x14ac:dyDescent="0.35">
      <c r="B182" s="51"/>
      <c r="C182" s="295" t="s">
        <v>598</v>
      </c>
      <c r="D182" s="214"/>
      <c r="E182" s="215"/>
      <c r="F182" s="54"/>
    </row>
    <row r="183" spans="2:6" s="1" customFormat="1" outlineLevel="1" x14ac:dyDescent="0.35">
      <c r="B183" s="51"/>
      <c r="C183" s="213" t="s">
        <v>599</v>
      </c>
      <c r="D183" s="207">
        <v>453</v>
      </c>
      <c r="E183" s="215"/>
      <c r="F183" s="54"/>
    </row>
    <row r="184" spans="2:6" s="1" customFormat="1" outlineLevel="1" x14ac:dyDescent="0.35">
      <c r="B184" s="51"/>
      <c r="C184" s="213" t="s">
        <v>600</v>
      </c>
      <c r="D184" s="207">
        <v>385</v>
      </c>
      <c r="E184" s="211"/>
      <c r="F184" s="54"/>
    </row>
    <row r="185" spans="2:6" s="1" customFormat="1" outlineLevel="1" x14ac:dyDescent="0.35">
      <c r="B185" s="51"/>
      <c r="C185" s="213" t="s">
        <v>601</v>
      </c>
      <c r="D185" s="207">
        <v>285</v>
      </c>
      <c r="E185" s="211"/>
      <c r="F185" s="54"/>
    </row>
    <row r="186" spans="2:6" s="1" customFormat="1" outlineLevel="1" x14ac:dyDescent="0.35">
      <c r="B186" s="51"/>
      <c r="C186" s="213" t="s">
        <v>602</v>
      </c>
      <c r="D186" s="207">
        <v>448</v>
      </c>
      <c r="E186" s="211"/>
      <c r="F186" s="54"/>
    </row>
    <row r="187" spans="2:6" s="1" customFormat="1" outlineLevel="1" x14ac:dyDescent="0.35">
      <c r="B187" s="51"/>
      <c r="C187" s="213" t="s">
        <v>603</v>
      </c>
      <c r="D187" s="207">
        <v>308</v>
      </c>
      <c r="E187" s="211"/>
      <c r="F187" s="54"/>
    </row>
    <row r="188" spans="2:6" s="1" customFormat="1" outlineLevel="1" x14ac:dyDescent="0.35">
      <c r="B188" s="51"/>
      <c r="C188" s="213" t="s">
        <v>604</v>
      </c>
      <c r="D188" s="207">
        <v>963</v>
      </c>
      <c r="E188" s="211"/>
      <c r="F188" s="54"/>
    </row>
    <row r="189" spans="2:6" s="1" customFormat="1" outlineLevel="1" x14ac:dyDescent="0.35">
      <c r="B189" s="51"/>
      <c r="C189" s="213" t="s">
        <v>605</v>
      </c>
      <c r="D189" s="207">
        <v>336</v>
      </c>
      <c r="E189" s="211"/>
      <c r="F189" s="54"/>
    </row>
    <row r="190" spans="2:6" s="1" customFormat="1" outlineLevel="1" x14ac:dyDescent="0.35">
      <c r="B190" s="51"/>
      <c r="C190" s="213" t="s">
        <v>606</v>
      </c>
      <c r="D190" s="207">
        <v>362</v>
      </c>
      <c r="E190" s="211"/>
      <c r="F190" s="54"/>
    </row>
    <row r="191" spans="2:6" s="1" customFormat="1" outlineLevel="1" x14ac:dyDescent="0.35">
      <c r="B191" s="51"/>
      <c r="C191" s="213" t="s">
        <v>607</v>
      </c>
      <c r="D191" s="207">
        <v>369</v>
      </c>
      <c r="E191" s="211"/>
      <c r="F191" s="54"/>
    </row>
    <row r="192" spans="2:6" s="1" customFormat="1" outlineLevel="1" x14ac:dyDescent="0.35">
      <c r="B192" s="51"/>
      <c r="C192" s="213" t="s">
        <v>608</v>
      </c>
      <c r="D192" s="207">
        <v>396</v>
      </c>
      <c r="E192" s="211"/>
      <c r="F192" s="54"/>
    </row>
    <row r="193" spans="2:6" s="1" customFormat="1" outlineLevel="1" x14ac:dyDescent="0.35">
      <c r="B193" s="51"/>
      <c r="C193" s="213" t="s">
        <v>609</v>
      </c>
      <c r="D193" s="207">
        <v>185</v>
      </c>
      <c r="E193" s="211"/>
      <c r="F193" s="54"/>
    </row>
    <row r="194" spans="2:6" s="1" customFormat="1" outlineLevel="1" x14ac:dyDescent="0.35">
      <c r="B194" s="51"/>
      <c r="C194" s="213" t="s">
        <v>610</v>
      </c>
      <c r="D194" s="207">
        <v>313</v>
      </c>
      <c r="E194" s="433" t="s">
        <v>572</v>
      </c>
      <c r="F194" s="54"/>
    </row>
    <row r="195" spans="2:6" s="1" customFormat="1" outlineLevel="1" x14ac:dyDescent="0.35">
      <c r="B195" s="51"/>
      <c r="F195" s="54"/>
    </row>
    <row r="196" spans="2:6" s="1" customFormat="1" outlineLevel="1" x14ac:dyDescent="0.35">
      <c r="B196" s="51"/>
      <c r="C196" s="811" t="s">
        <v>623</v>
      </c>
      <c r="D196" s="776"/>
      <c r="E196" s="777"/>
      <c r="F196" s="54"/>
    </row>
    <row r="197" spans="2:6" s="1" customFormat="1" ht="15.6" outlineLevel="1" x14ac:dyDescent="0.35">
      <c r="B197" s="51"/>
      <c r="C197" s="201" t="s">
        <v>46</v>
      </c>
      <c r="D197" s="201" t="s">
        <v>622</v>
      </c>
      <c r="E197" s="201" t="s">
        <v>188</v>
      </c>
      <c r="F197" s="54"/>
    </row>
    <row r="198" spans="2:6" s="1" customFormat="1" outlineLevel="1" x14ac:dyDescent="0.35">
      <c r="B198" s="51"/>
      <c r="C198" s="9" t="s">
        <v>614</v>
      </c>
      <c r="D198" s="207">
        <v>250</v>
      </c>
      <c r="E198" s="433" t="s">
        <v>572</v>
      </c>
      <c r="F198" s="54"/>
    </row>
    <row r="199" spans="2:6" s="1" customFormat="1" outlineLevel="1" x14ac:dyDescent="0.35">
      <c r="B199" s="51"/>
      <c r="C199" s="9" t="s">
        <v>615</v>
      </c>
      <c r="D199" s="207">
        <v>210</v>
      </c>
      <c r="E199" s="433" t="s">
        <v>572</v>
      </c>
      <c r="F199" s="54"/>
    </row>
    <row r="200" spans="2:6" s="1" customFormat="1" outlineLevel="1" x14ac:dyDescent="0.35">
      <c r="B200" s="51"/>
      <c r="C200" s="9" t="s">
        <v>616</v>
      </c>
      <c r="D200" s="207">
        <v>165</v>
      </c>
      <c r="E200" s="433" t="s">
        <v>572</v>
      </c>
      <c r="F200" s="54"/>
    </row>
    <row r="201" spans="2:6" s="1" customFormat="1" outlineLevel="1" x14ac:dyDescent="0.35">
      <c r="B201" s="51"/>
      <c r="C201" s="9" t="s">
        <v>105</v>
      </c>
      <c r="D201" s="214">
        <v>450</v>
      </c>
      <c r="E201" s="433" t="s">
        <v>617</v>
      </c>
      <c r="F201" s="54"/>
    </row>
    <row r="202" spans="2:6" s="1" customFormat="1" outlineLevel="1" x14ac:dyDescent="0.35">
      <c r="B202" s="51"/>
      <c r="C202" s="9" t="s">
        <v>618</v>
      </c>
      <c r="D202" s="207">
        <v>153</v>
      </c>
      <c r="E202" s="433" t="s">
        <v>572</v>
      </c>
      <c r="F202" s="54"/>
    </row>
    <row r="203" spans="2:6" s="1" customFormat="1" outlineLevel="1" x14ac:dyDescent="0.35">
      <c r="B203" s="51"/>
      <c r="C203" s="9" t="s">
        <v>619</v>
      </c>
      <c r="D203" s="207">
        <v>280</v>
      </c>
      <c r="E203" s="433" t="s">
        <v>572</v>
      </c>
      <c r="F203" s="54"/>
    </row>
    <row r="204" spans="2:6" s="1" customFormat="1" outlineLevel="1" x14ac:dyDescent="0.35">
      <c r="B204" s="51"/>
      <c r="F204" s="54"/>
    </row>
    <row r="205" spans="2:6" s="1" customFormat="1" outlineLevel="1" x14ac:dyDescent="0.35">
      <c r="B205" s="51"/>
      <c r="C205" s="811" t="s">
        <v>624</v>
      </c>
      <c r="D205" s="776"/>
      <c r="E205" s="777"/>
      <c r="F205" s="54"/>
    </row>
    <row r="206" spans="2:6" s="1" customFormat="1" outlineLevel="1" x14ac:dyDescent="0.35">
      <c r="B206" s="51"/>
      <c r="C206" s="201" t="s">
        <v>625</v>
      </c>
      <c r="D206" s="201" t="s">
        <v>461</v>
      </c>
      <c r="E206" s="201" t="s">
        <v>188</v>
      </c>
      <c r="F206" s="54"/>
    </row>
    <row r="207" spans="2:6" s="1" customFormat="1" outlineLevel="1" x14ac:dyDescent="0.35">
      <c r="B207" s="51"/>
      <c r="C207" s="97" t="s">
        <v>626</v>
      </c>
      <c r="D207" s="9">
        <v>0</v>
      </c>
      <c r="E207" s="9" t="s">
        <v>554</v>
      </c>
      <c r="F207" s="54"/>
    </row>
    <row r="208" spans="2:6" s="1" customFormat="1" outlineLevel="1" x14ac:dyDescent="0.35">
      <c r="B208" s="51"/>
      <c r="C208" s="98">
        <v>0.85</v>
      </c>
      <c r="D208" s="9">
        <v>0.6</v>
      </c>
      <c r="E208" s="9" t="s">
        <v>554</v>
      </c>
      <c r="F208" s="54"/>
    </row>
    <row r="209" spans="2:6" s="1" customFormat="1" outlineLevel="1" x14ac:dyDescent="0.35">
      <c r="B209" s="51"/>
      <c r="C209" s="98">
        <v>0.8</v>
      </c>
      <c r="D209" s="9">
        <v>1.6140000000000001</v>
      </c>
      <c r="E209" s="9" t="s">
        <v>554</v>
      </c>
      <c r="F209" s="54"/>
    </row>
    <row r="210" spans="2:6" s="1" customFormat="1" ht="14.25" customHeight="1" outlineLevel="1" x14ac:dyDescent="0.35">
      <c r="B210" s="51"/>
      <c r="C210" s="156">
        <v>9.1999999999999998E-2</v>
      </c>
      <c r="D210" s="9">
        <v>15.8</v>
      </c>
      <c r="E210" s="648" t="s">
        <v>627</v>
      </c>
      <c r="F210" s="54"/>
    </row>
    <row r="211" spans="2:6" s="1" customFormat="1" ht="14.25" customHeight="1" outlineLevel="1" x14ac:dyDescent="0.35">
      <c r="B211" s="51"/>
      <c r="C211" s="156">
        <v>9.9000000000000005E-2</v>
      </c>
      <c r="D211" s="9">
        <v>15</v>
      </c>
      <c r="E211" s="648" t="s">
        <v>627</v>
      </c>
      <c r="F211" s="54"/>
    </row>
    <row r="212" spans="2:6" s="1" customFormat="1" outlineLevel="1" x14ac:dyDescent="0.35">
      <c r="B212" s="51"/>
      <c r="C212" s="156">
        <v>0</v>
      </c>
      <c r="D212" s="9">
        <v>17.833300000000001</v>
      </c>
      <c r="E212" s="9" t="s">
        <v>554</v>
      </c>
      <c r="F212" s="54"/>
    </row>
    <row r="213" spans="2:6" s="1" customFormat="1" outlineLevel="1" x14ac:dyDescent="0.35">
      <c r="B213" s="51"/>
      <c r="C213" s="156"/>
      <c r="D213" s="9"/>
      <c r="E213" s="9"/>
      <c r="F213" s="54"/>
    </row>
    <row r="214" spans="2:6" s="1" customFormat="1" outlineLevel="1" x14ac:dyDescent="0.35">
      <c r="B214" s="51"/>
      <c r="C214" s="808" t="s">
        <v>628</v>
      </c>
      <c r="D214" s="809"/>
      <c r="E214" s="810"/>
      <c r="F214" s="54"/>
    </row>
    <row r="215" spans="2:6" s="1" customFormat="1" outlineLevel="1" x14ac:dyDescent="0.35">
      <c r="B215" s="51"/>
      <c r="C215" s="201" t="s">
        <v>629</v>
      </c>
      <c r="D215" s="201" t="s">
        <v>630</v>
      </c>
      <c r="E215" s="201" t="s">
        <v>188</v>
      </c>
      <c r="F215" s="54"/>
    </row>
    <row r="216" spans="2:6" s="1" customFormat="1" outlineLevel="1" x14ac:dyDescent="0.35">
      <c r="B216" s="51"/>
      <c r="C216" s="97" t="s">
        <v>629</v>
      </c>
      <c r="D216" s="9">
        <v>12</v>
      </c>
      <c r="E216" s="433" t="s">
        <v>631</v>
      </c>
      <c r="F216" s="54"/>
    </row>
    <row r="217" spans="2:6" s="1" customFormat="1" outlineLevel="1" x14ac:dyDescent="0.35">
      <c r="B217" s="51"/>
      <c r="F217" s="54"/>
    </row>
    <row r="218" spans="2:6" s="1" customFormat="1" outlineLevel="1" x14ac:dyDescent="0.35">
      <c r="B218" s="51"/>
      <c r="C218" s="811" t="s">
        <v>632</v>
      </c>
      <c r="D218" s="776"/>
      <c r="E218" s="777"/>
      <c r="F218" s="54"/>
    </row>
    <row r="219" spans="2:6" s="1" customFormat="1" outlineLevel="1" x14ac:dyDescent="0.35">
      <c r="B219" s="51"/>
      <c r="C219" s="201" t="s">
        <v>633</v>
      </c>
      <c r="D219" s="201" t="s">
        <v>140</v>
      </c>
      <c r="E219" s="201" t="s">
        <v>188</v>
      </c>
      <c r="F219" s="54"/>
    </row>
    <row r="220" spans="2:6" s="1" customFormat="1" outlineLevel="1" x14ac:dyDescent="0.35">
      <c r="B220" s="51"/>
      <c r="C220" s="9" t="s">
        <v>634</v>
      </c>
      <c r="D220" s="422">
        <v>0.01</v>
      </c>
      <c r="E220" s="695" t="s">
        <v>751</v>
      </c>
      <c r="F220" s="54"/>
    </row>
    <row r="221" spans="2:6" s="1" customFormat="1" outlineLevel="1" x14ac:dyDescent="0.35">
      <c r="B221" s="51"/>
      <c r="C221" s="9" t="s">
        <v>635</v>
      </c>
      <c r="D221" s="103">
        <v>0.03</v>
      </c>
      <c r="E221" s="695" t="s">
        <v>751</v>
      </c>
      <c r="F221" s="54"/>
    </row>
    <row r="222" spans="2:6" s="1" customFormat="1" outlineLevel="1" x14ac:dyDescent="0.35">
      <c r="B222" s="51"/>
      <c r="C222" s="9" t="s">
        <v>636</v>
      </c>
      <c r="D222" s="103">
        <v>0</v>
      </c>
      <c r="E222" s="9" t="s">
        <v>554</v>
      </c>
      <c r="F222" s="54"/>
    </row>
    <row r="223" spans="2:6" s="1" customFormat="1" outlineLevel="1" x14ac:dyDescent="0.35">
      <c r="B223" s="51"/>
      <c r="F223" s="54"/>
    </row>
    <row r="224" spans="2:6" s="1" customFormat="1" outlineLevel="1" x14ac:dyDescent="0.35">
      <c r="B224" s="51"/>
      <c r="C224" s="811" t="s">
        <v>637</v>
      </c>
      <c r="D224" s="776"/>
      <c r="E224" s="777"/>
      <c r="F224" s="54"/>
    </row>
    <row r="225" spans="2:6" s="1" customFormat="1" outlineLevel="1" x14ac:dyDescent="0.35">
      <c r="B225" s="51"/>
      <c r="C225" s="201" t="s">
        <v>163</v>
      </c>
      <c r="D225" s="201" t="s">
        <v>638</v>
      </c>
      <c r="E225" s="201" t="s">
        <v>188</v>
      </c>
      <c r="F225" s="54"/>
    </row>
    <row r="226" spans="2:6" s="1" customFormat="1" outlineLevel="1" x14ac:dyDescent="0.35">
      <c r="B226" s="51"/>
      <c r="C226" s="9" t="s">
        <v>639</v>
      </c>
      <c r="D226" s="127">
        <v>0.252</v>
      </c>
      <c r="E226" s="433" t="s">
        <v>631</v>
      </c>
      <c r="F226" s="54"/>
    </row>
    <row r="227" spans="2:6" s="1" customFormat="1" outlineLevel="1" x14ac:dyDescent="0.35">
      <c r="B227" s="51"/>
      <c r="C227" s="9" t="s">
        <v>640</v>
      </c>
      <c r="D227" s="9">
        <v>0.21</v>
      </c>
      <c r="E227" s="433" t="s">
        <v>536</v>
      </c>
      <c r="F227" s="54"/>
    </row>
    <row r="228" spans="2:6" s="1" customFormat="1" outlineLevel="1" x14ac:dyDescent="0.35">
      <c r="B228" s="51"/>
      <c r="C228" s="9" t="s">
        <v>641</v>
      </c>
      <c r="D228" s="9">
        <v>2.2378200000000001</v>
      </c>
      <c r="E228" s="433" t="s">
        <v>536</v>
      </c>
      <c r="F228" s="54"/>
    </row>
    <row r="229" spans="2:6" s="1" customFormat="1" outlineLevel="1" x14ac:dyDescent="0.35">
      <c r="B229" s="51"/>
      <c r="C229" s="9" t="s">
        <v>642</v>
      </c>
      <c r="D229" s="9">
        <v>0.81108000000000002</v>
      </c>
      <c r="E229" s="433" t="s">
        <v>536</v>
      </c>
      <c r="F229" s="54"/>
    </row>
    <row r="230" spans="2:6" s="1" customFormat="1" outlineLevel="1" x14ac:dyDescent="0.35">
      <c r="B230" s="51"/>
      <c r="C230" s="9" t="s">
        <v>643</v>
      </c>
      <c r="D230" s="9">
        <v>0.87348000000000003</v>
      </c>
      <c r="E230" s="433" t="s">
        <v>536</v>
      </c>
      <c r="F230" s="54"/>
    </row>
    <row r="231" spans="2:6" s="1" customFormat="1" outlineLevel="1" x14ac:dyDescent="0.35">
      <c r="B231" s="51"/>
      <c r="C231" s="9" t="s">
        <v>644</v>
      </c>
      <c r="D231" s="9">
        <v>0.32400000000000001</v>
      </c>
      <c r="E231" s="433" t="s">
        <v>536</v>
      </c>
      <c r="F231" s="54"/>
    </row>
    <row r="232" spans="2:6" s="1" customFormat="1" outlineLevel="1" x14ac:dyDescent="0.35">
      <c r="B232" s="51"/>
      <c r="C232" s="9" t="s">
        <v>164</v>
      </c>
      <c r="D232" s="9"/>
      <c r="E232" s="99"/>
      <c r="F232" s="54"/>
    </row>
    <row r="233" spans="2:6" s="1" customFormat="1" outlineLevel="1" x14ac:dyDescent="0.35">
      <c r="B233" s="51"/>
      <c r="E233" s="21"/>
      <c r="F233" s="54"/>
    </row>
    <row r="234" spans="2:6" s="1" customFormat="1" outlineLevel="1" x14ac:dyDescent="0.35">
      <c r="B234" s="51"/>
      <c r="C234" s="822" t="s">
        <v>645</v>
      </c>
      <c r="D234" s="830"/>
      <c r="E234" s="831"/>
      <c r="F234" s="54"/>
    </row>
    <row r="235" spans="2:6" s="1" customFormat="1" outlineLevel="1" x14ac:dyDescent="0.35">
      <c r="B235" s="51"/>
      <c r="C235" s="439"/>
      <c r="D235" s="439"/>
      <c r="E235" s="439"/>
      <c r="F235" s="54"/>
    </row>
    <row r="236" spans="2:6" s="1" customFormat="1" outlineLevel="1" x14ac:dyDescent="0.35">
      <c r="B236" s="51"/>
      <c r="C236" s="440" t="s">
        <v>646</v>
      </c>
      <c r="D236" s="441">
        <v>0</v>
      </c>
      <c r="E236" s="442" t="s">
        <v>647</v>
      </c>
      <c r="F236" s="54"/>
    </row>
    <row r="237" spans="2:6" s="1" customFormat="1" outlineLevel="1" x14ac:dyDescent="0.35">
      <c r="B237" s="51"/>
      <c r="C237" s="443" t="s">
        <v>648</v>
      </c>
      <c r="D237" s="444">
        <v>3.3999999999999998E-3</v>
      </c>
      <c r="E237" s="445" t="s">
        <v>649</v>
      </c>
      <c r="F237" s="54"/>
    </row>
    <row r="238" spans="2:6" s="1" customFormat="1" outlineLevel="1" x14ac:dyDescent="0.35">
      <c r="B238" s="51"/>
      <c r="C238" s="440" t="s">
        <v>650</v>
      </c>
      <c r="D238" s="446"/>
      <c r="E238" s="442"/>
      <c r="F238" s="54"/>
    </row>
    <row r="239" spans="2:6" s="1" customFormat="1" outlineLevel="1" x14ac:dyDescent="0.35">
      <c r="B239" s="51"/>
      <c r="C239" s="443" t="s">
        <v>651</v>
      </c>
      <c r="D239" s="447">
        <v>2.1999999999999999E-2</v>
      </c>
      <c r="E239" s="445" t="s">
        <v>647</v>
      </c>
      <c r="F239" s="54"/>
    </row>
    <row r="240" spans="2:6" s="1" customFormat="1" outlineLevel="1" x14ac:dyDescent="0.35">
      <c r="B240" s="51"/>
      <c r="C240" s="440" t="s">
        <v>652</v>
      </c>
      <c r="D240" s="441">
        <v>2.46E-2</v>
      </c>
      <c r="E240" s="442" t="s">
        <v>647</v>
      </c>
      <c r="F240" s="54"/>
    </row>
    <row r="241" spans="2:8" s="1" customFormat="1" outlineLevel="1" x14ac:dyDescent="0.35">
      <c r="B241" s="107"/>
      <c r="C241" s="85"/>
      <c r="D241" s="85"/>
      <c r="E241" s="85"/>
      <c r="F241" s="90"/>
    </row>
    <row r="242" spans="2:8" s="1" customFormat="1" x14ac:dyDescent="0.35"/>
    <row r="243" spans="2:8" s="1" customFormat="1" x14ac:dyDescent="0.35"/>
    <row r="244" spans="2:8" s="1" customFormat="1" x14ac:dyDescent="0.35">
      <c r="B244" s="827" t="s">
        <v>653</v>
      </c>
      <c r="C244" s="828"/>
      <c r="D244" s="828"/>
      <c r="E244" s="828"/>
      <c r="F244" s="829"/>
    </row>
    <row r="245" spans="2:8" s="1" customFormat="1" x14ac:dyDescent="0.35">
      <c r="B245" s="51"/>
      <c r="F245" s="54"/>
    </row>
    <row r="246" spans="2:8" s="1" customFormat="1" x14ac:dyDescent="0.35">
      <c r="B246" s="51"/>
      <c r="C246" s="420"/>
      <c r="D246" s="429" t="s">
        <v>654</v>
      </c>
      <c r="E246" s="421"/>
      <c r="F246" s="54"/>
    </row>
    <row r="247" spans="2:8" s="1" customFormat="1" x14ac:dyDescent="0.35">
      <c r="B247" s="51"/>
      <c r="C247" s="102" t="s">
        <v>655</v>
      </c>
      <c r="D247" s="428" t="s">
        <v>656</v>
      </c>
      <c r="E247" s="8" t="s">
        <v>188</v>
      </c>
      <c r="F247" s="54"/>
    </row>
    <row r="248" spans="2:8" s="1" customFormat="1" x14ac:dyDescent="0.35">
      <c r="B248" s="51"/>
      <c r="C248" s="425" t="s">
        <v>657</v>
      </c>
      <c r="D248" s="426" t="s">
        <v>658</v>
      </c>
      <c r="E248" s="608" t="s">
        <v>631</v>
      </c>
      <c r="F248" s="54"/>
    </row>
    <row r="249" spans="2:8" s="1" customFormat="1" x14ac:dyDescent="0.35">
      <c r="B249" s="51"/>
      <c r="C249" s="425" t="s">
        <v>659</v>
      </c>
      <c r="D249" s="426" t="s">
        <v>658</v>
      </c>
      <c r="E249" s="608" t="s">
        <v>660</v>
      </c>
      <c r="F249" s="54"/>
    </row>
    <row r="250" spans="2:8" s="1" customFormat="1" x14ac:dyDescent="0.35">
      <c r="B250" s="51"/>
      <c r="C250" s="427" t="s">
        <v>417</v>
      </c>
      <c r="D250" s="426" t="s">
        <v>658</v>
      </c>
      <c r="E250" s="608" t="s">
        <v>661</v>
      </c>
      <c r="F250" s="54"/>
    </row>
    <row r="251" spans="2:8" s="1" customFormat="1" x14ac:dyDescent="0.35">
      <c r="B251" s="51"/>
      <c r="C251" s="427" t="s">
        <v>662</v>
      </c>
      <c r="D251" s="426" t="s">
        <v>658</v>
      </c>
      <c r="E251" s="608" t="s">
        <v>663</v>
      </c>
      <c r="F251" s="54"/>
    </row>
    <row r="252" spans="2:8" s="1" customFormat="1" x14ac:dyDescent="0.35">
      <c r="B252" s="51"/>
      <c r="C252" s="427" t="s">
        <v>664</v>
      </c>
      <c r="D252" s="426" t="s">
        <v>658</v>
      </c>
      <c r="E252" s="608" t="s">
        <v>665</v>
      </c>
      <c r="F252" s="54"/>
    </row>
    <row r="253" spans="2:8" s="1" customFormat="1" x14ac:dyDescent="0.35">
      <c r="B253" s="51"/>
      <c r="C253" s="423" t="s">
        <v>666</v>
      </c>
      <c r="D253" s="424" t="s">
        <v>667</v>
      </c>
      <c r="E253" s="608" t="s">
        <v>668</v>
      </c>
      <c r="F253" s="54"/>
    </row>
    <row r="254" spans="2:8" s="1" customFormat="1" x14ac:dyDescent="0.35">
      <c r="B254" s="107"/>
      <c r="C254" s="85"/>
      <c r="D254" s="85"/>
      <c r="E254" s="85"/>
      <c r="F254" s="90"/>
    </row>
    <row r="255" spans="2:8" s="1" customFormat="1" x14ac:dyDescent="0.35"/>
    <row r="256" spans="2:8" s="1" customFormat="1" x14ac:dyDescent="0.35">
      <c r="F256" s="8"/>
      <c r="G256" s="21"/>
      <c r="H256" s="21"/>
    </row>
    <row r="257" spans="2:11" s="101" customFormat="1" ht="19.2" x14ac:dyDescent="0.45">
      <c r="B257" s="818" t="s">
        <v>669</v>
      </c>
      <c r="C257" s="819"/>
      <c r="D257" s="819"/>
      <c r="E257" s="819"/>
      <c r="F257" s="820"/>
    </row>
    <row r="258" spans="2:11" s="1" customFormat="1" outlineLevel="1" x14ac:dyDescent="0.35">
      <c r="B258" s="51"/>
      <c r="E258" s="108"/>
      <c r="F258" s="54"/>
    </row>
    <row r="259" spans="2:11" s="1" customFormat="1" outlineLevel="1" x14ac:dyDescent="0.35">
      <c r="B259" s="51"/>
      <c r="C259" s="811" t="s">
        <v>670</v>
      </c>
      <c r="D259" s="776"/>
      <c r="E259" s="777"/>
      <c r="F259" s="54"/>
      <c r="I259" s="100"/>
      <c r="J259" s="100"/>
    </row>
    <row r="260" spans="2:11" s="1" customFormat="1" outlineLevel="1" x14ac:dyDescent="0.35">
      <c r="B260" s="51"/>
      <c r="C260" s="9" t="s">
        <v>160</v>
      </c>
      <c r="D260" s="9" t="s">
        <v>671</v>
      </c>
      <c r="E260" s="9" t="s">
        <v>188</v>
      </c>
      <c r="F260" s="102"/>
      <c r="G260" s="8"/>
      <c r="H260" s="21"/>
      <c r="I260" s="21"/>
      <c r="J260" s="21"/>
      <c r="K260" s="21"/>
    </row>
    <row r="261" spans="2:11" s="1" customFormat="1" outlineLevel="1" x14ac:dyDescent="0.35">
      <c r="B261" s="51"/>
      <c r="C261" s="9" t="s">
        <v>166</v>
      </c>
      <c r="D261" s="10">
        <f>((0.254092761073826+0.06181)*1000/D49)</f>
        <v>87.750766964951652</v>
      </c>
      <c r="E261" s="433" t="s">
        <v>672</v>
      </c>
      <c r="F261" s="54"/>
      <c r="I261" s="21"/>
      <c r="J261" s="21"/>
      <c r="K261" s="21"/>
    </row>
    <row r="262" spans="2:11" s="1" customFormat="1" outlineLevel="1" x14ac:dyDescent="0.35">
      <c r="B262" s="51"/>
      <c r="C262" s="9" t="s">
        <v>471</v>
      </c>
      <c r="D262" s="10">
        <f>((0.285231775838926+0.06291)*1000/D49)</f>
        <v>96.706048844146125</v>
      </c>
      <c r="E262" s="433" t="s">
        <v>672</v>
      </c>
      <c r="F262" s="54"/>
      <c r="I262" s="21"/>
      <c r="J262" s="21"/>
      <c r="K262" s="21"/>
    </row>
    <row r="263" spans="2:11" s="1" customFormat="1" outlineLevel="1" x14ac:dyDescent="0.35">
      <c r="B263" s="51"/>
      <c r="C263" s="9" t="s">
        <v>473</v>
      </c>
      <c r="D263" s="10">
        <f>((0.278690213422819+0.06291)*1000/D49)</f>
        <v>94.888948173005261</v>
      </c>
      <c r="E263" s="433" t="s">
        <v>672</v>
      </c>
      <c r="F263" s="54"/>
      <c r="I263" s="21"/>
      <c r="J263" s="21"/>
      <c r="K263" s="21"/>
    </row>
    <row r="264" spans="2:11" s="1" customFormat="1" outlineLevel="1" x14ac:dyDescent="0.35">
      <c r="B264" s="51"/>
      <c r="C264" s="9" t="s">
        <v>475</v>
      </c>
      <c r="D264" s="10">
        <f>((0.233965161073826+0.0648)*1000/D49)</f>
        <v>82.99032252050722</v>
      </c>
      <c r="E264" s="433" t="s">
        <v>672</v>
      </c>
      <c r="F264" s="54"/>
      <c r="I264" s="21"/>
      <c r="J264" s="21"/>
      <c r="K264" s="21"/>
    </row>
    <row r="265" spans="2:11" s="1" customFormat="1" outlineLevel="1" x14ac:dyDescent="0.35">
      <c r="B265" s="51"/>
      <c r="C265" s="9" t="s">
        <v>673</v>
      </c>
      <c r="D265" s="10">
        <f>((0.202671418791946+0.03347)*1000/D49)</f>
        <v>65.594838553318326</v>
      </c>
      <c r="E265" s="433" t="s">
        <v>672</v>
      </c>
      <c r="F265" s="54"/>
      <c r="I265" s="21"/>
      <c r="J265" s="21"/>
      <c r="K265" s="21"/>
    </row>
    <row r="266" spans="2:11" s="1" customFormat="1" outlineLevel="1" x14ac:dyDescent="0.35">
      <c r="B266" s="51"/>
      <c r="C266" s="9" t="s">
        <v>486</v>
      </c>
      <c r="D266" s="10">
        <v>99.57</v>
      </c>
      <c r="E266" s="433" t="s">
        <v>536</v>
      </c>
      <c r="F266" s="54"/>
      <c r="I266" s="21"/>
      <c r="J266" s="21"/>
      <c r="K266" s="21"/>
    </row>
    <row r="267" spans="2:11" s="1" customFormat="1" outlineLevel="1" x14ac:dyDescent="0.35">
      <c r="B267" s="51"/>
      <c r="C267" s="9" t="s">
        <v>379</v>
      </c>
      <c r="D267" s="10">
        <f xml:space="preserve"> (0.207074*1000)/D49</f>
        <v>57.520555555555561</v>
      </c>
      <c r="E267" s="433" t="s">
        <v>672</v>
      </c>
      <c r="F267" s="54"/>
      <c r="I267" s="21"/>
      <c r="J267" s="21"/>
      <c r="K267" s="21"/>
    </row>
    <row r="268" spans="2:11" s="1" customFormat="1" outlineLevel="1" x14ac:dyDescent="0.35">
      <c r="B268" s="51"/>
      <c r="C268" s="9" t="s">
        <v>674</v>
      </c>
      <c r="D268" s="10">
        <v>150.1</v>
      </c>
      <c r="E268" s="433" t="s">
        <v>536</v>
      </c>
      <c r="F268" s="54"/>
      <c r="I268" s="21"/>
      <c r="J268" s="21"/>
      <c r="K268" s="21"/>
    </row>
    <row r="269" spans="2:11" s="1" customFormat="1" outlineLevel="1" x14ac:dyDescent="0.35">
      <c r="B269" s="51"/>
      <c r="C269" s="9" t="s">
        <v>675</v>
      </c>
      <c r="D269" s="10">
        <v>141.1</v>
      </c>
      <c r="E269" s="433" t="s">
        <v>536</v>
      </c>
      <c r="F269" s="54"/>
      <c r="I269" s="21"/>
      <c r="J269" s="21"/>
      <c r="K269" s="21"/>
    </row>
    <row r="270" spans="2:11" s="1" customFormat="1" outlineLevel="1" x14ac:dyDescent="0.35">
      <c r="B270" s="51"/>
      <c r="C270" s="313"/>
      <c r="D270" s="638"/>
      <c r="E270" s="639"/>
      <c r="F270" s="54"/>
      <c r="I270" s="21"/>
      <c r="J270" s="21"/>
      <c r="K270" s="21"/>
    </row>
    <row r="271" spans="2:11" s="1" customFormat="1" outlineLevel="1" x14ac:dyDescent="0.35">
      <c r="B271" s="51"/>
      <c r="C271" s="324"/>
      <c r="D271" s="640"/>
      <c r="E271" s="641"/>
      <c r="F271" s="54"/>
      <c r="I271" s="21"/>
      <c r="J271" s="21"/>
      <c r="K271" s="21"/>
    </row>
    <row r="272" spans="2:11" s="1" customFormat="1" outlineLevel="1" x14ac:dyDescent="0.35">
      <c r="B272" s="51"/>
      <c r="F272" s="54"/>
      <c r="I272" s="21"/>
      <c r="J272" s="21"/>
      <c r="K272" s="21"/>
    </row>
    <row r="273" spans="2:11" s="1" customFormat="1" outlineLevel="1" x14ac:dyDescent="0.35">
      <c r="B273" s="51"/>
      <c r="C273" s="811" t="s">
        <v>676</v>
      </c>
      <c r="D273" s="776"/>
      <c r="E273" s="777"/>
      <c r="F273" s="54"/>
    </row>
    <row r="274" spans="2:11" s="1" customFormat="1" outlineLevel="1" x14ac:dyDescent="0.35">
      <c r="B274" s="51"/>
      <c r="C274" s="9" t="s">
        <v>188</v>
      </c>
      <c r="D274" s="9" t="s">
        <v>671</v>
      </c>
      <c r="E274" s="9" t="s">
        <v>677</v>
      </c>
      <c r="F274" s="54"/>
    </row>
    <row r="275" spans="2:11" s="1" customFormat="1" outlineLevel="1" x14ac:dyDescent="0.35">
      <c r="B275" s="51"/>
      <c r="C275" s="9" t="s">
        <v>674</v>
      </c>
      <c r="D275" s="10">
        <v>150.1</v>
      </c>
      <c r="E275" s="433" t="s">
        <v>536</v>
      </c>
      <c r="F275" s="54"/>
    </row>
    <row r="276" spans="2:11" s="1" customFormat="1" outlineLevel="1" x14ac:dyDescent="0.35">
      <c r="B276" s="51"/>
      <c r="C276" s="9" t="s">
        <v>675</v>
      </c>
      <c r="D276" s="10">
        <v>141.1</v>
      </c>
      <c r="E276" s="433" t="s">
        <v>536</v>
      </c>
      <c r="F276" s="54"/>
    </row>
    <row r="277" spans="2:11" s="1" customFormat="1" outlineLevel="1" x14ac:dyDescent="0.35">
      <c r="B277" s="51"/>
      <c r="C277" s="9" t="s">
        <v>359</v>
      </c>
      <c r="D277" s="10">
        <v>0</v>
      </c>
      <c r="E277" s="99"/>
      <c r="F277" s="54"/>
    </row>
    <row r="278" spans="2:11" s="1" customFormat="1" outlineLevel="1" x14ac:dyDescent="0.35">
      <c r="B278" s="51"/>
      <c r="C278" s="9" t="s">
        <v>379</v>
      </c>
      <c r="D278" s="10">
        <f xml:space="preserve"> (0.207074*1000)/D49</f>
        <v>57.520555555555561</v>
      </c>
      <c r="E278" s="433" t="s">
        <v>672</v>
      </c>
      <c r="F278" s="54"/>
    </row>
    <row r="279" spans="2:11" s="1" customFormat="1" outlineLevel="1" x14ac:dyDescent="0.35">
      <c r="B279" s="51"/>
      <c r="F279" s="54"/>
    </row>
    <row r="280" spans="2:11" s="1" customFormat="1" outlineLevel="1" x14ac:dyDescent="0.35">
      <c r="B280" s="51"/>
      <c r="C280" s="811" t="s">
        <v>678</v>
      </c>
      <c r="D280" s="776"/>
      <c r="E280" s="777"/>
      <c r="F280" s="54"/>
    </row>
    <row r="281" spans="2:11" s="1" customFormat="1" outlineLevel="1" x14ac:dyDescent="0.35">
      <c r="B281" s="51"/>
      <c r="C281" s="9" t="s">
        <v>192</v>
      </c>
      <c r="D281" s="9" t="s">
        <v>679</v>
      </c>
      <c r="E281" s="9" t="s">
        <v>188</v>
      </c>
      <c r="F281" s="54"/>
    </row>
    <row r="282" spans="2:11" s="1" customFormat="1" outlineLevel="1" x14ac:dyDescent="0.35">
      <c r="B282" s="51"/>
      <c r="C282" s="99" t="s">
        <v>680</v>
      </c>
      <c r="D282" s="116">
        <v>3124.7</v>
      </c>
      <c r="E282" s="433" t="s">
        <v>536</v>
      </c>
      <c r="F282" s="54"/>
    </row>
    <row r="283" spans="2:11" s="1" customFormat="1" outlineLevel="1" x14ac:dyDescent="0.35">
      <c r="B283" s="51"/>
      <c r="C283" s="99" t="s">
        <v>681</v>
      </c>
      <c r="D283" s="116">
        <v>199.8</v>
      </c>
      <c r="E283" s="433" t="s">
        <v>536</v>
      </c>
      <c r="F283" s="54"/>
    </row>
    <row r="284" spans="2:11" s="1" customFormat="1" outlineLevel="1" x14ac:dyDescent="0.35">
      <c r="B284" s="51"/>
      <c r="C284" s="99" t="s">
        <v>682</v>
      </c>
      <c r="D284" s="116">
        <v>1061.0999999999999</v>
      </c>
      <c r="E284" s="433" t="s">
        <v>536</v>
      </c>
      <c r="F284" s="54"/>
    </row>
    <row r="285" spans="2:11" s="1" customFormat="1" outlineLevel="1" x14ac:dyDescent="0.35">
      <c r="B285" s="51"/>
      <c r="C285" s="99" t="s">
        <v>683</v>
      </c>
      <c r="D285" s="116">
        <v>1245.0999999999999</v>
      </c>
      <c r="E285" s="433" t="s">
        <v>536</v>
      </c>
      <c r="F285" s="54"/>
    </row>
    <row r="286" spans="2:11" s="1" customFormat="1" outlineLevel="1" x14ac:dyDescent="0.35">
      <c r="B286" s="51"/>
      <c r="C286" s="99" t="s">
        <v>684</v>
      </c>
      <c r="D286" s="116">
        <v>529.70000000000005</v>
      </c>
      <c r="E286" s="433" t="s">
        <v>536</v>
      </c>
      <c r="F286" s="54"/>
    </row>
    <row r="287" spans="2:11" s="1" customFormat="1" outlineLevel="1" x14ac:dyDescent="0.35">
      <c r="B287" s="51"/>
      <c r="C287" s="99" t="s">
        <v>685</v>
      </c>
      <c r="D287" s="116">
        <v>419.1</v>
      </c>
      <c r="E287" s="433" t="s">
        <v>536</v>
      </c>
      <c r="F287" s="54"/>
      <c r="I287" s="21"/>
      <c r="J287" s="21"/>
      <c r="K287" s="21"/>
    </row>
    <row r="288" spans="2:11" s="1" customFormat="1" outlineLevel="1" x14ac:dyDescent="0.35">
      <c r="B288" s="51"/>
      <c r="C288" s="99" t="s">
        <v>686</v>
      </c>
      <c r="D288" s="116">
        <v>217.5</v>
      </c>
      <c r="E288" s="433" t="s">
        <v>536</v>
      </c>
      <c r="F288" s="54"/>
      <c r="I288" s="21"/>
      <c r="J288" s="21"/>
      <c r="K288" s="21"/>
    </row>
    <row r="289" spans="2:15" s="1" customFormat="1" outlineLevel="1" x14ac:dyDescent="0.35">
      <c r="B289" s="51"/>
      <c r="C289" s="99" t="s">
        <v>687</v>
      </c>
      <c r="D289" s="116">
        <v>2351.3000000000002</v>
      </c>
      <c r="E289" s="433" t="s">
        <v>536</v>
      </c>
      <c r="F289" s="54"/>
      <c r="I289" s="21"/>
      <c r="J289" s="21"/>
      <c r="K289" s="21"/>
      <c r="L289" s="21"/>
      <c r="M289" s="21"/>
      <c r="N289" s="21"/>
      <c r="O289" s="21"/>
    </row>
    <row r="290" spans="2:15" s="1" customFormat="1" outlineLevel="1" x14ac:dyDescent="0.35">
      <c r="B290" s="51"/>
      <c r="C290" s="99" t="s">
        <v>688</v>
      </c>
      <c r="D290" s="116">
        <v>723</v>
      </c>
      <c r="E290" s="433" t="s">
        <v>536</v>
      </c>
      <c r="F290" s="54"/>
      <c r="I290" s="21"/>
      <c r="J290" s="21"/>
      <c r="K290" s="21"/>
      <c r="L290" s="21"/>
      <c r="M290" s="21"/>
      <c r="N290" s="21"/>
      <c r="O290" s="21"/>
    </row>
    <row r="291" spans="2:15" s="1" customFormat="1" outlineLevel="1" x14ac:dyDescent="0.35">
      <c r="B291" s="51"/>
      <c r="C291" s="99" t="s">
        <v>689</v>
      </c>
      <c r="D291" s="116">
        <v>947</v>
      </c>
      <c r="E291" s="433" t="s">
        <v>536</v>
      </c>
      <c r="F291" s="54"/>
      <c r="I291" s="21"/>
      <c r="J291" s="21"/>
      <c r="K291" s="21"/>
      <c r="L291" s="21"/>
      <c r="M291" s="21"/>
      <c r="N291" s="21"/>
      <c r="O291" s="21"/>
    </row>
    <row r="292" spans="2:15" s="1" customFormat="1" outlineLevel="1" x14ac:dyDescent="0.35">
      <c r="B292" s="51"/>
      <c r="C292" s="99" t="s">
        <v>690</v>
      </c>
      <c r="D292" s="116">
        <v>453.2</v>
      </c>
      <c r="E292" s="433" t="s">
        <v>536</v>
      </c>
      <c r="F292" s="54"/>
      <c r="I292" s="21"/>
      <c r="J292" s="21"/>
      <c r="K292" s="21"/>
      <c r="L292" s="21"/>
      <c r="M292" s="21"/>
      <c r="N292" s="21"/>
      <c r="O292" s="21"/>
    </row>
    <row r="293" spans="2:15" s="1" customFormat="1" outlineLevel="1" x14ac:dyDescent="0.35">
      <c r="B293" s="51"/>
      <c r="C293" s="99" t="s">
        <v>691</v>
      </c>
      <c r="D293" s="116">
        <v>500</v>
      </c>
      <c r="E293" s="99" t="s">
        <v>692</v>
      </c>
      <c r="F293" s="35"/>
      <c r="G293" s="21"/>
      <c r="H293" s="21"/>
      <c r="I293" s="21"/>
      <c r="J293" s="21"/>
      <c r="K293" s="21"/>
      <c r="L293" s="21"/>
      <c r="M293" s="21"/>
      <c r="N293" s="21"/>
      <c r="O293" s="21"/>
    </row>
    <row r="294" spans="2:15" s="1" customFormat="1" outlineLevel="1" x14ac:dyDescent="0.35">
      <c r="B294" s="51"/>
      <c r="C294" s="99" t="s">
        <v>693</v>
      </c>
      <c r="D294" s="116">
        <v>0</v>
      </c>
      <c r="E294" s="99" t="s">
        <v>692</v>
      </c>
      <c r="F294" s="35"/>
      <c r="G294" s="21"/>
      <c r="H294" s="21"/>
      <c r="I294" s="21"/>
      <c r="J294" s="21"/>
      <c r="K294" s="21"/>
      <c r="L294" s="21"/>
      <c r="M294" s="21"/>
      <c r="N294" s="21"/>
      <c r="O294" s="21"/>
    </row>
    <row r="295" spans="2:15" s="1" customFormat="1" outlineLevel="1" x14ac:dyDescent="0.35">
      <c r="B295" s="51"/>
      <c r="C295" s="99" t="s">
        <v>567</v>
      </c>
      <c r="D295" s="116">
        <v>1099.9000000000001</v>
      </c>
      <c r="E295" s="99" t="s">
        <v>692</v>
      </c>
      <c r="F295" s="35"/>
      <c r="G295" s="21"/>
      <c r="H295" s="21"/>
      <c r="I295" s="21"/>
      <c r="J295" s="21"/>
      <c r="K295" s="21"/>
      <c r="L295" s="21"/>
      <c r="M295" s="21"/>
      <c r="N295" s="21"/>
      <c r="O295" s="21"/>
    </row>
    <row r="296" spans="2:15" s="1" customFormat="1" outlineLevel="1" x14ac:dyDescent="0.35">
      <c r="B296" s="51"/>
      <c r="C296" s="99" t="s">
        <v>486</v>
      </c>
      <c r="D296" s="116">
        <v>2104.5</v>
      </c>
      <c r="E296" s="99" t="s">
        <v>692</v>
      </c>
      <c r="F296" s="35"/>
      <c r="G296" s="21"/>
      <c r="H296" s="21"/>
      <c r="I296" s="21"/>
      <c r="J296" s="21"/>
      <c r="K296" s="21"/>
      <c r="L296" s="21"/>
      <c r="M296" s="21"/>
      <c r="N296" s="21"/>
      <c r="O296" s="21"/>
    </row>
    <row r="297" spans="2:15" s="1" customFormat="1" outlineLevel="1" x14ac:dyDescent="0.35">
      <c r="B297" s="51"/>
      <c r="C297" s="99" t="s">
        <v>694</v>
      </c>
      <c r="D297" s="116">
        <v>3631.9</v>
      </c>
      <c r="E297" s="99" t="s">
        <v>692</v>
      </c>
      <c r="F297" s="35"/>
      <c r="G297" s="21"/>
      <c r="H297" s="21"/>
      <c r="I297" s="21"/>
      <c r="J297" s="21"/>
      <c r="K297" s="21"/>
      <c r="L297" s="21"/>
      <c r="M297" s="21"/>
      <c r="N297" s="21"/>
      <c r="O297" s="21"/>
    </row>
    <row r="298" spans="2:15" s="1" customFormat="1" outlineLevel="1" x14ac:dyDescent="0.35">
      <c r="B298" s="51"/>
      <c r="C298" s="99" t="s">
        <v>695</v>
      </c>
      <c r="D298" s="116">
        <v>1650</v>
      </c>
      <c r="E298" s="99" t="s">
        <v>692</v>
      </c>
      <c r="F298" s="35"/>
      <c r="G298" s="21"/>
      <c r="H298" s="21"/>
      <c r="I298" s="21"/>
      <c r="J298" s="21"/>
      <c r="K298" s="21"/>
      <c r="L298" s="21"/>
      <c r="M298" s="21"/>
      <c r="N298" s="21"/>
      <c r="O298" s="21"/>
    </row>
    <row r="299" spans="2:15" s="1" customFormat="1" outlineLevel="1" x14ac:dyDescent="0.35">
      <c r="B299" s="51"/>
      <c r="C299" s="99" t="s">
        <v>696</v>
      </c>
      <c r="D299" s="116">
        <v>4000</v>
      </c>
      <c r="E299" s="99"/>
      <c r="F299" s="35"/>
      <c r="G299" s="21"/>
      <c r="H299" s="21"/>
      <c r="I299" s="21"/>
      <c r="J299" s="21"/>
      <c r="K299" s="21"/>
      <c r="L299" s="21"/>
      <c r="M299" s="21"/>
      <c r="N299" s="21"/>
      <c r="O299" s="21"/>
    </row>
    <row r="300" spans="2:15" s="1" customFormat="1" outlineLevel="1" x14ac:dyDescent="0.35">
      <c r="B300" s="51"/>
      <c r="F300" s="54"/>
      <c r="I300" s="21"/>
      <c r="J300" s="21"/>
      <c r="K300" s="21"/>
      <c r="L300" s="21"/>
      <c r="M300" s="21"/>
      <c r="N300" s="21"/>
      <c r="O300" s="21"/>
    </row>
    <row r="301" spans="2:15" s="1" customFormat="1" ht="15.75" customHeight="1" outlineLevel="1" x14ac:dyDescent="0.35">
      <c r="B301" s="51"/>
      <c r="C301" s="811" t="s">
        <v>697</v>
      </c>
      <c r="D301" s="776"/>
      <c r="E301" s="777"/>
      <c r="F301" s="54"/>
      <c r="I301" s="21"/>
      <c r="J301" s="21"/>
      <c r="K301" s="21"/>
      <c r="L301" s="21"/>
      <c r="M301" s="21"/>
      <c r="N301" s="21"/>
      <c r="O301" s="21"/>
    </row>
    <row r="302" spans="2:15" s="21" customFormat="1" outlineLevel="1" x14ac:dyDescent="0.35">
      <c r="B302" s="20"/>
      <c r="C302" s="9" t="s">
        <v>462</v>
      </c>
      <c r="D302" s="9" t="s">
        <v>698</v>
      </c>
      <c r="E302" s="9" t="s">
        <v>188</v>
      </c>
      <c r="F302" s="35"/>
    </row>
    <row r="303" spans="2:15" s="21" customFormat="1" outlineLevel="1" x14ac:dyDescent="0.35">
      <c r="B303" s="20"/>
      <c r="C303" s="99" t="s">
        <v>469</v>
      </c>
      <c r="D303" s="116">
        <v>3522.39</v>
      </c>
      <c r="E303" s="99" t="s">
        <v>692</v>
      </c>
      <c r="F303" s="35"/>
    </row>
    <row r="304" spans="2:15" s="21" customFormat="1" outlineLevel="1" x14ac:dyDescent="0.35">
      <c r="B304" s="20"/>
      <c r="C304" s="99" t="s">
        <v>472</v>
      </c>
      <c r="D304" s="116">
        <v>2761.9</v>
      </c>
      <c r="E304" s="99" t="s">
        <v>692</v>
      </c>
      <c r="F304" s="35"/>
    </row>
    <row r="305" spans="2:6" s="21" customFormat="1" outlineLevel="1" x14ac:dyDescent="0.35">
      <c r="B305" s="20"/>
      <c r="C305" s="99" t="s">
        <v>474</v>
      </c>
      <c r="D305" s="116">
        <v>3141</v>
      </c>
      <c r="E305" s="9" t="s">
        <v>699</v>
      </c>
      <c r="F305" s="35"/>
    </row>
    <row r="306" spans="2:6" s="21" customFormat="1" outlineLevel="1" x14ac:dyDescent="0.35">
      <c r="B306" s="20"/>
      <c r="C306" s="99" t="s">
        <v>476</v>
      </c>
      <c r="D306" s="116">
        <v>2818</v>
      </c>
      <c r="E306" s="9" t="s">
        <v>699</v>
      </c>
      <c r="F306" s="35"/>
    </row>
    <row r="307" spans="2:6" s="21" customFormat="1" outlineLevel="1" x14ac:dyDescent="0.35">
      <c r="B307" s="20"/>
      <c r="C307" s="99" t="s">
        <v>478</v>
      </c>
      <c r="D307" s="116">
        <v>3652</v>
      </c>
      <c r="E307" s="9" t="s">
        <v>699</v>
      </c>
      <c r="F307" s="35"/>
    </row>
    <row r="308" spans="2:6" s="21" customFormat="1" outlineLevel="1" x14ac:dyDescent="0.35">
      <c r="B308" s="20"/>
      <c r="C308" s="99" t="s">
        <v>480</v>
      </c>
      <c r="D308" s="116">
        <v>4387.01</v>
      </c>
      <c r="E308" s="99" t="s">
        <v>692</v>
      </c>
      <c r="F308" s="35"/>
    </row>
    <row r="309" spans="2:6" s="21" customFormat="1" outlineLevel="1" x14ac:dyDescent="0.35">
      <c r="B309" s="20"/>
      <c r="C309" s="99" t="s">
        <v>482</v>
      </c>
      <c r="D309" s="116">
        <v>2733.33</v>
      </c>
      <c r="E309" s="99" t="s">
        <v>692</v>
      </c>
      <c r="F309" s="35"/>
    </row>
    <row r="310" spans="2:6" s="21" customFormat="1" outlineLevel="1" x14ac:dyDescent="0.35">
      <c r="B310" s="20"/>
      <c r="C310" s="99" t="s">
        <v>484</v>
      </c>
      <c r="D310" s="116">
        <v>4571.8999999999996</v>
      </c>
      <c r="E310" s="433" t="s">
        <v>536</v>
      </c>
      <c r="F310" s="35"/>
    </row>
    <row r="311" spans="2:6" s="21" customFormat="1" outlineLevel="1" x14ac:dyDescent="0.35">
      <c r="B311" s="20"/>
      <c r="C311" s="99" t="str">
        <f>IF(ISBLANK(I20), "",I20)</f>
        <v/>
      </c>
      <c r="D311" s="317"/>
      <c r="E311" s="318"/>
      <c r="F311" s="35"/>
    </row>
    <row r="312" spans="2:6" s="21" customFormat="1" outlineLevel="1" x14ac:dyDescent="0.35">
      <c r="B312" s="20"/>
      <c r="C312" s="99" t="str">
        <f>IF(ISBLANK(I21), "",I21)</f>
        <v/>
      </c>
      <c r="D312" s="321"/>
      <c r="E312" s="322"/>
      <c r="F312" s="35"/>
    </row>
    <row r="313" spans="2:6" s="21" customFormat="1" outlineLevel="1" x14ac:dyDescent="0.35">
      <c r="B313" s="20"/>
      <c r="C313" s="99" t="str">
        <f>IF(ISBLANK(I22), "",I22)</f>
        <v/>
      </c>
      <c r="D313" s="317"/>
      <c r="E313" s="318"/>
      <c r="F313" s="35"/>
    </row>
    <row r="314" spans="2:6" s="21" customFormat="1" outlineLevel="1" x14ac:dyDescent="0.35">
      <c r="B314" s="20"/>
      <c r="C314" s="99" t="str">
        <f>IF(ISBLANK(I23), "",I23)</f>
        <v/>
      </c>
      <c r="D314" s="321"/>
      <c r="E314" s="322"/>
      <c r="F314" s="35"/>
    </row>
    <row r="315" spans="2:6" s="21" customFormat="1" outlineLevel="1" x14ac:dyDescent="0.35">
      <c r="B315" s="20"/>
      <c r="C315" s="99" t="str">
        <f>IF(ISBLANK(I24), "",I24)</f>
        <v/>
      </c>
      <c r="D315" s="317"/>
      <c r="E315" s="318"/>
      <c r="F315" s="35"/>
    </row>
    <row r="316" spans="2:6" s="21" customFormat="1" outlineLevel="1" x14ac:dyDescent="0.35">
      <c r="B316" s="20"/>
      <c r="F316" s="35"/>
    </row>
    <row r="317" spans="2:6" s="21" customFormat="1" outlineLevel="1" x14ac:dyDescent="0.35">
      <c r="B317" s="20"/>
      <c r="C317" s="811" t="s">
        <v>700</v>
      </c>
      <c r="D317" s="776"/>
      <c r="E317" s="777"/>
      <c r="F317" s="35"/>
    </row>
    <row r="318" spans="2:6" s="21" customFormat="1" outlineLevel="1" x14ac:dyDescent="0.35">
      <c r="B318" s="20"/>
      <c r="C318" s="9" t="s">
        <v>462</v>
      </c>
      <c r="D318" s="9" t="s">
        <v>698</v>
      </c>
      <c r="E318" s="9" t="s">
        <v>188</v>
      </c>
      <c r="F318" s="35"/>
    </row>
    <row r="319" spans="2:6" s="21" customFormat="1" outlineLevel="1" x14ac:dyDescent="0.35">
      <c r="B319" s="20"/>
      <c r="C319" s="99" t="s">
        <v>495</v>
      </c>
      <c r="D319" s="99">
        <v>0</v>
      </c>
      <c r="E319" s="99"/>
      <c r="F319" s="35"/>
    </row>
    <row r="320" spans="2:6" s="21" customFormat="1" outlineLevel="1" x14ac:dyDescent="0.35">
      <c r="B320" s="20"/>
      <c r="C320" s="99" t="s">
        <v>497</v>
      </c>
      <c r="D320" s="99">
        <v>0</v>
      </c>
      <c r="E320" s="99"/>
      <c r="F320" s="35"/>
    </row>
    <row r="321" spans="2:6" s="21" customFormat="1" outlineLevel="1" x14ac:dyDescent="0.35">
      <c r="B321" s="20"/>
      <c r="C321" s="99" t="s">
        <v>499</v>
      </c>
      <c r="D321" s="99">
        <v>0</v>
      </c>
      <c r="E321" s="99"/>
      <c r="F321" s="35"/>
    </row>
    <row r="322" spans="2:6" s="21" customFormat="1" outlineLevel="1" x14ac:dyDescent="0.35">
      <c r="B322" s="20"/>
      <c r="C322" s="99" t="s">
        <v>500</v>
      </c>
      <c r="D322" s="99">
        <v>0</v>
      </c>
      <c r="E322" s="99"/>
      <c r="F322" s="35"/>
    </row>
    <row r="323" spans="2:6" s="21" customFormat="1" outlineLevel="1" x14ac:dyDescent="0.35">
      <c r="B323" s="20"/>
      <c r="C323" s="99" t="s">
        <v>250</v>
      </c>
      <c r="D323" s="99">
        <v>0</v>
      </c>
      <c r="E323" s="433" t="s">
        <v>536</v>
      </c>
      <c r="F323" s="35"/>
    </row>
    <row r="324" spans="2:6" s="21" customFormat="1" outlineLevel="1" x14ac:dyDescent="0.35">
      <c r="B324" s="20"/>
      <c r="C324" s="99" t="s">
        <v>501</v>
      </c>
      <c r="D324" s="99">
        <v>0</v>
      </c>
      <c r="E324" s="99"/>
      <c r="F324" s="35"/>
    </row>
    <row r="325" spans="2:6" s="21" customFormat="1" outlineLevel="1" x14ac:dyDescent="0.35">
      <c r="B325" s="20"/>
      <c r="C325" s="99" t="s">
        <v>502</v>
      </c>
      <c r="D325" s="99">
        <v>0</v>
      </c>
      <c r="E325" s="99"/>
      <c r="F325" s="35"/>
    </row>
    <row r="326" spans="2:6" s="21" customFormat="1" outlineLevel="1" x14ac:dyDescent="0.35">
      <c r="B326" s="20"/>
      <c r="C326" s="99" t="s">
        <v>504</v>
      </c>
      <c r="D326" s="99">
        <v>0</v>
      </c>
      <c r="E326" s="99"/>
      <c r="F326" s="35"/>
    </row>
    <row r="327" spans="2:6" s="21" customFormat="1" outlineLevel="1" x14ac:dyDescent="0.35">
      <c r="B327" s="20"/>
      <c r="C327" s="99" t="s">
        <v>506</v>
      </c>
      <c r="D327" s="99">
        <v>0</v>
      </c>
      <c r="E327" s="99"/>
      <c r="F327" s="35"/>
    </row>
    <row r="328" spans="2:6" s="21" customFormat="1" outlineLevel="1" x14ac:dyDescent="0.35">
      <c r="B328" s="20"/>
      <c r="C328" s="99" t="s">
        <v>508</v>
      </c>
      <c r="D328" s="99">
        <v>0</v>
      </c>
      <c r="E328" s="99"/>
      <c r="F328" s="35"/>
    </row>
    <row r="329" spans="2:6" s="21" customFormat="1" outlineLevel="1" x14ac:dyDescent="0.35">
      <c r="B329" s="20"/>
      <c r="C329" s="99" t="s">
        <v>509</v>
      </c>
      <c r="D329" s="99">
        <v>0</v>
      </c>
      <c r="E329" s="99"/>
      <c r="F329" s="35"/>
    </row>
    <row r="330" spans="2:6" s="21" customFormat="1" outlineLevel="1" x14ac:dyDescent="0.35">
      <c r="B330" s="20"/>
      <c r="C330" s="99" t="s">
        <v>510</v>
      </c>
      <c r="D330" s="99">
        <v>0</v>
      </c>
      <c r="E330" s="99"/>
      <c r="F330" s="35"/>
    </row>
    <row r="331" spans="2:6" s="21" customFormat="1" outlineLevel="1" x14ac:dyDescent="0.35">
      <c r="B331" s="20"/>
      <c r="C331" s="99" t="s">
        <v>512</v>
      </c>
      <c r="D331" s="99">
        <v>0</v>
      </c>
      <c r="E331" s="99"/>
      <c r="F331" s="35"/>
    </row>
    <row r="332" spans="2:6" s="21" customFormat="1" outlineLevel="1" x14ac:dyDescent="0.35">
      <c r="B332" s="20"/>
      <c r="C332" s="99" t="s">
        <v>516</v>
      </c>
      <c r="D332" s="99">
        <v>0</v>
      </c>
      <c r="E332" s="99"/>
      <c r="F332" s="35"/>
    </row>
    <row r="333" spans="2:6" s="21" customFormat="1" outlineLevel="1" x14ac:dyDescent="0.35">
      <c r="B333" s="20"/>
      <c r="C333" s="99" t="s">
        <v>519</v>
      </c>
      <c r="D333" s="222">
        <v>1846.6</v>
      </c>
      <c r="E333" s="433" t="s">
        <v>536</v>
      </c>
      <c r="F333" s="35"/>
    </row>
    <row r="334" spans="2:6" s="21" customFormat="1" outlineLevel="1" x14ac:dyDescent="0.35">
      <c r="B334" s="20"/>
      <c r="C334" s="99" t="str">
        <f>IF(ISBLANK(I43), "",I43)</f>
        <v/>
      </c>
      <c r="D334" s="328"/>
      <c r="E334" s="322"/>
      <c r="F334" s="35"/>
    </row>
    <row r="335" spans="2:6" s="21" customFormat="1" outlineLevel="1" x14ac:dyDescent="0.35">
      <c r="B335" s="20"/>
      <c r="C335" s="99" t="str">
        <f>IF(ISBLANK(I44), "",I44)</f>
        <v/>
      </c>
      <c r="D335" s="319"/>
      <c r="E335" s="318"/>
      <c r="F335" s="35"/>
    </row>
    <row r="336" spans="2:6" s="21" customFormat="1" outlineLevel="1" x14ac:dyDescent="0.35">
      <c r="B336" s="20"/>
      <c r="C336" s="99" t="str">
        <f>IF(ISBLANK(I45), "",I45)</f>
        <v/>
      </c>
      <c r="D336" s="328"/>
      <c r="E336" s="322"/>
      <c r="F336" s="35"/>
    </row>
    <row r="337" spans="2:6" s="21" customFormat="1" outlineLevel="1" x14ac:dyDescent="0.35">
      <c r="B337" s="20"/>
      <c r="C337" s="99" t="str">
        <f>IF(ISBLANK(I46), "",I46)</f>
        <v/>
      </c>
      <c r="D337" s="319"/>
      <c r="E337" s="318"/>
      <c r="F337" s="35"/>
    </row>
    <row r="338" spans="2:6" s="21" customFormat="1" outlineLevel="1" x14ac:dyDescent="0.35">
      <c r="B338" s="20"/>
      <c r="C338" s="99" t="str">
        <f>IF(ISBLANK(I47), "",I47)</f>
        <v/>
      </c>
      <c r="D338" s="328"/>
      <c r="E338" s="322"/>
      <c r="F338" s="35"/>
    </row>
    <row r="339" spans="2:6" s="21" customFormat="1" outlineLevel="1" x14ac:dyDescent="0.35">
      <c r="B339" s="20"/>
      <c r="F339" s="35"/>
    </row>
    <row r="340" spans="2:6" s="21" customFormat="1" outlineLevel="1" x14ac:dyDescent="0.35">
      <c r="B340" s="20"/>
      <c r="C340" s="808" t="s">
        <v>701</v>
      </c>
      <c r="D340" s="809"/>
      <c r="E340" s="810"/>
      <c r="F340" s="35"/>
    </row>
    <row r="341" spans="2:6" s="21" customFormat="1" outlineLevel="1" x14ac:dyDescent="0.35">
      <c r="B341" s="20"/>
      <c r="C341" s="665" t="s">
        <v>462</v>
      </c>
      <c r="D341" s="665" t="s">
        <v>698</v>
      </c>
      <c r="E341" s="665" t="s">
        <v>188</v>
      </c>
      <c r="F341" s="35"/>
    </row>
    <row r="342" spans="2:6" s="21" customFormat="1" outlineLevel="1" x14ac:dyDescent="0.35">
      <c r="B342" s="20"/>
      <c r="C342" s="318"/>
      <c r="D342" s="317"/>
      <c r="E342" s="313"/>
      <c r="F342" s="35"/>
    </row>
    <row r="343" spans="2:6" s="21" customFormat="1" outlineLevel="1" x14ac:dyDescent="0.35">
      <c r="B343" s="20"/>
      <c r="F343" s="35"/>
    </row>
    <row r="344" spans="2:6" s="21" customFormat="1" outlineLevel="1" x14ac:dyDescent="0.35">
      <c r="B344" s="20"/>
      <c r="C344" s="812" t="s">
        <v>702</v>
      </c>
      <c r="D344" s="812"/>
      <c r="E344" s="812"/>
      <c r="F344" s="35"/>
    </row>
    <row r="345" spans="2:6" s="21" customFormat="1" outlineLevel="1" x14ac:dyDescent="0.35">
      <c r="B345" s="20"/>
      <c r="C345" s="9" t="s">
        <v>703</v>
      </c>
      <c r="D345" s="9" t="s">
        <v>704</v>
      </c>
      <c r="E345" s="9" t="s">
        <v>188</v>
      </c>
      <c r="F345" s="35"/>
    </row>
    <row r="346" spans="2:6" s="21" customFormat="1" outlineLevel="1" x14ac:dyDescent="0.35">
      <c r="B346" s="20"/>
      <c r="C346" s="99" t="s">
        <v>705</v>
      </c>
      <c r="D346" s="99">
        <v>6.1630000000000003</v>
      </c>
      <c r="E346" s="115" t="s">
        <v>692</v>
      </c>
      <c r="F346" s="35"/>
    </row>
    <row r="347" spans="2:6" s="21" customFormat="1" outlineLevel="1" x14ac:dyDescent="0.35">
      <c r="B347" s="20"/>
      <c r="C347" s="99" t="s">
        <v>706</v>
      </c>
      <c r="D347" s="99">
        <v>6.6280000000000001</v>
      </c>
      <c r="E347" s="115" t="s">
        <v>692</v>
      </c>
      <c r="F347" s="35"/>
    </row>
    <row r="348" spans="2:6" s="21" customFormat="1" outlineLevel="1" x14ac:dyDescent="0.35">
      <c r="B348" s="20"/>
      <c r="C348" s="312" t="s">
        <v>143</v>
      </c>
      <c r="D348" s="318"/>
      <c r="E348" s="313"/>
      <c r="F348" s="35"/>
    </row>
    <row r="349" spans="2:6" s="21" customFormat="1" outlineLevel="1" x14ac:dyDescent="0.35">
      <c r="B349" s="20"/>
      <c r="F349" s="35"/>
    </row>
    <row r="350" spans="2:6" s="21" customFormat="1" outlineLevel="1" x14ac:dyDescent="0.35">
      <c r="B350" s="20"/>
      <c r="C350" s="811" t="s">
        <v>707</v>
      </c>
      <c r="D350" s="776"/>
      <c r="E350" s="777"/>
      <c r="F350" s="35"/>
    </row>
    <row r="351" spans="2:6" s="21" customFormat="1" outlineLevel="1" x14ac:dyDescent="0.35">
      <c r="B351" s="20"/>
      <c r="C351" s="9" t="s">
        <v>462</v>
      </c>
      <c r="D351" s="9" t="s">
        <v>708</v>
      </c>
      <c r="E351" s="9" t="s">
        <v>188</v>
      </c>
      <c r="F351" s="35"/>
    </row>
    <row r="352" spans="2:6" s="21" customFormat="1" outlineLevel="1" x14ac:dyDescent="0.35">
      <c r="B352" s="20"/>
      <c r="C352" s="99" t="s">
        <v>534</v>
      </c>
      <c r="D352" s="116">
        <v>541.66999999999996</v>
      </c>
      <c r="E352" s="99" t="s">
        <v>692</v>
      </c>
      <c r="F352" s="35"/>
    </row>
    <row r="353" spans="2:6" s="21" customFormat="1" outlineLevel="1" x14ac:dyDescent="0.35">
      <c r="B353" s="20"/>
      <c r="C353" s="99" t="s">
        <v>537</v>
      </c>
      <c r="D353" s="116">
        <v>95</v>
      </c>
      <c r="E353" s="99" t="s">
        <v>692</v>
      </c>
      <c r="F353" s="35"/>
    </row>
    <row r="354" spans="2:6" s="21" customFormat="1" outlineLevel="1" x14ac:dyDescent="0.35">
      <c r="B354" s="20"/>
      <c r="C354" s="99" t="s">
        <v>539</v>
      </c>
      <c r="D354" s="116">
        <v>596</v>
      </c>
      <c r="E354" s="99" t="s">
        <v>692</v>
      </c>
      <c r="F354" s="35"/>
    </row>
    <row r="355" spans="2:6" s="21" customFormat="1" outlineLevel="1" x14ac:dyDescent="0.35">
      <c r="B355" s="20"/>
      <c r="C355" s="99" t="s">
        <v>541</v>
      </c>
      <c r="D355" s="116">
        <v>1545</v>
      </c>
      <c r="E355" s="9" t="s">
        <v>699</v>
      </c>
      <c r="F355" s="35"/>
    </row>
    <row r="356" spans="2:6" s="21" customFormat="1" outlineLevel="1" x14ac:dyDescent="0.35">
      <c r="B356" s="20"/>
      <c r="C356" s="99" t="s">
        <v>709</v>
      </c>
      <c r="D356" s="116">
        <v>541.70000000000005</v>
      </c>
      <c r="E356" s="433" t="s">
        <v>536</v>
      </c>
      <c r="F356" s="35"/>
    </row>
    <row r="357" spans="2:6" s="21" customFormat="1" outlineLevel="1" x14ac:dyDescent="0.35">
      <c r="B357" s="20"/>
      <c r="C357" s="312" t="str">
        <f>IF(ISBLANK(I60), "",I60)</f>
        <v/>
      </c>
      <c r="D357" s="321"/>
      <c r="E357" s="322"/>
      <c r="F357" s="35"/>
    </row>
    <row r="358" spans="2:6" s="21" customFormat="1" outlineLevel="1" x14ac:dyDescent="0.35">
      <c r="B358" s="20"/>
      <c r="C358" s="312" t="str">
        <f>IF(ISBLANK(I61), "",I61)</f>
        <v/>
      </c>
      <c r="D358" s="317"/>
      <c r="E358" s="318"/>
      <c r="F358" s="35"/>
    </row>
    <row r="359" spans="2:6" s="21" customFormat="1" outlineLevel="1" x14ac:dyDescent="0.35">
      <c r="B359" s="20"/>
      <c r="C359" s="312" t="str">
        <f>IF(ISBLANK(I62), "",I62)</f>
        <v/>
      </c>
      <c r="D359" s="321"/>
      <c r="E359" s="322"/>
      <c r="F359" s="35"/>
    </row>
    <row r="360" spans="2:6" s="21" customFormat="1" outlineLevel="1" x14ac:dyDescent="0.35">
      <c r="B360" s="20"/>
      <c r="C360" s="312" t="str">
        <f t="shared" ref="C360:C361" si="0">IF(ISBLANK(I63), "",I63)</f>
        <v/>
      </c>
      <c r="D360" s="317"/>
      <c r="E360" s="318"/>
      <c r="F360" s="35"/>
    </row>
    <row r="361" spans="2:6" s="21" customFormat="1" outlineLevel="1" x14ac:dyDescent="0.35">
      <c r="B361" s="20"/>
      <c r="C361" s="312" t="str">
        <f t="shared" si="0"/>
        <v/>
      </c>
      <c r="D361" s="317"/>
      <c r="E361" s="318"/>
      <c r="F361" s="35"/>
    </row>
    <row r="362" spans="2:6" s="21" customFormat="1" outlineLevel="1" x14ac:dyDescent="0.35">
      <c r="B362" s="20"/>
      <c r="F362" s="35"/>
    </row>
    <row r="363" spans="2:6" s="21" customFormat="1" outlineLevel="1" x14ac:dyDescent="0.35">
      <c r="B363" s="20"/>
      <c r="C363" s="811" t="s">
        <v>710</v>
      </c>
      <c r="D363" s="776"/>
      <c r="E363" s="777"/>
      <c r="F363" s="35"/>
    </row>
    <row r="364" spans="2:6" s="21" customFormat="1" outlineLevel="1" x14ac:dyDescent="0.35">
      <c r="B364" s="20"/>
      <c r="C364" s="9" t="s">
        <v>462</v>
      </c>
      <c r="D364" s="9" t="s">
        <v>711</v>
      </c>
      <c r="E364" s="9" t="s">
        <v>188</v>
      </c>
      <c r="F364" s="35"/>
    </row>
    <row r="365" spans="2:6" s="21" customFormat="1" outlineLevel="1" x14ac:dyDescent="0.35">
      <c r="B365" s="20"/>
      <c r="C365" s="99" t="s">
        <v>550</v>
      </c>
      <c r="D365" s="117">
        <v>333</v>
      </c>
      <c r="E365" s="99" t="s">
        <v>692</v>
      </c>
      <c r="F365" s="35"/>
    </row>
    <row r="366" spans="2:6" s="21" customFormat="1" outlineLevel="1" x14ac:dyDescent="0.35">
      <c r="B366" s="20"/>
      <c r="C366" s="99" t="s">
        <v>712</v>
      </c>
      <c r="D366" s="117">
        <v>416.7</v>
      </c>
      <c r="E366" s="433" t="s">
        <v>536</v>
      </c>
      <c r="F366" s="35"/>
    </row>
    <row r="367" spans="2:6" s="21" customFormat="1" outlineLevel="1" x14ac:dyDescent="0.35">
      <c r="B367" s="20"/>
      <c r="C367" s="312" t="str">
        <f>IF(ISBLANK(I70), "",I70)</f>
        <v/>
      </c>
      <c r="D367" s="320"/>
      <c r="E367" s="318"/>
      <c r="F367" s="35"/>
    </row>
    <row r="368" spans="2:6" s="21" customFormat="1" outlineLevel="1" x14ac:dyDescent="0.35">
      <c r="B368" s="20"/>
      <c r="C368" s="312" t="str">
        <f>IF(ISBLANK(I71), "",I71)</f>
        <v/>
      </c>
      <c r="D368" s="323"/>
      <c r="E368" s="322"/>
      <c r="F368" s="35"/>
    </row>
    <row r="369" spans="2:6" s="21" customFormat="1" outlineLevel="1" x14ac:dyDescent="0.35">
      <c r="B369" s="20"/>
      <c r="C369" s="312" t="str">
        <f>IF(ISBLANK(I72), "",I72)</f>
        <v/>
      </c>
      <c r="D369" s="320"/>
      <c r="E369" s="318"/>
      <c r="F369" s="35"/>
    </row>
    <row r="370" spans="2:6" s="21" customFormat="1" outlineLevel="1" x14ac:dyDescent="0.35">
      <c r="B370" s="20"/>
      <c r="C370" s="312" t="str">
        <f>IF(ISBLANK(I73), "",I73)</f>
        <v/>
      </c>
      <c r="D370" s="323"/>
      <c r="E370" s="322"/>
      <c r="F370" s="35"/>
    </row>
    <row r="371" spans="2:6" s="21" customFormat="1" outlineLevel="1" x14ac:dyDescent="0.35">
      <c r="B371" s="20"/>
      <c r="C371" s="312" t="str">
        <f>IF(ISBLANK(I74), "",I74)</f>
        <v/>
      </c>
      <c r="D371" s="320"/>
      <c r="E371" s="318"/>
      <c r="F371" s="35"/>
    </row>
    <row r="372" spans="2:6" s="21" customFormat="1" outlineLevel="1" x14ac:dyDescent="0.35">
      <c r="B372" s="20"/>
      <c r="F372" s="35"/>
    </row>
    <row r="373" spans="2:6" s="21" customFormat="1" outlineLevel="1" x14ac:dyDescent="0.35">
      <c r="B373" s="20"/>
      <c r="C373" s="811" t="s">
        <v>713</v>
      </c>
      <c r="D373" s="776"/>
      <c r="E373" s="777"/>
      <c r="F373" s="35"/>
    </row>
    <row r="374" spans="2:6" s="21" customFormat="1" outlineLevel="1" x14ac:dyDescent="0.35">
      <c r="B374" s="20"/>
      <c r="C374" s="9" t="s">
        <v>462</v>
      </c>
      <c r="D374" s="9" t="s">
        <v>714</v>
      </c>
      <c r="E374" s="9" t="s">
        <v>188</v>
      </c>
      <c r="F374" s="35"/>
    </row>
    <row r="375" spans="2:6" s="21" customFormat="1" outlineLevel="1" x14ac:dyDescent="0.35">
      <c r="B375" s="20"/>
      <c r="C375" s="99" t="s">
        <v>563</v>
      </c>
      <c r="D375" s="116">
        <v>4990</v>
      </c>
      <c r="E375" s="9" t="s">
        <v>699</v>
      </c>
      <c r="F375" s="35"/>
    </row>
    <row r="376" spans="2:6" s="21" customFormat="1" outlineLevel="1" x14ac:dyDescent="0.35">
      <c r="B376" s="20"/>
      <c r="C376" s="99" t="s">
        <v>564</v>
      </c>
      <c r="D376" s="116">
        <v>769</v>
      </c>
      <c r="E376" s="99" t="s">
        <v>692</v>
      </c>
      <c r="F376" s="35"/>
    </row>
    <row r="377" spans="2:6" s="21" customFormat="1" outlineLevel="1" x14ac:dyDescent="0.35">
      <c r="B377" s="20"/>
      <c r="C377" s="99" t="s">
        <v>565</v>
      </c>
      <c r="D377" s="116">
        <v>1620</v>
      </c>
      <c r="E377" s="99" t="s">
        <v>692</v>
      </c>
      <c r="F377" s="35"/>
    </row>
    <row r="378" spans="2:6" s="21" customFormat="1" outlineLevel="1" x14ac:dyDescent="0.35">
      <c r="B378" s="20"/>
      <c r="C378" s="99" t="s">
        <v>566</v>
      </c>
      <c r="D378" s="116">
        <v>69.7</v>
      </c>
      <c r="E378" s="433" t="s">
        <v>536</v>
      </c>
      <c r="F378" s="35"/>
    </row>
    <row r="379" spans="2:6" s="21" customFormat="1" outlineLevel="1" x14ac:dyDescent="0.35">
      <c r="B379" s="20"/>
      <c r="C379" s="99" t="s">
        <v>567</v>
      </c>
      <c r="D379" s="116">
        <v>39.1</v>
      </c>
      <c r="E379" s="433" t="s">
        <v>536</v>
      </c>
      <c r="F379" s="35"/>
    </row>
    <row r="380" spans="2:6" s="21" customFormat="1" outlineLevel="1" x14ac:dyDescent="0.35">
      <c r="B380" s="20"/>
      <c r="C380" s="99" t="s">
        <v>568</v>
      </c>
      <c r="D380" s="116">
        <v>750.31</v>
      </c>
      <c r="E380" s="99" t="s">
        <v>692</v>
      </c>
      <c r="F380" s="35"/>
    </row>
    <row r="381" spans="2:6" s="21" customFormat="1" outlineLevel="1" x14ac:dyDescent="0.35">
      <c r="B381" s="20"/>
      <c r="C381" s="312" t="str">
        <f>IF(ISBLANK(I84), "",I84)</f>
        <v/>
      </c>
      <c r="D381" s="317"/>
      <c r="E381" s="318"/>
      <c r="F381" s="35"/>
    </row>
    <row r="382" spans="2:6" s="21" customFormat="1" outlineLevel="1" x14ac:dyDescent="0.35">
      <c r="B382" s="20"/>
      <c r="C382" s="312" t="str">
        <f>IF(ISBLANK(I85), "",I85)</f>
        <v/>
      </c>
      <c r="D382" s="321"/>
      <c r="E382" s="322"/>
      <c r="F382" s="35"/>
    </row>
    <row r="383" spans="2:6" s="21" customFormat="1" outlineLevel="1" x14ac:dyDescent="0.35">
      <c r="B383" s="20"/>
      <c r="C383" s="312" t="str">
        <f>IF(ISBLANK(I86), "",I86)</f>
        <v/>
      </c>
      <c r="D383" s="317"/>
      <c r="E383" s="318"/>
      <c r="F383" s="35"/>
    </row>
    <row r="384" spans="2:6" s="21" customFormat="1" outlineLevel="1" x14ac:dyDescent="0.35">
      <c r="B384" s="20"/>
      <c r="C384" s="312" t="str">
        <f>IF(ISBLANK(I87), "",I87)</f>
        <v/>
      </c>
      <c r="D384" s="321"/>
      <c r="E384" s="322"/>
      <c r="F384" s="35"/>
    </row>
    <row r="385" spans="2:6" s="21" customFormat="1" outlineLevel="1" x14ac:dyDescent="0.35">
      <c r="B385" s="20"/>
      <c r="C385" s="312" t="str">
        <f>IF(ISBLANK(I88), "",I88)</f>
        <v/>
      </c>
      <c r="D385" s="317"/>
      <c r="E385" s="318"/>
      <c r="F385" s="35"/>
    </row>
    <row r="386" spans="2:6" s="21" customFormat="1" outlineLevel="1" x14ac:dyDescent="0.35">
      <c r="B386" s="20"/>
      <c r="F386" s="35"/>
    </row>
    <row r="387" spans="2:6" s="21" customFormat="1" outlineLevel="1" x14ac:dyDescent="0.35">
      <c r="B387" s="20"/>
      <c r="C387" s="811" t="s">
        <v>715</v>
      </c>
      <c r="D387" s="776"/>
      <c r="E387" s="777"/>
      <c r="F387" s="35"/>
    </row>
    <row r="388" spans="2:6" s="21" customFormat="1" outlineLevel="1" x14ac:dyDescent="0.35">
      <c r="B388" s="20"/>
      <c r="C388" s="9" t="s">
        <v>158</v>
      </c>
      <c r="D388" s="9" t="s">
        <v>716</v>
      </c>
      <c r="E388" s="9" t="s">
        <v>188</v>
      </c>
      <c r="F388" s="35"/>
    </row>
    <row r="389" spans="2:6" s="21" customFormat="1" outlineLevel="1" x14ac:dyDescent="0.35">
      <c r="B389" s="20"/>
      <c r="C389" s="99" t="s">
        <v>551</v>
      </c>
      <c r="D389" s="116">
        <v>310.60000000000002</v>
      </c>
      <c r="E389" s="433" t="s">
        <v>536</v>
      </c>
      <c r="F389" s="35"/>
    </row>
    <row r="390" spans="2:6" s="21" customFormat="1" outlineLevel="1" x14ac:dyDescent="0.35">
      <c r="B390" s="20"/>
      <c r="C390" s="99" t="s">
        <v>717</v>
      </c>
      <c r="D390" s="116">
        <v>756.5</v>
      </c>
      <c r="E390" s="433" t="s">
        <v>536</v>
      </c>
      <c r="F390" s="35"/>
    </row>
    <row r="391" spans="2:6" s="21" customFormat="1" outlineLevel="1" x14ac:dyDescent="0.35">
      <c r="B391" s="20"/>
      <c r="C391" s="99" t="s">
        <v>718</v>
      </c>
      <c r="D391" s="116">
        <v>400</v>
      </c>
      <c r="E391" s="99" t="s">
        <v>699</v>
      </c>
      <c r="F391" s="35"/>
    </row>
    <row r="392" spans="2:6" s="21" customFormat="1" outlineLevel="1" x14ac:dyDescent="0.35">
      <c r="B392" s="20"/>
      <c r="C392" s="99" t="s">
        <v>555</v>
      </c>
      <c r="D392" s="116">
        <v>3651.7</v>
      </c>
      <c r="E392" s="433" t="s">
        <v>536</v>
      </c>
      <c r="F392" s="35"/>
    </row>
    <row r="393" spans="2:6" s="21" customFormat="1" outlineLevel="1" x14ac:dyDescent="0.35">
      <c r="B393" s="20"/>
      <c r="C393" s="99" t="s">
        <v>719</v>
      </c>
      <c r="D393" s="116">
        <v>5</v>
      </c>
      <c r="E393" s="433" t="s">
        <v>536</v>
      </c>
      <c r="F393" s="35"/>
    </row>
    <row r="394" spans="2:6" s="21" customFormat="1" outlineLevel="1" x14ac:dyDescent="0.35">
      <c r="B394" s="20"/>
      <c r="C394" s="99" t="s">
        <v>720</v>
      </c>
      <c r="D394" s="116">
        <v>756.5</v>
      </c>
      <c r="E394" s="433" t="s">
        <v>536</v>
      </c>
      <c r="F394" s="35"/>
    </row>
    <row r="395" spans="2:6" s="21" customFormat="1" outlineLevel="1" x14ac:dyDescent="0.35">
      <c r="B395" s="20"/>
      <c r="C395" s="99" t="s">
        <v>553</v>
      </c>
      <c r="D395" s="116">
        <v>283.89999999999998</v>
      </c>
      <c r="E395" s="433" t="s">
        <v>536</v>
      </c>
      <c r="F395" s="35"/>
    </row>
    <row r="396" spans="2:6" s="21" customFormat="1" outlineLevel="1" x14ac:dyDescent="0.35">
      <c r="B396" s="20"/>
      <c r="C396" s="99" t="s">
        <v>721</v>
      </c>
      <c r="D396" s="116">
        <v>292.43200000000002</v>
      </c>
      <c r="E396" s="99" t="s">
        <v>692</v>
      </c>
      <c r="F396" s="35"/>
    </row>
    <row r="397" spans="2:6" s="21" customFormat="1" outlineLevel="1" x14ac:dyDescent="0.35">
      <c r="B397" s="20"/>
      <c r="C397" s="99" t="s">
        <v>558</v>
      </c>
      <c r="D397" s="116">
        <v>312.10000000000002</v>
      </c>
      <c r="E397" s="433" t="s">
        <v>536</v>
      </c>
      <c r="F397" s="35"/>
    </row>
    <row r="398" spans="2:6" s="21" customFormat="1" outlineLevel="1" x14ac:dyDescent="0.35">
      <c r="B398" s="20"/>
      <c r="C398" s="99" t="s">
        <v>722</v>
      </c>
      <c r="D398" s="116">
        <v>278</v>
      </c>
      <c r="E398" s="99" t="s">
        <v>692</v>
      </c>
      <c r="F398" s="35"/>
    </row>
    <row r="399" spans="2:6" s="21" customFormat="1" outlineLevel="1" x14ac:dyDescent="0.35">
      <c r="B399" s="20"/>
      <c r="C399" s="99" t="s">
        <v>723</v>
      </c>
      <c r="D399" s="116">
        <v>319.60000000000002</v>
      </c>
      <c r="E399" s="99" t="s">
        <v>692</v>
      </c>
      <c r="F399" s="35"/>
    </row>
    <row r="400" spans="2:6" s="21" customFormat="1" outlineLevel="1" x14ac:dyDescent="0.35">
      <c r="B400" s="20"/>
      <c r="F400" s="35"/>
    </row>
    <row r="401" spans="2:6" s="21" customFormat="1" outlineLevel="1" x14ac:dyDescent="0.35">
      <c r="B401" s="20"/>
      <c r="C401" s="811" t="s">
        <v>724</v>
      </c>
      <c r="D401" s="776"/>
      <c r="E401" s="777"/>
      <c r="F401" s="35"/>
    </row>
    <row r="402" spans="2:6" s="21" customFormat="1" outlineLevel="1" x14ac:dyDescent="0.35">
      <c r="B402" s="20"/>
      <c r="C402" s="9" t="s">
        <v>155</v>
      </c>
      <c r="D402" s="9" t="s">
        <v>725</v>
      </c>
      <c r="E402" s="9" t="s">
        <v>188</v>
      </c>
      <c r="F402" s="35"/>
    </row>
    <row r="403" spans="2:6" s="21" customFormat="1" outlineLevel="1" x14ac:dyDescent="0.35">
      <c r="B403" s="20"/>
      <c r="C403" s="99" t="s">
        <v>726</v>
      </c>
      <c r="D403" s="116">
        <v>12010.7</v>
      </c>
      <c r="E403" s="433" t="s">
        <v>536</v>
      </c>
      <c r="F403" s="35"/>
    </row>
    <row r="404" spans="2:6" s="21" customFormat="1" outlineLevel="1" x14ac:dyDescent="0.35">
      <c r="B404" s="20"/>
      <c r="F404" s="35"/>
    </row>
    <row r="405" spans="2:6" s="21" customFormat="1" outlineLevel="1" x14ac:dyDescent="0.35">
      <c r="B405" s="20"/>
      <c r="C405" s="808" t="s">
        <v>727</v>
      </c>
      <c r="D405" s="809"/>
      <c r="E405" s="810"/>
      <c r="F405" s="35"/>
    </row>
    <row r="406" spans="2:6" s="21" customFormat="1" outlineLevel="1" x14ac:dyDescent="0.35">
      <c r="B406" s="20"/>
      <c r="C406" s="9" t="s">
        <v>728</v>
      </c>
      <c r="D406" s="9" t="s">
        <v>729</v>
      </c>
      <c r="E406" s="9" t="s">
        <v>188</v>
      </c>
      <c r="F406" s="35"/>
    </row>
    <row r="407" spans="2:6" s="21" customFormat="1" outlineLevel="1" x14ac:dyDescent="0.35">
      <c r="B407" s="20"/>
      <c r="C407" s="99" t="s">
        <v>229</v>
      </c>
      <c r="D407" s="99">
        <v>45</v>
      </c>
      <c r="E407" s="433" t="s">
        <v>730</v>
      </c>
      <c r="F407" s="35"/>
    </row>
    <row r="408" spans="2:6" s="21" customFormat="1" outlineLevel="1" x14ac:dyDescent="0.35">
      <c r="B408" s="28"/>
      <c r="C408" s="29"/>
      <c r="D408" s="29"/>
      <c r="E408" s="29"/>
      <c r="F408" s="60"/>
    </row>
    <row r="409" spans="2:6" s="21" customFormat="1" x14ac:dyDescent="0.35"/>
    <row r="410" spans="2:6" s="21" customFormat="1" x14ac:dyDescent="0.35"/>
    <row r="411" spans="2:6" s="1" customFormat="1" ht="11.25" customHeight="1" x14ac:dyDescent="0.35">
      <c r="B411" s="2"/>
      <c r="C411" s="3"/>
      <c r="E411" s="2"/>
    </row>
    <row r="412" spans="2:6" s="200" customFormat="1" ht="3.75" customHeight="1" thickBot="1" x14ac:dyDescent="0.45"/>
    <row r="413" spans="2:6" s="158" customFormat="1" ht="16.8" x14ac:dyDescent="0.4"/>
    <row r="414" spans="2:6" s="158" customFormat="1" ht="16.8" x14ac:dyDescent="0.4"/>
  </sheetData>
  <sheetProtection algorithmName="SHA-512" hashValue="DBD7xk0chtSCPq3uMyVrwSVxB6VxYerNXVL6re5G162X4uQ6w7+2aNLDDUjdAffgy/z1CUQxc8cQsUpgnjmcXg==" saltValue="lrfm+tWVA12nB7pxWXJssg==" spinCount="100000" sheet="1" objects="1" scenarios="1"/>
  <mergeCells count="46">
    <mergeCell ref="B6:F6"/>
    <mergeCell ref="C301:E301"/>
    <mergeCell ref="C344:E344"/>
    <mergeCell ref="C350:E350"/>
    <mergeCell ref="C363:E363"/>
    <mergeCell ref="B244:F244"/>
    <mergeCell ref="C234:E234"/>
    <mergeCell ref="I76:O76"/>
    <mergeCell ref="I66:O66"/>
    <mergeCell ref="I53:O53"/>
    <mergeCell ref="C387:E387"/>
    <mergeCell ref="C401:E401"/>
    <mergeCell ref="C317:E317"/>
    <mergeCell ref="C340:E340"/>
    <mergeCell ref="C373:E373"/>
    <mergeCell ref="C259:E259"/>
    <mergeCell ref="B257:F257"/>
    <mergeCell ref="I101:Q101"/>
    <mergeCell ref="I93:O93"/>
    <mergeCell ref="C280:E280"/>
    <mergeCell ref="H99:P99"/>
    <mergeCell ref="I10:O10"/>
    <mergeCell ref="B8:F8"/>
    <mergeCell ref="B65:F65"/>
    <mergeCell ref="H8:P8"/>
    <mergeCell ref="C10:E10"/>
    <mergeCell ref="C24:E24"/>
    <mergeCell ref="I26:O26"/>
    <mergeCell ref="C40:E40"/>
    <mergeCell ref="C54:E54"/>
    <mergeCell ref="C60:E60"/>
    <mergeCell ref="I49:O49"/>
    <mergeCell ref="C405:E405"/>
    <mergeCell ref="C214:E214"/>
    <mergeCell ref="C67:E67"/>
    <mergeCell ref="C77:E77"/>
    <mergeCell ref="C87:E87"/>
    <mergeCell ref="C166:E166"/>
    <mergeCell ref="C147:E147"/>
    <mergeCell ref="C117:E117"/>
    <mergeCell ref="C157:E157"/>
    <mergeCell ref="C273:E273"/>
    <mergeCell ref="C196:E196"/>
    <mergeCell ref="C205:E205"/>
    <mergeCell ref="C218:E218"/>
    <mergeCell ref="C224:E224"/>
  </mergeCells>
  <phoneticPr fontId="71" type="noConversion"/>
  <conditionalFormatting sqref="A1:AT2">
    <cfRule type="cellIs" dxfId="2675" priority="1" operator="equal">
      <formula>"Insert unit"</formula>
    </cfRule>
    <cfRule type="cellIs" dxfId="2674" priority="2" operator="equal">
      <formula>"Insert data"</formula>
    </cfRule>
  </conditionalFormatting>
  <hyperlinks>
    <hyperlink ref="E211" r:id="rId1" display="http://www.researchgate.net/publication/229306221_Applicability_of_biogas_digestate_as_solid_fuel" xr:uid="{00000000-0004-0000-0900-000001000000}"/>
    <hyperlink ref="E210" r:id="rId2" display="http://www.researchgate.net/publication/229306221_Applicability_of_biogas_digestate_as_solid_fuel" xr:uid="{00000000-0004-0000-0900-000002000000}"/>
    <hyperlink ref="O28" r:id="rId3" xr:uid="{00000000-0004-0000-0900-000003000000}"/>
    <hyperlink ref="E21" r:id="rId4" display="National grid average data" xr:uid="{00000000-0004-0000-0900-000035000000}"/>
    <hyperlink ref="E42" r:id="rId5" xr:uid="{00000000-0004-0000-0900-000036000000}"/>
    <hyperlink ref="E248" r:id="rId6" xr:uid="{E950AC37-BAEF-41EE-A90C-1EAD1440E6C5}"/>
    <hyperlink ref="E249:E253" r:id="rId7" display="JRC (2017) Solid and gaseous bioenergy doi:10.2790/27486" xr:uid="{668F644B-4CC7-44EF-909F-9300B9475F35}"/>
    <hyperlink ref="E226" r:id="rId8" xr:uid="{2B87EA6D-4CCE-4CC4-A7A3-F1F80D749813}"/>
    <hyperlink ref="E216" r:id="rId9" xr:uid="{FCCBDE87-AAD6-47EB-BB23-544DE705BE4B}"/>
    <hyperlink ref="E237" r:id="rId10" xr:uid="{60CC70B2-69F8-45FD-BB47-99EDE021E026}"/>
    <hyperlink ref="E239" r:id="rId11" xr:uid="{4874D87A-E1F3-4D47-942C-B5E72A116455}"/>
    <hyperlink ref="E240" r:id="rId12" xr:uid="{12BA14A1-195A-48D5-AD12-A3A9611ED08E}"/>
    <hyperlink ref="E236" r:id="rId13" xr:uid="{B7C16064-BB7A-41E3-8898-28D39121AB38}"/>
    <hyperlink ref="E89" r:id="rId14" xr:uid="{00000000-0004-0000-0900-00001C000000}"/>
    <hyperlink ref="E91" r:id="rId15" xr:uid="{5E264FC0-059D-4168-8E21-FE7749B4F8BD}"/>
    <hyperlink ref="E93" r:id="rId16" xr:uid="{A855405D-E395-434D-BDA5-D664BA802325}"/>
    <hyperlink ref="E95" r:id="rId17" xr:uid="{2B493DDD-0D13-4652-BDF7-9CB4FC9C27D7}"/>
    <hyperlink ref="E96" r:id="rId18" xr:uid="{F72B7A49-45F6-4CF4-BD35-61E91653794C}"/>
    <hyperlink ref="E97" r:id="rId19" xr:uid="{E16A60C3-9E69-4218-A52D-E0719D523A57}"/>
    <hyperlink ref="E98" r:id="rId20" xr:uid="{91DD284B-5ACA-44DE-A02C-4ADA3F169315}"/>
    <hyperlink ref="E99" r:id="rId21" xr:uid="{C56AB309-B459-4B5D-8AA9-1DAE2CEC7CF2}"/>
    <hyperlink ref="E100" r:id="rId22" xr:uid="{D8D4F670-42FF-48C4-9644-9121260EB974}"/>
    <hyperlink ref="E101" r:id="rId23" xr:uid="{2FE1C0AA-6FFB-4801-B2D5-0369E8C0ECE2}"/>
    <hyperlink ref="E102" r:id="rId24" xr:uid="{3356C1D6-2DB3-4300-AE1D-2EB651873130}"/>
    <hyperlink ref="E104" r:id="rId25" xr:uid="{CF969284-7347-4061-A643-FD76C04D0073}"/>
    <hyperlink ref="E105" r:id="rId26" xr:uid="{D4AC9CAF-0AE2-4A6F-B139-0B9A715B2934}"/>
    <hyperlink ref="E106" r:id="rId27" xr:uid="{607AB3AC-9A03-49D7-AD39-48587E7999B0}"/>
    <hyperlink ref="E107" r:id="rId28" xr:uid="{01189BD7-4FFA-4B20-BA21-E16DB4BA5B7E}"/>
    <hyperlink ref="E108" r:id="rId29" xr:uid="{D7AAC79B-4271-492B-B1C1-FD8787277BBF}"/>
    <hyperlink ref="E109" r:id="rId30" xr:uid="{517AB2FE-6C3F-44BE-8C9E-73D49F4661C6}"/>
    <hyperlink ref="E110" r:id="rId31" xr:uid="{4EBDCF67-9F12-4E1A-99BE-B7B262C28D9E}"/>
    <hyperlink ref="E111" r:id="rId32" xr:uid="{FFB66E96-154E-41B8-86EE-0D9377FB82D5}"/>
    <hyperlink ref="E112" r:id="rId33" xr:uid="{185C52C8-F4D6-4453-A761-FD3775102E97}"/>
    <hyperlink ref="E113" r:id="rId34" xr:uid="{3C4552F3-EB3B-4399-B76C-8D227E6B0E12}"/>
    <hyperlink ref="E114" r:id="rId35" xr:uid="{DE490619-C59D-49CA-969E-FEA4AE4B97EA}"/>
    <hyperlink ref="E115" r:id="rId36" xr:uid="{5F2EE614-69AC-428D-9085-60BFC3688C65}"/>
    <hyperlink ref="E119" r:id="rId37" xr:uid="{7C987A2D-EE0E-4117-AE40-16842E662945}"/>
    <hyperlink ref="E121" r:id="rId38" xr:uid="{3C70F1FE-FB43-4DDE-AE1D-8A78CE6FAB6A}"/>
    <hyperlink ref="E123" r:id="rId39" xr:uid="{9747C35B-30F2-49FE-B81B-3AF8A7856847}"/>
    <hyperlink ref="E124" r:id="rId40" xr:uid="{BA0EBC22-0E0B-4012-8E97-2C6AFA63B0BB}"/>
    <hyperlink ref="E126" r:id="rId41" xr:uid="{BEA244CB-C0B4-4467-943A-7A0BED9F2265}"/>
    <hyperlink ref="E127" r:id="rId42" xr:uid="{4F6F8738-8790-4A48-B2B9-2B9EF99638A2}"/>
    <hyperlink ref="E128" r:id="rId43" xr:uid="{A8FE0539-D57E-474F-9570-D9689C999A85}"/>
    <hyperlink ref="E129" r:id="rId44" xr:uid="{7A713FD9-6B49-4E6C-B100-F8A7A15AC3B4}"/>
    <hyperlink ref="E130" r:id="rId45" xr:uid="{3F8AACAE-98F5-4567-91D1-6614C91E08D6}"/>
    <hyperlink ref="E131" r:id="rId46" xr:uid="{87C6E288-7E96-4418-BB4F-B02387F08371}"/>
    <hyperlink ref="E132" r:id="rId47" xr:uid="{C6363D4C-1B6B-4826-AF14-87198060544F}"/>
    <hyperlink ref="E134" r:id="rId48" xr:uid="{EFB54980-62E2-4A5D-8CD2-6C56ADED3FFF}"/>
    <hyperlink ref="E135" r:id="rId49" xr:uid="{B84111AF-DBC5-4CA0-8B41-8A13065CF43D}"/>
    <hyperlink ref="E136" r:id="rId50" xr:uid="{0914A90F-C39C-48AD-960F-6281FF27ED1E}"/>
    <hyperlink ref="E137" r:id="rId51" xr:uid="{1DA12F8B-D410-41DF-81C8-BA5D11D24370}"/>
    <hyperlink ref="E138" r:id="rId52" xr:uid="{F3B5A77C-2DDF-475C-B4BA-8E5C12015523}"/>
    <hyperlink ref="E139" r:id="rId53" xr:uid="{EA9192EC-D6E1-4374-A873-3D744E6302DF}"/>
    <hyperlink ref="E140" r:id="rId54" xr:uid="{3042D612-ED08-4D29-936B-9882360CB9E1}"/>
    <hyperlink ref="E141" r:id="rId55" xr:uid="{0A21A39B-3744-45DD-ACB7-A03177693105}"/>
    <hyperlink ref="E142" r:id="rId56" xr:uid="{7E05F61B-2C4F-464C-9EFF-F04FB18AAFA6}"/>
    <hyperlink ref="E143" r:id="rId57" xr:uid="{9577EA53-D0C1-477E-B352-D912FDDAAD9A}"/>
    <hyperlink ref="E144" r:id="rId58" xr:uid="{20AE60F7-1BBF-44DF-B3E1-8C851D679F3B}"/>
    <hyperlink ref="E145" r:id="rId59" xr:uid="{731A5CB8-075A-484C-B6BD-9841DD300DF6}"/>
    <hyperlink ref="E149" r:id="rId60" xr:uid="{72285D4C-CB36-41E1-B49D-7572F7E5273C}"/>
    <hyperlink ref="E150" r:id="rId61" xr:uid="{4AB1B596-04A8-40DE-B0CB-628527C88BBF}"/>
    <hyperlink ref="E151" r:id="rId62" xr:uid="{8E5289D5-29C0-4230-84C4-BCECC407B19C}"/>
    <hyperlink ref="E153" r:id="rId63" xr:uid="{B2766114-06DE-4EFD-A41E-E5FF57258A53}"/>
    <hyperlink ref="E154" r:id="rId64" xr:uid="{7804B61E-F307-44AA-9B3C-2E4357C131BE}"/>
    <hyperlink ref="E159" r:id="rId65" xr:uid="{5425AAEE-E046-481D-BC10-D460CE53B6B1}"/>
    <hyperlink ref="E160" r:id="rId66" xr:uid="{738B45A8-260E-4694-8F8E-7976F5608BFE}"/>
    <hyperlink ref="E161" r:id="rId67" xr:uid="{1689C4DB-4587-44C9-A18C-2D3EA5D25C4E}"/>
    <hyperlink ref="E163" r:id="rId68" xr:uid="{7154A4C7-9D70-405D-BAB4-04F16504A794}"/>
    <hyperlink ref="E164" r:id="rId69" xr:uid="{D13B598A-B5BB-419A-A4EA-03C352D59C34}"/>
    <hyperlink ref="E168" r:id="rId70" xr:uid="{C1310D5F-46CB-40D2-A209-1769194928A8}"/>
    <hyperlink ref="E170" r:id="rId71" xr:uid="{BDEAE6C1-C2BC-4BB2-9BE9-84C05028BA29}"/>
    <hyperlink ref="E172" r:id="rId72" xr:uid="{BD0F2357-D502-440D-B8D8-87FE7FF87E4B}"/>
    <hyperlink ref="E173" r:id="rId73" xr:uid="{CC0DD9D0-1894-4A4C-A2D1-F705C58B7BEA}"/>
    <hyperlink ref="E174" r:id="rId74" xr:uid="{BD746CCD-C721-4B45-90DE-42BC6F2676FC}"/>
    <hyperlink ref="E175" r:id="rId75" xr:uid="{5EA8F865-755E-48AE-82B6-3FA08EDAD598}"/>
    <hyperlink ref="E176" r:id="rId76" xr:uid="{B902E74E-B46A-47B0-97E0-B1E390D1A3B6}"/>
    <hyperlink ref="E177" r:id="rId77" xr:uid="{A8C5E28D-F0B0-4033-9056-FF42FE451C76}"/>
    <hyperlink ref="E178" r:id="rId78" xr:uid="{DD68F9C0-0E10-460F-8383-3609886BEA0F}"/>
    <hyperlink ref="E179" r:id="rId79" xr:uid="{51301B81-3E81-4446-A412-336E7F297DDC}"/>
    <hyperlink ref="E180" r:id="rId80" xr:uid="{98FE7560-2AF7-423E-BAF3-FEE2B837CBC4}"/>
    <hyperlink ref="E181" r:id="rId81" xr:uid="{EF760A1F-A9D2-4C35-A533-D23C0A773B78}"/>
    <hyperlink ref="E198" r:id="rId82" xr:uid="{726D314E-9107-4C2F-9D33-5473CF82129C}"/>
    <hyperlink ref="E199" r:id="rId83" xr:uid="{6B5E52F9-A71B-468F-B728-F688D4ACF4A3}"/>
    <hyperlink ref="E200" r:id="rId84" xr:uid="{FDFB4BAC-A7BB-48D1-9757-7045BEF14410}"/>
    <hyperlink ref="E202" r:id="rId85" xr:uid="{A5DF1043-0E15-4F80-AA65-B7230F271FB5}"/>
    <hyperlink ref="E203" r:id="rId86" xr:uid="{0F53E07B-8D44-4358-B1F1-F555888792A0}"/>
    <hyperlink ref="E407" r:id="rId87" xr:uid="{A44B1795-DCB1-41B5-814F-A9B842F17663}"/>
    <hyperlink ref="E275" r:id="rId88" xr:uid="{7F0FF2C8-5109-444A-90EF-2CB24CC143C9}"/>
    <hyperlink ref="E276" r:id="rId89" xr:uid="{EF5F303A-894D-462E-98B4-39A4B9B6E98B}"/>
    <hyperlink ref="E282" r:id="rId90" xr:uid="{51E74A3C-8F4A-46D5-845E-D3796D7AD748}"/>
    <hyperlink ref="E283" r:id="rId91" xr:uid="{213DD47B-B711-414A-B442-44AB9BAA1E56}"/>
    <hyperlink ref="E284" r:id="rId92" xr:uid="{11EFC88C-AD5B-43E1-ADA3-87DEE81E9CF5}"/>
    <hyperlink ref="E285" r:id="rId93" xr:uid="{5E51295B-6D26-4364-97DD-3F785A025BD1}"/>
    <hyperlink ref="E286" r:id="rId94" xr:uid="{FE82B8B9-95A8-45A4-B0DC-6F88D7701F40}"/>
    <hyperlink ref="E287" r:id="rId95" xr:uid="{CA4858BC-1934-4875-AD61-B381956D95A9}"/>
    <hyperlink ref="E288" r:id="rId96" xr:uid="{34B7C72A-EC9A-468A-9284-3EB3E8E5C858}"/>
    <hyperlink ref="E289" r:id="rId97" xr:uid="{533898AD-3B46-43F6-BC30-7D2354BE4BBA}"/>
    <hyperlink ref="E290" r:id="rId98" xr:uid="{8874FC94-CE87-4BB2-ADFB-BF1A115190CB}"/>
    <hyperlink ref="E291" r:id="rId99" xr:uid="{04928643-94B7-47BE-A1BE-9289EF6CF70C}"/>
    <hyperlink ref="E292" r:id="rId100" xr:uid="{BE8BE07D-D1A6-4FC9-84C4-4819A7D2A944}"/>
    <hyperlink ref="E310" r:id="rId101" xr:uid="{E0DA6D5F-D289-4831-A9F0-F0F74698654F}"/>
    <hyperlink ref="E323" r:id="rId102" xr:uid="{49B8CC3F-B90A-4F37-853C-FA7E46F65221}"/>
    <hyperlink ref="E333" r:id="rId103" xr:uid="{5CCC5735-6DCD-426A-BDB0-5F0847E1AA78}"/>
    <hyperlink ref="E356" r:id="rId104" xr:uid="{F4103C95-3648-40DC-9F1B-24C5A94A2945}"/>
    <hyperlink ref="E366" r:id="rId105" xr:uid="{ABD296DF-9BA0-45BE-A6AD-13A4BBF9DE32}"/>
    <hyperlink ref="E378" r:id="rId106" xr:uid="{1FA7A94B-AC72-4382-A931-343414789774}"/>
    <hyperlink ref="E379" r:id="rId107" xr:uid="{C091B807-F4CE-4A92-BC43-76C5329C82FD}"/>
    <hyperlink ref="E389" r:id="rId108" xr:uid="{24D1778E-8CC7-4E99-B880-E0E1452125BA}"/>
    <hyperlink ref="E390" r:id="rId109" xr:uid="{235C0150-DE00-4282-8F1F-93FD38645AA6}"/>
    <hyperlink ref="E392" r:id="rId110" xr:uid="{405B9CCB-7DDA-4399-97BB-EDB5651CE7C0}"/>
    <hyperlink ref="E393" r:id="rId111" xr:uid="{54156DD9-BA08-46AF-9F95-2B9CEF91A3D4}"/>
    <hyperlink ref="E394" r:id="rId112" xr:uid="{BB3F8402-EBF4-45FB-826C-8DDE5C555296}"/>
    <hyperlink ref="E395" r:id="rId113" xr:uid="{EFD5DA1F-DEEF-4CDC-A1C5-32C84555F2AC}"/>
    <hyperlink ref="E397" r:id="rId114" xr:uid="{AEDC5169-4D0A-4603-878A-45F6A9CD895E}"/>
    <hyperlink ref="E403" r:id="rId115" xr:uid="{4F2BF4A6-8CBA-4B47-972C-D75967FE167C}"/>
    <hyperlink ref="E268" r:id="rId116" xr:uid="{695AB806-ED8E-4631-B591-82C7FDE1A9B4}"/>
    <hyperlink ref="E269" r:id="rId117" xr:uid="{1B869F41-3BC7-4B78-AB02-E3A03B5CE596}"/>
    <hyperlink ref="E266" r:id="rId118" xr:uid="{D047B911-E3A4-4FE1-AEAE-156D2390D3C2}"/>
    <hyperlink ref="E227" r:id="rId119" xr:uid="{CE255D69-9A62-45D2-A128-31E9F6E30D82}"/>
    <hyperlink ref="E228" r:id="rId120" xr:uid="{0D55BA4D-097C-49AF-965A-7853FF9CB4F3}"/>
    <hyperlink ref="E229" r:id="rId121" xr:uid="{2F979C2A-F1E0-45C9-B247-317CFD7CDEB6}"/>
    <hyperlink ref="E230" r:id="rId122" xr:uid="{35DCAE6E-3ED1-4B98-B672-032B8FC2372B}"/>
    <hyperlink ref="E231" r:id="rId123" xr:uid="{64325585-C452-4DED-9A52-9FE239211087}"/>
    <hyperlink ref="E56" r:id="rId124" xr:uid="{E284F915-E57B-49A7-9F67-2439E457BF83}"/>
    <hyperlink ref="E57" r:id="rId125" xr:uid="{21BAC288-821A-4C96-87AE-612DF7E3AEB7}"/>
    <hyperlink ref="E58" r:id="rId126" xr:uid="{A2327111-604E-4714-A920-33F6BB27629E}"/>
    <hyperlink ref="E43" r:id="rId127" xr:uid="{77DD67A6-CCD4-4A89-9AEA-0E1CFD24AF93}"/>
    <hyperlink ref="E261" r:id="rId128" xr:uid="{10497B45-6F5A-4A35-8D33-49D73A69C46E}"/>
    <hyperlink ref="E262" r:id="rId129" xr:uid="{2F9E9D81-9DE1-43BF-A059-1E8074DCF754}"/>
    <hyperlink ref="E263" r:id="rId130" xr:uid="{C026F84F-CF84-44A0-A069-346E1CD91C93}"/>
    <hyperlink ref="E264" r:id="rId131" xr:uid="{1396D831-7E3A-4947-B8B8-2A29AD0AFE81}"/>
    <hyperlink ref="E265" r:id="rId132" xr:uid="{B7F136E4-90F6-4875-9507-041D07E7DF53}"/>
    <hyperlink ref="E267" r:id="rId133" xr:uid="{333E8F6B-F0E7-4B1D-AEED-B0609CC38767}"/>
    <hyperlink ref="E278" r:id="rId134" xr:uid="{73FFE41E-08CD-43D0-AFB1-08E92EB628D2}"/>
    <hyperlink ref="O33" r:id="rId135" xr:uid="{1B7CA061-09B2-4B0D-BA6C-35F37148DABE}"/>
    <hyperlink ref="O34" r:id="rId136" xr:uid="{CEA1BEFE-5034-4467-A8E6-114A74857E28}"/>
    <hyperlink ref="O35" r:id="rId137" xr:uid="{457603B4-0980-4AFE-A2FF-B7361E3F95CA}"/>
    <hyperlink ref="O39" r:id="rId138" xr:uid="{2367F0CB-36AE-4173-A8D7-A632D53E00D5}"/>
    <hyperlink ref="O41" r:id="rId139" xr:uid="{581F5600-C34C-41EF-A0BC-2814BE7E4053}"/>
    <hyperlink ref="O29" r:id="rId140" xr:uid="{1312CFE7-9719-4CEF-AEF3-2EF9A10AE8A7}"/>
    <hyperlink ref="O30" r:id="rId141" xr:uid="{6981C9C2-74BD-402A-AAB2-BCD4A184FA8B}"/>
    <hyperlink ref="O31" r:id="rId142" xr:uid="{6F92BA5E-EDFE-4650-87B6-2F1D40DF78F2}"/>
    <hyperlink ref="O36" r:id="rId143" xr:uid="{1A377254-6E15-47E9-9094-29F3A0D8C0ED}"/>
    <hyperlink ref="O37" r:id="rId144" xr:uid="{B5535E42-3315-4A01-84DD-0C6D74E8ECB5}"/>
    <hyperlink ref="O38" r:id="rId145" xr:uid="{65EEEC5D-983C-4DB5-ADFC-535B0C068724}"/>
    <hyperlink ref="E94" r:id="rId146" xr:uid="{1D75488C-3CE2-4A1E-BCD3-6DFA240FF480}"/>
    <hyperlink ref="E125" r:id="rId147" xr:uid="{3CEA1E35-49B5-48FB-8669-8E3AC7E915CB}"/>
    <hyperlink ref="E194" r:id="rId148" xr:uid="{F1517B4B-ACA9-42F1-89C0-D53A476DBCE6}"/>
    <hyperlink ref="E152" r:id="rId149" xr:uid="{79959FBB-1690-4E89-BAB0-49377968432B}"/>
    <hyperlink ref="E162" r:id="rId150" xr:uid="{DAD0D9DA-C042-4BE7-905C-BCC3068A5E97}"/>
    <hyperlink ref="E201" r:id="rId151" xr:uid="{9DACC3D7-AEF4-46A6-AE8B-98CF53034E9F}"/>
    <hyperlink ref="E69" r:id="rId152" xr:uid="{0147FFBD-0082-4D06-9899-3B0830365F0C}"/>
    <hyperlink ref="E79" r:id="rId153" xr:uid="{32D490D5-618B-495C-9B16-2E4BE33D783C}"/>
    <hyperlink ref="S103" r:id="rId154" xr:uid="{210B7FD7-ED40-435B-8B31-4FAAB47777A8}"/>
    <hyperlink ref="E71" r:id="rId155" xr:uid="{24B6A148-6BF2-4A1A-8A7D-C6C707A458CE}"/>
    <hyperlink ref="E81" r:id="rId156" xr:uid="{0136C2D6-EACC-4122-9628-3468E5A34CB5}"/>
    <hyperlink ref="S105" r:id="rId157" xr:uid="{5AC36DFC-2BA9-4C63-8FF0-6D56E0C02C96}"/>
    <hyperlink ref="E30" r:id="rId158" xr:uid="{974671CF-7C2F-4B28-A17A-5050867A71FF}"/>
    <hyperlink ref="E31" r:id="rId159" xr:uid="{57B10318-341B-4278-91A8-DFAF78C80ACA}"/>
    <hyperlink ref="E35" r:id="rId160" xr:uid="{D95A0909-D7D6-4718-A870-F47F16A2EF31}"/>
    <hyperlink ref="E36" r:id="rId161" xr:uid="{BC600AD5-E042-4723-ABA8-554C2B21B95B}"/>
    <hyperlink ref="E37" r:id="rId162" xr:uid="{00000000-0004-0000-0900-000034000000}"/>
    <hyperlink ref="E220" r:id="rId163" xr:uid="{EB27004B-9E70-422C-8B21-171FFD4E9A20}"/>
    <hyperlink ref="E221" r:id="rId164" xr:uid="{C8874EE8-40A6-4103-8EA8-644A9D3BBE6F}"/>
  </hyperlinks>
  <pageMargins left="0.7" right="0.7" top="0.75" bottom="0.75" header="0.3" footer="0.3"/>
  <pageSetup paperSize="9" orientation="portrait" r:id="rId165"/>
  <headerFooter>
    <oddHeader>&amp;C&amp;"Calibri"&amp;10&amp;K000000 OFFICIAL&amp;1#_x000D_</oddHeader>
    <oddFooter>&amp;C_x000D_&amp;1#&amp;"Calibri"&amp;10&amp;K000000 OFFICIAL</oddFooter>
  </headerFooter>
  <ignoredErrors>
    <ignoredError sqref="C357:C360 C367:C371 C381:C385 C361:E361" unlockedFormula="1"/>
  </ignoredErrors>
  <drawing r:id="rId166"/>
  <tableParts count="39">
    <tablePart r:id="rId167"/>
    <tablePart r:id="rId168"/>
    <tablePart r:id="rId169"/>
    <tablePart r:id="rId170"/>
    <tablePart r:id="rId171"/>
    <tablePart r:id="rId172"/>
    <tablePart r:id="rId173"/>
    <tablePart r:id="rId174"/>
    <tablePart r:id="rId175"/>
    <tablePart r:id="rId176"/>
    <tablePart r:id="rId177"/>
    <tablePart r:id="rId178"/>
    <tablePart r:id="rId179"/>
    <tablePart r:id="rId180"/>
    <tablePart r:id="rId181"/>
    <tablePart r:id="rId182"/>
    <tablePart r:id="rId183"/>
    <tablePart r:id="rId184"/>
    <tablePart r:id="rId185"/>
    <tablePart r:id="rId186"/>
    <tablePart r:id="rId187"/>
    <tablePart r:id="rId188"/>
    <tablePart r:id="rId189"/>
    <tablePart r:id="rId190"/>
    <tablePart r:id="rId191"/>
    <tablePart r:id="rId192"/>
    <tablePart r:id="rId193"/>
    <tablePart r:id="rId194"/>
    <tablePart r:id="rId195"/>
    <tablePart r:id="rId196"/>
    <tablePart r:id="rId197"/>
    <tablePart r:id="rId198"/>
    <tablePart r:id="rId199"/>
    <tablePart r:id="rId200"/>
    <tablePart r:id="rId201"/>
    <tablePart r:id="rId202"/>
    <tablePart r:id="rId203"/>
    <tablePart r:id="rId204"/>
    <tablePart r:id="rId205"/>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B1:AL54"/>
  <sheetViews>
    <sheetView zoomScale="85" zoomScaleNormal="85" workbookViewId="0">
      <selection activeCell="G14" sqref="G14"/>
    </sheetView>
  </sheetViews>
  <sheetFormatPr defaultColWidth="9.109375" defaultRowHeight="16.8" x14ac:dyDescent="0.4"/>
  <cols>
    <col min="1" max="1" width="2.88671875" style="126" customWidth="1"/>
    <col min="2" max="2" width="35.44140625" style="126" customWidth="1"/>
    <col min="3" max="3" width="29.6640625" style="126" customWidth="1"/>
    <col min="4" max="4" width="30" style="126" customWidth="1"/>
    <col min="5" max="5" width="11" style="126" customWidth="1"/>
    <col min="6" max="6" width="12.109375" style="126" customWidth="1"/>
    <col min="7" max="7" width="67.6640625" style="126" customWidth="1"/>
    <col min="8" max="8" width="120.6640625" style="126" customWidth="1"/>
    <col min="9" max="16384" width="9.109375" style="126"/>
  </cols>
  <sheetData>
    <row r="1" spans="2:38" s="170" customFormat="1" ht="24.75" customHeight="1" x14ac:dyDescent="0.4">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row>
    <row r="2" spans="2:38" s="170" customFormat="1" ht="24.75" customHeight="1" x14ac:dyDescent="0.4">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row>
    <row r="3" spans="2:38" s="170" customFormat="1" ht="24.75" customHeight="1" x14ac:dyDescent="0.3"/>
    <row r="4" spans="2:38" s="196" customFormat="1" ht="24.6" customHeight="1" x14ac:dyDescent="0.3"/>
    <row r="6" spans="2:38" x14ac:dyDescent="0.4">
      <c r="B6" s="728" t="s">
        <v>731</v>
      </c>
      <c r="C6" s="728"/>
      <c r="D6" s="728"/>
      <c r="E6" s="728"/>
      <c r="F6" s="728"/>
      <c r="G6" s="728"/>
    </row>
    <row r="8" spans="2:38" x14ac:dyDescent="0.4">
      <c r="B8" s="721" t="s">
        <v>732</v>
      </c>
      <c r="C8" s="721"/>
      <c r="D8" s="721"/>
      <c r="E8" s="721"/>
      <c r="F8" s="721"/>
      <c r="G8" s="721"/>
      <c r="H8" s="721"/>
    </row>
    <row r="9" spans="2:38" x14ac:dyDescent="0.4">
      <c r="B9" s="331" t="s">
        <v>60</v>
      </c>
      <c r="C9" s="331" t="s">
        <v>733</v>
      </c>
      <c r="D9" s="332" t="s">
        <v>734</v>
      </c>
      <c r="E9" s="332" t="s">
        <v>140</v>
      </c>
      <c r="F9" s="332" t="s">
        <v>151</v>
      </c>
      <c r="G9" s="332" t="s">
        <v>188</v>
      </c>
      <c r="H9" s="333" t="s">
        <v>106</v>
      </c>
    </row>
    <row r="10" spans="2:38" x14ac:dyDescent="0.4">
      <c r="B10" s="681"/>
      <c r="C10" s="681"/>
      <c r="D10" s="682"/>
      <c r="E10" s="682"/>
      <c r="F10" s="682"/>
      <c r="G10" s="682"/>
      <c r="H10" s="683"/>
    </row>
    <row r="11" spans="2:38" x14ac:dyDescent="0.4">
      <c r="B11" s="681"/>
      <c r="C11" s="681"/>
      <c r="D11" s="682"/>
      <c r="E11" s="682"/>
      <c r="F11" s="682"/>
      <c r="G11" s="684"/>
      <c r="H11" s="683"/>
    </row>
    <row r="12" spans="2:38" x14ac:dyDescent="0.4">
      <c r="B12" s="681"/>
      <c r="C12" s="681"/>
      <c r="D12" s="682"/>
      <c r="E12" s="685"/>
      <c r="F12" s="682"/>
      <c r="G12" s="684"/>
      <c r="H12" s="683"/>
    </row>
    <row r="13" spans="2:38" x14ac:dyDescent="0.4">
      <c r="B13" s="681"/>
      <c r="C13" s="681"/>
      <c r="D13" s="682"/>
      <c r="E13" s="682"/>
      <c r="F13" s="682"/>
      <c r="G13" s="684"/>
      <c r="H13" s="683"/>
    </row>
    <row r="14" spans="2:38" x14ac:dyDescent="0.4">
      <c r="B14" s="681"/>
      <c r="C14" s="681"/>
      <c r="D14" s="682"/>
      <c r="E14" s="682"/>
      <c r="F14" s="682"/>
      <c r="G14" s="682"/>
      <c r="H14" s="683"/>
    </row>
    <row r="15" spans="2:38" x14ac:dyDescent="0.4">
      <c r="B15" s="681"/>
      <c r="C15" s="681"/>
      <c r="D15" s="682"/>
      <c r="E15" s="682"/>
      <c r="F15" s="682"/>
      <c r="G15" s="682"/>
      <c r="H15" s="683"/>
    </row>
    <row r="16" spans="2:38" x14ac:dyDescent="0.4">
      <c r="B16" s="681"/>
      <c r="C16" s="681"/>
      <c r="D16" s="682"/>
      <c r="E16" s="682"/>
      <c r="F16" s="682"/>
      <c r="G16" s="682"/>
      <c r="H16" s="683"/>
    </row>
    <row r="17" spans="2:8" x14ac:dyDescent="0.4">
      <c r="B17" s="682"/>
      <c r="C17" s="681"/>
      <c r="D17" s="682"/>
      <c r="E17" s="682"/>
      <c r="F17" s="682"/>
      <c r="G17" s="682"/>
      <c r="H17" s="683"/>
    </row>
    <row r="18" spans="2:8" x14ac:dyDescent="0.4">
      <c r="B18" s="681"/>
      <c r="C18" s="681"/>
      <c r="D18" s="682"/>
      <c r="E18" s="682"/>
      <c r="F18" s="682"/>
      <c r="G18" s="682"/>
      <c r="H18" s="683"/>
    </row>
    <row r="19" spans="2:8" x14ac:dyDescent="0.4">
      <c r="B19" s="681"/>
      <c r="C19" s="681"/>
      <c r="D19" s="682"/>
      <c r="E19" s="682"/>
      <c r="F19" s="682"/>
      <c r="G19" s="682"/>
      <c r="H19" s="683"/>
    </row>
    <row r="20" spans="2:8" x14ac:dyDescent="0.4">
      <c r="B20" s="681"/>
      <c r="C20" s="681"/>
      <c r="D20" s="682"/>
      <c r="E20" s="682"/>
      <c r="F20" s="682"/>
      <c r="G20" s="682"/>
      <c r="H20" s="683"/>
    </row>
    <row r="21" spans="2:8" x14ac:dyDescent="0.4">
      <c r="B21" s="681"/>
      <c r="C21" s="681"/>
      <c r="D21" s="682"/>
      <c r="E21" s="682"/>
      <c r="F21" s="682"/>
      <c r="G21" s="682"/>
      <c r="H21" s="683"/>
    </row>
    <row r="22" spans="2:8" x14ac:dyDescent="0.4">
      <c r="B22" s="681"/>
      <c r="C22" s="681"/>
      <c r="D22" s="682"/>
      <c r="E22" s="682"/>
      <c r="F22" s="682"/>
      <c r="G22" s="682"/>
      <c r="H22" s="683"/>
    </row>
    <row r="23" spans="2:8" x14ac:dyDescent="0.4">
      <c r="B23" s="681"/>
      <c r="C23" s="681"/>
      <c r="D23" s="682"/>
      <c r="E23" s="682"/>
      <c r="F23" s="682"/>
      <c r="G23" s="682"/>
      <c r="H23" s="683"/>
    </row>
    <row r="24" spans="2:8" x14ac:dyDescent="0.4">
      <c r="B24" s="681"/>
      <c r="C24" s="681"/>
      <c r="D24" s="682"/>
      <c r="E24" s="682"/>
      <c r="F24" s="682"/>
      <c r="G24" s="682"/>
      <c r="H24" s="683"/>
    </row>
    <row r="25" spans="2:8" x14ac:dyDescent="0.4">
      <c r="B25" s="681"/>
      <c r="C25" s="681"/>
      <c r="D25" s="682"/>
      <c r="E25" s="686"/>
      <c r="F25" s="682"/>
      <c r="G25" s="682"/>
      <c r="H25" s="683"/>
    </row>
    <row r="26" spans="2:8" x14ac:dyDescent="0.4">
      <c r="B26" s="681"/>
      <c r="C26" s="681"/>
      <c r="D26" s="682"/>
      <c r="E26" s="682"/>
      <c r="F26" s="682"/>
      <c r="G26" s="682"/>
      <c r="H26" s="683"/>
    </row>
    <row r="27" spans="2:8" x14ac:dyDescent="0.4">
      <c r="B27" s="681"/>
      <c r="C27" s="681"/>
      <c r="D27" s="682"/>
      <c r="E27" s="682"/>
      <c r="F27" s="682"/>
      <c r="G27" s="682"/>
      <c r="H27" s="683"/>
    </row>
    <row r="28" spans="2:8" x14ac:dyDescent="0.4">
      <c r="B28" s="681"/>
      <c r="C28" s="681"/>
      <c r="D28" s="682"/>
      <c r="E28" s="682"/>
      <c r="F28" s="682"/>
      <c r="G28" s="682"/>
      <c r="H28" s="683"/>
    </row>
    <row r="29" spans="2:8" x14ac:dyDescent="0.4">
      <c r="B29" s="681"/>
      <c r="C29" s="681"/>
      <c r="D29" s="682"/>
      <c r="E29" s="682"/>
      <c r="F29" s="682"/>
      <c r="G29" s="684"/>
      <c r="H29" s="683"/>
    </row>
    <row r="30" spans="2:8" x14ac:dyDescent="0.4">
      <c r="B30" s="681"/>
      <c r="C30" s="681"/>
      <c r="D30" s="682"/>
      <c r="E30" s="682"/>
      <c r="F30" s="682"/>
      <c r="G30" s="682"/>
      <c r="H30" s="683"/>
    </row>
    <row r="31" spans="2:8" x14ac:dyDescent="0.4">
      <c r="B31" s="681"/>
      <c r="C31" s="681"/>
      <c r="D31" s="682"/>
      <c r="E31" s="682"/>
      <c r="F31" s="682"/>
      <c r="G31" s="682"/>
      <c r="H31" s="683"/>
    </row>
    <row r="32" spans="2:8" x14ac:dyDescent="0.4">
      <c r="B32" s="681"/>
      <c r="C32" s="681"/>
      <c r="D32" s="682"/>
      <c r="E32" s="682"/>
      <c r="F32" s="682"/>
      <c r="G32" s="682"/>
      <c r="H32" s="683"/>
    </row>
    <row r="33" spans="2:8" x14ac:dyDescent="0.4">
      <c r="B33" s="681"/>
      <c r="C33" s="681"/>
      <c r="D33" s="682"/>
      <c r="E33" s="682"/>
      <c r="F33" s="682"/>
      <c r="G33" s="682"/>
      <c r="H33" s="683"/>
    </row>
    <row r="34" spans="2:8" x14ac:dyDescent="0.4">
      <c r="B34" s="681"/>
      <c r="C34" s="681"/>
      <c r="D34" s="682"/>
      <c r="E34" s="682"/>
      <c r="F34" s="682"/>
      <c r="G34" s="682"/>
      <c r="H34" s="683"/>
    </row>
    <row r="35" spans="2:8" x14ac:dyDescent="0.4">
      <c r="B35" s="681"/>
      <c r="C35" s="681"/>
      <c r="D35" s="687"/>
      <c r="E35" s="682"/>
      <c r="F35" s="687"/>
      <c r="G35" s="682"/>
      <c r="H35" s="688"/>
    </row>
    <row r="36" spans="2:8" x14ac:dyDescent="0.4">
      <c r="B36" s="681"/>
      <c r="C36" s="681"/>
      <c r="D36" s="687"/>
      <c r="E36" s="682"/>
      <c r="F36" s="687"/>
      <c r="G36" s="682"/>
      <c r="H36" s="688"/>
    </row>
    <row r="37" spans="2:8" x14ac:dyDescent="0.4">
      <c r="B37" s="681"/>
      <c r="C37" s="681"/>
      <c r="D37" s="687"/>
      <c r="E37" s="682"/>
      <c r="F37" s="687"/>
      <c r="G37" s="682"/>
      <c r="H37" s="688"/>
    </row>
    <row r="38" spans="2:8" x14ac:dyDescent="0.4">
      <c r="B38" s="681"/>
      <c r="C38" s="681"/>
      <c r="D38" s="687"/>
      <c r="E38" s="682"/>
      <c r="F38" s="687"/>
      <c r="G38" s="682"/>
      <c r="H38" s="688"/>
    </row>
    <row r="39" spans="2:8" x14ac:dyDescent="0.4">
      <c r="B39" s="681"/>
      <c r="C39" s="681"/>
      <c r="D39" s="687"/>
      <c r="E39" s="682"/>
      <c r="F39" s="687"/>
      <c r="G39" s="682"/>
      <c r="H39" s="688"/>
    </row>
    <row r="40" spans="2:8" x14ac:dyDescent="0.4">
      <c r="B40" s="681"/>
      <c r="C40" s="681"/>
      <c r="D40" s="682"/>
      <c r="E40" s="682"/>
      <c r="F40" s="682"/>
      <c r="G40" s="682"/>
      <c r="H40" s="683"/>
    </row>
    <row r="41" spans="2:8" x14ac:dyDescent="0.4">
      <c r="B41" s="681"/>
      <c r="C41" s="681"/>
      <c r="D41" s="682"/>
      <c r="E41" s="682"/>
      <c r="F41" s="682"/>
      <c r="G41" s="682"/>
      <c r="H41" s="683"/>
    </row>
    <row r="42" spans="2:8" x14ac:dyDescent="0.4">
      <c r="B42" s="681"/>
      <c r="C42" s="681"/>
      <c r="D42" s="682"/>
      <c r="E42" s="682"/>
      <c r="F42" s="682"/>
      <c r="G42" s="682"/>
      <c r="H42" s="683"/>
    </row>
    <row r="43" spans="2:8" x14ac:dyDescent="0.4">
      <c r="B43" s="681"/>
      <c r="C43" s="681"/>
      <c r="D43" s="682"/>
      <c r="E43" s="682"/>
      <c r="F43" s="682"/>
      <c r="G43" s="682"/>
      <c r="H43" s="683"/>
    </row>
    <row r="44" spans="2:8" x14ac:dyDescent="0.4">
      <c r="B44" s="681"/>
      <c r="C44" s="681"/>
      <c r="D44" s="682"/>
      <c r="E44" s="682"/>
      <c r="F44" s="682"/>
      <c r="G44" s="682"/>
      <c r="H44" s="683"/>
    </row>
    <row r="45" spans="2:8" x14ac:dyDescent="0.4">
      <c r="B45" s="681"/>
      <c r="C45" s="681"/>
      <c r="D45" s="682"/>
      <c r="E45" s="682"/>
      <c r="F45" s="682"/>
      <c r="G45" s="682"/>
      <c r="H45" s="683"/>
    </row>
    <row r="46" spans="2:8" x14ac:dyDescent="0.4">
      <c r="B46" s="681"/>
      <c r="C46" s="681"/>
      <c r="D46" s="682"/>
      <c r="E46" s="682"/>
      <c r="F46" s="682"/>
      <c r="G46" s="682"/>
      <c r="H46" s="683"/>
    </row>
    <row r="47" spans="2:8" x14ac:dyDescent="0.4">
      <c r="B47" s="681"/>
      <c r="C47" s="681"/>
      <c r="D47" s="682"/>
      <c r="E47" s="682"/>
      <c r="F47" s="682"/>
      <c r="G47" s="682"/>
      <c r="H47" s="683"/>
    </row>
    <row r="48" spans="2:8" x14ac:dyDescent="0.4">
      <c r="B48" s="681"/>
      <c r="C48" s="681"/>
      <c r="D48" s="682"/>
      <c r="E48" s="682"/>
      <c r="F48" s="682"/>
      <c r="G48" s="682"/>
      <c r="H48" s="683"/>
    </row>
    <row r="49" spans="2:8" x14ac:dyDescent="0.4">
      <c r="B49" s="681"/>
      <c r="C49" s="681"/>
      <c r="D49" s="682"/>
      <c r="E49" s="682"/>
      <c r="F49" s="682"/>
      <c r="G49" s="682"/>
      <c r="H49" s="683"/>
    </row>
    <row r="50" spans="2:8" x14ac:dyDescent="0.4">
      <c r="B50" s="681"/>
      <c r="C50" s="681"/>
      <c r="D50" s="682"/>
      <c r="E50" s="682"/>
      <c r="F50" s="682"/>
      <c r="G50" s="682"/>
      <c r="H50" s="683"/>
    </row>
    <row r="51" spans="2:8" x14ac:dyDescent="0.4">
      <c r="B51" s="681"/>
      <c r="C51" s="681"/>
      <c r="D51" s="682"/>
      <c r="E51" s="682"/>
      <c r="F51" s="682"/>
      <c r="G51" s="682"/>
      <c r="H51" s="683"/>
    </row>
    <row r="52" spans="2:8" x14ac:dyDescent="0.4">
      <c r="B52" s="681"/>
      <c r="C52" s="681"/>
      <c r="D52" s="682"/>
      <c r="E52" s="682"/>
      <c r="F52" s="682"/>
      <c r="G52" s="682"/>
      <c r="H52" s="683"/>
    </row>
    <row r="53" spans="2:8" x14ac:dyDescent="0.4">
      <c r="B53" s="681"/>
      <c r="C53" s="681"/>
      <c r="D53" s="682"/>
      <c r="E53" s="682"/>
      <c r="F53" s="682"/>
      <c r="G53" s="682"/>
      <c r="H53" s="683"/>
    </row>
    <row r="54" spans="2:8" x14ac:dyDescent="0.4">
      <c r="B54" s="689"/>
      <c r="C54" s="681"/>
      <c r="D54" s="690"/>
      <c r="E54" s="690"/>
      <c r="F54" s="690"/>
      <c r="G54" s="690"/>
      <c r="H54" s="691"/>
    </row>
  </sheetData>
  <sheetProtection algorithmName="SHA-512" hashValue="m5hnWd0b86kYBgbugXVo93MmQwveHnT3vYXJyfm3o93TeLKkYyvrjakgE3ny80YXLJUIdomfxbhDOWFpUiDEIA==" saltValue="K5HREupuAMh+kN0WvdWpIQ==" spinCount="100000" sheet="1" objects="1" scenarios="1"/>
  <mergeCells count="2">
    <mergeCell ref="B8:H8"/>
    <mergeCell ref="B6:G6"/>
  </mergeCells>
  <conditionalFormatting sqref="A1:XFD4">
    <cfRule type="cellIs" dxfId="2442" priority="9" operator="equal">
      <formula>"Insert unit"</formula>
    </cfRule>
    <cfRule type="cellIs" dxfId="2441" priority="10" operator="equal">
      <formula>"Insert data"</formula>
    </cfRule>
  </conditionalFormatting>
  <conditionalFormatting sqref="F39">
    <cfRule type="cellIs" dxfId="2440" priority="3" operator="equal">
      <formula>"Insert unit"</formula>
    </cfRule>
    <cfRule type="cellIs" dxfId="2439" priority="4" operator="equal">
      <formula>"Insert data"</formula>
    </cfRule>
  </conditionalFormatting>
  <conditionalFormatting sqref="F39">
    <cfRule type="cellIs" dxfId="2438" priority="1" operator="equal">
      <formula>"Insert yield"</formula>
    </cfRule>
  </conditionalFormatting>
  <conditionalFormatting sqref="F39">
    <cfRule type="expression" dxfId="2437" priority="2">
      <formula>$E$117="No"</formula>
    </cfRule>
  </conditionalFormatting>
  <dataValidations count="1">
    <dataValidation type="list" allowBlank="1" showInputMessage="1" showErrorMessage="1" sqref="C10:C15 C17:C54" xr:uid="{00000000-0002-0000-0A00-000000000000}">
      <formula1>"Feedstocks, Cultivation &amp; harvesting, Transport 1, Feedstock conversion, Transport 2, Digestion &amp; outputs, Final Conversion"</formula1>
    </dataValidation>
  </dataValidations>
  <pageMargins left="0.7" right="0.7" top="0.75" bottom="0.75" header="0.3" footer="0.3"/>
  <headerFooter>
    <oddHeader>&amp;C&amp;"Calibri"&amp;10&amp;K000000 OFFICIAL&amp;1#_x000D_</oddHeader>
    <oddFooter>&amp;C_x000D_&amp;1#&amp;"Calibri"&amp;10&amp;K000000 OFFICIAL</oddFooter>
  </headerFooter>
  <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documentManagement>
    <LegacyData xmlns="aaacb922-5235-4a66-b188-303b9b46fbd7" xsi:nil="true"/>
    <TaxCatchAll xmlns="5eb9a81e-4820-4397-8800-8ffbc907596c">
      <Value>3</Value>
      <Value>2</Value>
      <Value>1</Value>
    </TaxCatchAll>
    <lcf76f155ced4ddcb4097134ff3c332f xmlns="b5364cd7-9165-481b-ab96-92ed80a524a7">
      <Terms xmlns="http://schemas.microsoft.com/office/infopath/2007/PartnerControls"/>
    </lcf76f155ced4ddcb4097134ff3c332f>
    <SharedWithUsers xmlns="5eb9a81e-4820-4397-8800-8ffbc907596c">
      <UserInfo>
        <DisplayName>Lucy Montgomery</DisplayName>
        <AccountId>23</AccountId>
        <AccountType/>
      </UserInfo>
      <UserInfo>
        <DisplayName>Polly-Ann Hanson</DisplayName>
        <AccountId>24</AccountId>
        <AccountType/>
      </UserInfo>
      <UserInfo>
        <DisplayName>Lucy Hopwood</DisplayName>
        <AccountId>17</AccountId>
        <AccountType/>
      </UserInfo>
      <UserInfo>
        <DisplayName>Adrian Higson</DisplayName>
        <AccountId>16</AccountId>
        <AccountType/>
      </UserInfo>
    </SharedWithUsers>
    <_dlc_DocId xmlns="5eb9a81e-4820-4397-8800-8ffbc907596c">4TJSR2E5DYR7-1211598681-50477</_dlc_DocId>
    <_dlc_DocIdUrl xmlns="5eb9a81e-4820-4397-8800-8ffbc907596c">
      <Url>https://beisgov.sharepoint.com/sites/GreenGasSupportSchemeAndFutureBiomethane-ALL/_layouts/15/DocIdRedir.aspx?ID=4TJSR2E5DYR7-1211598681-50477</Url>
      <Description>4TJSR2E5DYR7-1211598681-50477</Description>
    </_dlc_DocIdUrl>
    <c6f593ada1854b629148449de059396b xmlns="0f9fa326-da26-4ea8-b6a9-645e8136fe1d">
      <Terms xmlns="http://schemas.microsoft.com/office/infopath/2007/PartnerControls">
        <TermInfo xmlns="http://schemas.microsoft.com/office/infopath/2007/PartnerControls">
          <TermName xmlns="http://schemas.microsoft.com/office/infopath/2007/PartnerControls">BEIS</TermName>
          <TermId xmlns="http://schemas.microsoft.com/office/infopath/2007/PartnerControls">b386cac2-c28c-4db4-8fca-43733d0e74ef</TermId>
        </TermInfo>
      </Terms>
    </c6f593ada1854b629148449de059396b>
    <m817f42addf14c9a838da36e78800043 xmlns="0f9fa326-da26-4ea8-b6a9-645e8136fe1d">
      <Terms xmlns="http://schemas.microsoft.com/office/infopath/2007/PartnerControls">
        <TermInfo xmlns="http://schemas.microsoft.com/office/infopath/2007/PartnerControls">
          <TermName xmlns="http://schemas.microsoft.com/office/infopath/2007/PartnerControls">Energy and Climate</TermName>
          <TermId xmlns="http://schemas.microsoft.com/office/infopath/2007/PartnerControls">67dfd3db-8e6c-4d42-96c1-aed1098cd89b</TermId>
        </TermInfo>
      </Terms>
    </m817f42addf14c9a838da36e78800043>
    <h573c97cf80c4aa6b446c5363dc3ac94 xmlns="0f9fa326-da26-4ea8-b6a9-645e8136fe1d">
      <Terms xmlns="http://schemas.microsoft.com/office/infopath/2007/PartnerControls">
        <TermInfo xmlns="http://schemas.microsoft.com/office/infopath/2007/PartnerControls">
          <TermName xmlns="http://schemas.microsoft.com/office/infopath/2007/PartnerControls">Clean Heat and Buildings</TermName>
          <TermId xmlns="http://schemas.microsoft.com/office/infopath/2007/PartnerControls">bfb59c8d-532f-4422-a449-45a77b361d16</TermId>
        </TermInfo>
      </Terms>
    </h573c97cf80c4aa6b446c5363dc3ac94>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Core Document" ma:contentTypeID="0x0101004691A8DE0991884F8E90AD6474FC7373010034470BACD2AC7A45A9DCD98BEBB987E1" ma:contentTypeVersion="20" ma:contentTypeDescription="Create a new document." ma:contentTypeScope="" ma:versionID="08138eebf1a267478c027e63edbff1fa">
  <xsd:schema xmlns:xsd="http://www.w3.org/2001/XMLSchema" xmlns:xs="http://www.w3.org/2001/XMLSchema" xmlns:p="http://schemas.microsoft.com/office/2006/metadata/properties" xmlns:ns2="0f9fa326-da26-4ea8-b6a9-645e8136fe1d" xmlns:ns3="5eb9a81e-4820-4397-8800-8ffbc907596c" xmlns:ns4="aaacb922-5235-4a66-b188-303b9b46fbd7" xmlns:ns5="b5364cd7-9165-481b-ab96-92ed80a524a7" targetNamespace="http://schemas.microsoft.com/office/2006/metadata/properties" ma:root="true" ma:fieldsID="ec7027b1f8be1528d752bb48326225d8" ns2:_="" ns3:_="" ns4:_="" ns5:_="">
    <xsd:import namespace="0f9fa326-da26-4ea8-b6a9-645e8136fe1d"/>
    <xsd:import namespace="5eb9a81e-4820-4397-8800-8ffbc907596c"/>
    <xsd:import namespace="aaacb922-5235-4a66-b188-303b9b46fbd7"/>
    <xsd:import namespace="b5364cd7-9165-481b-ab96-92ed80a524a7"/>
    <xsd:element name="properties">
      <xsd:complexType>
        <xsd:sequence>
          <xsd:element name="documentManagement">
            <xsd:complexType>
              <xsd:all>
                <xsd:element ref="ns2:c6f593ada1854b629148449de059396b" minOccurs="0"/>
                <xsd:element ref="ns3:TaxCatchAll" minOccurs="0"/>
                <xsd:element ref="ns3:TaxCatchAllLabel" minOccurs="0"/>
                <xsd:element ref="ns2:m817f42addf14c9a838da36e78800043" minOccurs="0"/>
                <xsd:element ref="ns2:h573c97cf80c4aa6b446c5363dc3ac94" minOccurs="0"/>
                <xsd:element ref="ns4:LegacyData" minOccurs="0"/>
                <xsd:element ref="ns3:_dlc_DocId" minOccurs="0"/>
                <xsd:element ref="ns3:_dlc_DocIdPersistId" minOccurs="0"/>
                <xsd:element ref="ns3:_dlc_DocIdUrl" minOccurs="0"/>
                <xsd:element ref="ns5:MediaServiceMetadata" minOccurs="0"/>
                <xsd:element ref="ns5:MediaServiceFastMetadata" minOccurs="0"/>
                <xsd:element ref="ns5:MediaServiceAutoKeyPoints" minOccurs="0"/>
                <xsd:element ref="ns5:MediaServiceKeyPoints" minOccurs="0"/>
                <xsd:element ref="ns3:SharedWithUsers" minOccurs="0"/>
                <xsd:element ref="ns3:SharedWithDetails" minOccurs="0"/>
                <xsd:element ref="ns5:lcf76f155ced4ddcb4097134ff3c332f" minOccurs="0"/>
                <xsd:element ref="ns5:MediaServiceGenerationTime" minOccurs="0"/>
                <xsd:element ref="ns5:MediaServiceEventHashCode" minOccurs="0"/>
                <xsd:element ref="ns5:MediaServiceOCR" minOccurs="0"/>
                <xsd:element ref="ns5:MediaServiceDateTaken" minOccurs="0"/>
                <xsd:element ref="ns5:MediaLengthInSeconds" minOccurs="0"/>
                <xsd:element ref="ns5:MediaServiceObjectDetectorVersions" minOccurs="0"/>
                <xsd:element ref="ns5:MediaServiceLocation"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9fa326-da26-4ea8-b6a9-645e8136fe1d" elementFormDefault="qualified">
    <xsd:import namespace="http://schemas.microsoft.com/office/2006/documentManagement/types"/>
    <xsd:import namespace="http://schemas.microsoft.com/office/infopath/2007/PartnerControls"/>
    <xsd:element name="c6f593ada1854b629148449de059396b" ma:index="8" nillable="true" ma:taxonomy="true" ma:internalName="c6f593ada1854b629148449de059396b" ma:taxonomyFieldName="KIM_GovernmentBody" ma:displayName="Government Body" ma:default="3;#BEIS|b386cac2-c28c-4db4-8fca-43733d0e74ef" ma:fieldId="{c6f593ad-a185-4b62-9148-449de059396b}" ma:sspId="9b0aeba9-2bce-41c2-8545-5d12d676a674" ma:termSetId="46784332-da01-4f4a-94fa-2a245cb438b3" ma:anchorId="00000000-0000-0000-0000-000000000000" ma:open="false" ma:isKeyword="false">
      <xsd:complexType>
        <xsd:sequence>
          <xsd:element ref="pc:Terms" minOccurs="0" maxOccurs="1"/>
        </xsd:sequence>
      </xsd:complexType>
    </xsd:element>
    <xsd:element name="m817f42addf14c9a838da36e78800043" ma:index="12" nillable="true" ma:taxonomy="true" ma:internalName="m817f42addf14c9a838da36e78800043" ma:taxonomyFieldName="KIM_Function" ma:displayName="Function" ma:default="1;#Energy and Climate|67dfd3db-8e6c-4d42-96c1-aed1098cd89b" ma:fieldId="{6817f42a-ddf1-4c9a-838d-a36e78800043}" ma:sspId="9b0aeba9-2bce-41c2-8545-5d12d676a674" ma:termSetId="8a8c3714-5ee2-45f9-8c60-591b9d070299" ma:anchorId="00000000-0000-0000-0000-000000000000" ma:open="false" ma:isKeyword="false">
      <xsd:complexType>
        <xsd:sequence>
          <xsd:element ref="pc:Terms" minOccurs="0" maxOccurs="1"/>
        </xsd:sequence>
      </xsd:complexType>
    </xsd:element>
    <xsd:element name="h573c97cf80c4aa6b446c5363dc3ac94" ma:index="14" nillable="true" ma:taxonomy="true" ma:internalName="h573c97cf80c4aa6b446c5363dc3ac94" ma:taxonomyFieldName="KIM_Activity" ma:displayName="Activity" ma:default="2;#Clean Heat and Buildings|bfb59c8d-532f-4422-a449-45a77b361d16" ma:fieldId="{1573c97c-f80c-4aa6-b446-c5363dc3ac94}" ma:sspId="9b0aeba9-2bce-41c2-8545-5d12d676a674" ma:termSetId="5c6dcaef-f335-486f-b10e-5a74f102472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eb9a81e-4820-4397-8800-8ffbc907596c"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d3cbd583-cee3-458b-bca1-12e072ed3358}" ma:internalName="TaxCatchAll" ma:showField="CatchAllData" ma:web="5eb9a81e-4820-4397-8800-8ffbc907596c">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d3cbd583-cee3-458b-bca1-12e072ed3358}" ma:internalName="TaxCatchAllLabel" ma:readOnly="true" ma:showField="CatchAllDataLabel" ma:web="5eb9a81e-4820-4397-8800-8ffbc907596c">
      <xsd:complexType>
        <xsd:complexContent>
          <xsd:extension base="dms:MultiChoiceLookup">
            <xsd:sequence>
              <xsd:element name="Value" type="dms:Lookup" maxOccurs="unbounded" minOccurs="0" nillable="true"/>
            </xsd:sequence>
          </xsd:extension>
        </xsd:complexContent>
      </xsd:complexType>
    </xsd:element>
    <xsd:element name="_dlc_DocId" ma:index="17" nillable="true" ma:displayName="Document ID Value" ma:description="The value of the document ID assigned to this item." ma:indexed="true" ma:internalName="_dlc_DocId" ma:readOnly="true">
      <xsd:simpleType>
        <xsd:restriction base="dms:Text"/>
      </xsd:simpleType>
    </xsd:element>
    <xsd:element name="_dlc_DocIdPersistId" ma:index="18" nillable="true" ma:displayName="Persist ID" ma:description="Keep ID on add." ma:hidden="true" ma:internalName="_dlc_DocIdPersistId" ma:readOnly="true">
      <xsd:simpleType>
        <xsd:restriction base="dms:Boolean"/>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6"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5364cd7-9165-481b-ab96-92ed80a524a7" elementFormDefault="qualified">
    <xsd:import namespace="http://schemas.microsoft.com/office/2006/documentManagement/types"/>
    <xsd:import namespace="http://schemas.microsoft.com/office/infopath/2007/PartnerControls"/>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GenerationTime" ma:index="28" nillable="true" ma:displayName="MediaServiceGenerationTime" ma:hidden="true" ma:internalName="MediaServiceGenerationTime" ma:readOnly="true">
      <xsd:simpleType>
        <xsd:restriction base="dms:Text"/>
      </xsd:simpleType>
    </xsd:element>
    <xsd:element name="MediaServiceEventHashCode" ma:index="29" nillable="true" ma:displayName="MediaServiceEventHashCode" ma:hidden="true" ma:internalName="MediaServiceEventHashCode" ma:readOnly="true">
      <xsd:simpleType>
        <xsd:restriction base="dms:Text"/>
      </xsd:simpleType>
    </xsd:element>
    <xsd:element name="MediaServiceOCR" ma:index="30" nillable="true" ma:displayName="Extracted Text" ma:internalName="MediaServiceOCR" ma:readOnly="true">
      <xsd:simpleType>
        <xsd:restriction base="dms:Note">
          <xsd:maxLength value="255"/>
        </xsd:restriction>
      </xsd:simpleType>
    </xsd:element>
    <xsd:element name="MediaServiceDateTaken" ma:index="31" nillable="true" ma:displayName="MediaServiceDateTaken" ma:hidden="true" ma:indexed="true" ma:internalName="MediaServiceDateTaken" ma:readOnly="true">
      <xsd:simpleType>
        <xsd:restriction base="dms:Text"/>
      </xsd:simpleType>
    </xsd:element>
    <xsd:element name="MediaLengthInSeconds" ma:index="32" nillable="true" ma:displayName="MediaLengthInSeconds" ma:hidden="true" ma:internalName="MediaLengthInSeconds" ma:readOnly="true">
      <xsd:simpleType>
        <xsd:restriction base="dms:Unknown"/>
      </xsd:simpleType>
    </xsd:element>
    <xsd:element name="MediaServiceObjectDetectorVersions" ma:index="33" nillable="true" ma:displayName="MediaServiceObjectDetectorVersions" ma:hidden="true" ma:indexed="true" ma:internalName="MediaServiceObjectDetectorVersions" ma:readOnly="true">
      <xsd:simpleType>
        <xsd:restriction base="dms:Text"/>
      </xsd:simpleType>
    </xsd:element>
    <xsd:element name="MediaServiceLocation" ma:index="34" nillable="true" ma:displayName="Location" ma:indexed="true" ma:internalName="MediaServiceLocation" ma:readOnly="true">
      <xsd:simpleType>
        <xsd:restriction base="dms:Text"/>
      </xsd:simpleType>
    </xsd:element>
    <xsd:element name="MediaServiceSearchProperties" ma:index="3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 
</file>

<file path=customXml/itemProps1.xml><?xml version="1.0" encoding="utf-8"?>
<ds:datastoreItem xmlns:ds="http://schemas.openxmlformats.org/officeDocument/2006/customXml" ds:itemID="{9D2DA372-8F58-443D-AF64-1EABDEF83EBC}">
  <ds:schemaRefs>
    <ds:schemaRef ds:uri="5eb9a81e-4820-4397-8800-8ffbc907596c"/>
    <ds:schemaRef ds:uri="http://schemas.microsoft.com/office/2006/metadata/properties"/>
    <ds:schemaRef ds:uri="b5364cd7-9165-481b-ab96-92ed80a524a7"/>
    <ds:schemaRef ds:uri="0f9fa326-da26-4ea8-b6a9-645e8136fe1d"/>
    <ds:schemaRef ds:uri="aaacb922-5235-4a66-b188-303b9b46fbd7"/>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www.w3.org/XML/1998/namespace"/>
    <ds:schemaRef ds:uri="http://purl.org/dc/dcmitype/"/>
    <ds:schemaRef ds:uri="http://purl.org/dc/terms/"/>
  </ds:schemaRefs>
</ds:datastoreItem>
</file>

<file path=customXml/itemProps2.xml><?xml version="1.0" encoding="utf-8"?>
<ds:datastoreItem xmlns:ds="http://schemas.openxmlformats.org/officeDocument/2006/customXml" ds:itemID="{F74C7D59-A5D5-4002-8370-EC62DCE4E765}">
  <ds:schemaRefs>
    <ds:schemaRef ds:uri="http://schemas.microsoft.com/sharepoint/v3/contenttype/forms"/>
  </ds:schemaRefs>
</ds:datastoreItem>
</file>

<file path=customXml/itemProps3.xml><?xml version="1.0" encoding="utf-8"?>
<ds:datastoreItem xmlns:ds="http://schemas.openxmlformats.org/officeDocument/2006/customXml" ds:itemID="{9ABD181F-BC1B-49EC-8C79-FE74D51B61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9fa326-da26-4ea8-b6a9-645e8136fe1d"/>
    <ds:schemaRef ds:uri="5eb9a81e-4820-4397-8800-8ffbc907596c"/>
    <ds:schemaRef ds:uri="aaacb922-5235-4a66-b188-303b9b46fbd7"/>
    <ds:schemaRef ds:uri="b5364cd7-9165-481b-ab96-92ed80a524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82E45EC-7BCD-4EE3-A00E-1998F16B0273}">
  <ds:schemaRefs>
    <ds:schemaRef ds:uri="http://schemas.microsoft.com/sharepoint/events"/>
  </ds:schemaRefs>
</ds:datastoreItem>
</file>

<file path=customXml/itemProps5.xml><?xml version="1.0" encoding="utf-8"?>
<ds:datastoreItem xmlns:ds="http://schemas.openxmlformats.org/officeDocument/2006/customXml" ds:itemID="{61877064-7F52-4235-92EA-7F7E2A61A1D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69</vt:i4>
      </vt:variant>
    </vt:vector>
  </HeadingPairs>
  <TitlesOfParts>
    <vt:vector size="85" baseType="lpstr">
      <vt:lpstr>Welcome</vt:lpstr>
      <vt:lpstr>Summary</vt:lpstr>
      <vt:lpstr>Feedstocks</vt:lpstr>
      <vt:lpstr>Cultivation and harvesting</vt:lpstr>
      <vt:lpstr>Transport 1</vt:lpstr>
      <vt:lpstr>Feedstock conversion</vt:lpstr>
      <vt:lpstr>Land-use change</vt:lpstr>
      <vt:lpstr>Soil carbon</vt:lpstr>
      <vt:lpstr>Manure credits</vt:lpstr>
      <vt:lpstr>Transport 2</vt:lpstr>
      <vt:lpstr>Digestion &amp; outputs</vt:lpstr>
      <vt:lpstr>Final conversion</vt:lpstr>
      <vt:lpstr>Carbon capture</vt:lpstr>
      <vt:lpstr>Biomethane transport</vt:lpstr>
      <vt:lpstr>Reference values</vt:lpstr>
      <vt:lpstr>Notes</vt:lpstr>
      <vt:lpstr>Biogas_yields_nonwastes</vt:lpstr>
      <vt:lpstr>Biogas_Yields_Wastes</vt:lpstr>
      <vt:lpstr>Chemical_Emission_Factors</vt:lpstr>
      <vt:lpstr>Chemicals</vt:lpstr>
      <vt:lpstr>Crop_drymatter</vt:lpstr>
      <vt:lpstr>Crop_yields</vt:lpstr>
      <vt:lpstr>Crops_for_drymatter</vt:lpstr>
      <vt:lpstr>Crops_for_yields</vt:lpstr>
      <vt:lpstr>Default_crops</vt:lpstr>
      <vt:lpstr>Digestate_LHV</vt:lpstr>
      <vt:lpstr>Digestate_moisture_content</vt:lpstr>
      <vt:lpstr>Electricity_Emission_Factors</vt:lpstr>
      <vt:lpstr>Electricity_Source</vt:lpstr>
      <vt:lpstr>Electricity_to_digestion_percent</vt:lpstr>
      <vt:lpstr>Electricity_to_upgrading_percent</vt:lpstr>
      <vt:lpstr>Feedstock_drymatter_nonwastes</vt:lpstr>
      <vt:lpstr>Feedstock_drymatter_wastes</vt:lpstr>
      <vt:lpstr>Feedstock_for_drymatter_nonwastes</vt:lpstr>
      <vt:lpstr>Feedstock_for_drymatter_wastes</vt:lpstr>
      <vt:lpstr>Feedstock_for_volatile_solids_nonwastes</vt:lpstr>
      <vt:lpstr>Feedstock_for_volatile_solids_wastes</vt:lpstr>
      <vt:lpstr>Feedstock_moisture</vt:lpstr>
      <vt:lpstr>Feedstock_volatile_solids_nonwastes</vt:lpstr>
      <vt:lpstr>Feedstock_volatile_solids_wastes</vt:lpstr>
      <vt:lpstr>Feedstocks_for_moisture</vt:lpstr>
      <vt:lpstr>Fuel_Densities</vt:lpstr>
      <vt:lpstr>Fuel_EFs</vt:lpstr>
      <vt:lpstr>Fuel_LHV</vt:lpstr>
      <vt:lpstr>Fuels_for_Densities</vt:lpstr>
      <vt:lpstr>Fuels_for_EF</vt:lpstr>
      <vt:lpstr>Fuels_for_LHV</vt:lpstr>
      <vt:lpstr>Gas_energy_densities</vt:lpstr>
      <vt:lpstr>Gas_for_energy_densities</vt:lpstr>
      <vt:lpstr>Gas_GWPs</vt:lpstr>
      <vt:lpstr>K_Fertiliser_EF</vt:lpstr>
      <vt:lpstr>K_fertiliser_K_composition</vt:lpstr>
      <vt:lpstr>K_fertiliser_N_composition</vt:lpstr>
      <vt:lpstr>K_fertilisers</vt:lpstr>
      <vt:lpstr>Manure_credit_EF_value</vt:lpstr>
      <vt:lpstr>Manure_LHV</vt:lpstr>
      <vt:lpstr>N_Fertiliser_EF</vt:lpstr>
      <vt:lpstr>N_fertiliser_N_composition</vt:lpstr>
      <vt:lpstr>N_Fertilisers</vt:lpstr>
      <vt:lpstr>Organic_fertiliser_EF</vt:lpstr>
      <vt:lpstr>Organic_fertilisers</vt:lpstr>
      <vt:lpstr>Organic_fertilisers_N_Composition</vt:lpstr>
      <vt:lpstr>Other_fertiliser_EF</vt:lpstr>
      <vt:lpstr>Other_fertiliser_N_compostion</vt:lpstr>
      <vt:lpstr>Other_fertiliser_nutrient_composition</vt:lpstr>
      <vt:lpstr>Other_fertilisers</vt:lpstr>
      <vt:lpstr>P_fertiliser_EF</vt:lpstr>
      <vt:lpstr>P_fertiliser_N_composition</vt:lpstr>
      <vt:lpstr>P_fertiliser_P_composition</vt:lpstr>
      <vt:lpstr>P_fertilisers</vt:lpstr>
      <vt:lpstr>Pesticide_EF</vt:lpstr>
      <vt:lpstr>Pesticides</vt:lpstr>
      <vt:lpstr>Plant_Feedstocks_Nonwastes</vt:lpstr>
      <vt:lpstr>Plant_Feedstocks_Wastes</vt:lpstr>
      <vt:lpstr>Seed_EF</vt:lpstr>
      <vt:lpstr>Seeds</vt:lpstr>
      <vt:lpstr>Soil_EFs</vt:lpstr>
      <vt:lpstr>Soil_EFs_N_type</vt:lpstr>
      <vt:lpstr>Sum_DM_input</vt:lpstr>
      <vt:lpstr>Sum_theoretical_methane</vt:lpstr>
      <vt:lpstr>Sum_tonnage</vt:lpstr>
      <vt:lpstr>Sum_VS_input</vt:lpstr>
      <vt:lpstr>Total_digestate_used</vt:lpstr>
      <vt:lpstr>Transport_Fuel_Efficiencies</vt:lpstr>
      <vt:lpstr>Transport_Modes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Michael Goldsworthy</dc:creator>
  <cp:keywords/>
  <dc:description/>
  <cp:lastModifiedBy>Gibson, Rachel (Energy Security)</cp:lastModifiedBy>
  <cp:revision/>
  <dcterms:created xsi:type="dcterms:W3CDTF">2015-07-06T09:23:47Z</dcterms:created>
  <dcterms:modified xsi:type="dcterms:W3CDTF">2025-02-18T10:28:36Z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0x0101004691A8DE0991884F8E90AD6474FC7373010034470BACD2AC7A45A9DCD98BEBB987E1</vt:lpwstr>
  </property>
  <property fmtid="{D5CDD505-2E9C-101B-9397-08002B2CF9AE}" pid="3" name="Order">
    <vt:r8>11500</vt:r8>
  </property>
  <property fmtid="{D5CDD505-2E9C-101B-9397-08002B2CF9AE}" pid="4" name="xd_ProgID">
    <vt:lpwstr/>
  </property>
  <property fmtid="{D5CDD505-2E9C-101B-9397-08002B2CF9AE}" pid="5" name="TemplateUrl">
    <vt:lpwstr/>
  </property>
  <property fmtid="{D5CDD505-2E9C-101B-9397-08002B2CF9AE}" pid="6" name="_CopySource">
    <vt:lpwstr>https://nnfcc.sharepoint.com/pmo/17-021 Tean RHI Applications and Periodic Data Submissions/Shared Documents/TMS - GHG reporting/JFS Quarterly submissions/Gravel Pit/Gravel Pit GHG_Y3PDS2_Feb19.xlsm</vt:lpwstr>
  </property>
  <property fmtid="{D5CDD505-2E9C-101B-9397-08002B2CF9AE}" pid="7" name="MediaServiceImageTags">
    <vt:lpwstr/>
  </property>
  <property fmtid="{D5CDD505-2E9C-101B-9397-08002B2CF9AE}" pid="8" name="Business Unit">
    <vt:lpwstr>1;#Science and Innovation for Climate and Energy|ba4af673-c668-46d1-96d7-6fcdfcb7d67d</vt:lpwstr>
  </property>
  <property fmtid="{D5CDD505-2E9C-101B-9397-08002B2CF9AE}" pid="9" name="_dlc_DocIdItemGuid">
    <vt:lpwstr>d5fa3fc8-811b-4760-985d-643476c75f37</vt:lpwstr>
  </property>
  <property fmtid="{D5CDD505-2E9C-101B-9397-08002B2CF9AE}" pid="10" name="MSIP_Label_ba62f585-b40f-4ab9-bafe-39150f03d124_Enabled">
    <vt:lpwstr>true</vt:lpwstr>
  </property>
  <property fmtid="{D5CDD505-2E9C-101B-9397-08002B2CF9AE}" pid="11" name="MSIP_Label_ba62f585-b40f-4ab9-bafe-39150f03d124_SetDate">
    <vt:lpwstr>2025-01-13T13:09:30Z</vt:lpwstr>
  </property>
  <property fmtid="{D5CDD505-2E9C-101B-9397-08002B2CF9AE}" pid="12" name="MSIP_Label_ba62f585-b40f-4ab9-bafe-39150f03d124_Method">
    <vt:lpwstr>Standard</vt:lpwstr>
  </property>
  <property fmtid="{D5CDD505-2E9C-101B-9397-08002B2CF9AE}" pid="13" name="MSIP_Label_ba62f585-b40f-4ab9-bafe-39150f03d124_Name">
    <vt:lpwstr>OFFICIAL</vt:lpwstr>
  </property>
  <property fmtid="{D5CDD505-2E9C-101B-9397-08002B2CF9AE}" pid="14" name="MSIP_Label_ba62f585-b40f-4ab9-bafe-39150f03d124_SiteId">
    <vt:lpwstr>cbac7005-02c1-43eb-b497-e6492d1b2dd8</vt:lpwstr>
  </property>
  <property fmtid="{D5CDD505-2E9C-101B-9397-08002B2CF9AE}" pid="15" name="MSIP_Label_ba62f585-b40f-4ab9-bafe-39150f03d124_ActionId">
    <vt:lpwstr>5aaef19c-9ee1-4a82-a07f-17f95eaa9982</vt:lpwstr>
  </property>
  <property fmtid="{D5CDD505-2E9C-101B-9397-08002B2CF9AE}" pid="16" name="MSIP_Label_ba62f585-b40f-4ab9-bafe-39150f03d124_ContentBits">
    <vt:lpwstr>3</vt:lpwstr>
  </property>
  <property fmtid="{D5CDD505-2E9C-101B-9397-08002B2CF9AE}" pid="17" name="Business_x0020_Unit">
    <vt:lpwstr>1;#Science and Innovation for Climate and Energy|ba4af673-c668-46d1-96d7-6fcdfcb7d67d</vt:lpwstr>
  </property>
  <property fmtid="{D5CDD505-2E9C-101B-9397-08002B2CF9AE}" pid="18" name="KIM_GovernmentBody">
    <vt:lpwstr>3;#BEIS|b386cac2-c28c-4db4-8fca-43733d0e74ef</vt:lpwstr>
  </property>
  <property fmtid="{D5CDD505-2E9C-101B-9397-08002B2CF9AE}" pid="19" name="KIM_Activity">
    <vt:lpwstr>2;#Clean Heat and Buildings|bfb59c8d-532f-4422-a449-45a77b361d16</vt:lpwstr>
  </property>
  <property fmtid="{D5CDD505-2E9C-101B-9397-08002B2CF9AE}" pid="20" name="KIM_Function">
    <vt:lpwstr>1;#Energy and Climate|67dfd3db-8e6c-4d42-96c1-aed1098cd89b</vt:lpwstr>
  </property>
</Properties>
</file>