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8_{446FCA4E-6BC4-4E2D-8811-D7B139D555F5}" xr6:coauthVersionLast="47" xr6:coauthVersionMax="47" xr10:uidLastSave="{00000000-0000-0000-0000-000000000000}"/>
  <workbookProtection workbookAlgorithmName="SHA-512" workbookHashValue="Ymyd/KVab1HT4KHIA9MnfkG/9rzEe1VY/xeaEudPzzrW95yv7IrJ0KZmEG0m2WYtBXYp74zZf61DV0LzM4WQag==" workbookSaltValue="xlr5wEjTiiZNeE3LJJLrwQ==" workbookSpinCount="100000" lockStructure="1"/>
  <bookViews>
    <workbookView xWindow="-110" yWindow="-110" windowWidth="22780" windowHeight="14540" tabRatio="827" xr2:uid="{00000000-000D-0000-FFFF-FFFF00000000}"/>
  </bookViews>
  <sheets>
    <sheet name="1a author note" sheetId="27" r:id="rId1"/>
    <sheet name="1b primary notes" sheetId="29" r:id="rId2"/>
    <sheet name="2 stepwise overview" sheetId="28" r:id="rId3"/>
    <sheet name="3 notes for linked sheets 4-7" sheetId="15" r:id="rId4"/>
    <sheet name="4 summary data" sheetId="13" r:id="rId5"/>
    <sheet name="5 deployment base year" sheetId="30" r:id="rId6"/>
    <sheet name="6 deployment planned year" sheetId="31" r:id="rId7"/>
    <sheet name="7 deployment projection year" sheetId="32" r:id="rId8"/>
    <sheet name="8 what is contact ratio" sheetId="20" r:id="rId9"/>
    <sheet name="9 modelling contact" sheetId="12" r:id="rId10"/>
    <sheet name="10 what is average class size" sheetId="19" r:id="rId11"/>
    <sheet name="11 bonus and basic" sheetId="21" r:id="rId12"/>
    <sheet name="12 at cost referencing" sheetId="22" r:id="rId13"/>
    <sheet name="13 metrics"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32" l="1"/>
  <c r="E19" i="31"/>
  <c r="E19" i="30"/>
  <c r="D29" i="24" l="1"/>
  <c r="D30" i="24"/>
  <c r="D31" i="24"/>
  <c r="D32" i="24"/>
  <c r="D27" i="24"/>
  <c r="D28" i="24"/>
  <c r="B12" i="19"/>
  <c r="B16" i="19" s="1"/>
  <c r="C24" i="32" l="1"/>
  <c r="D17" i="13" s="1"/>
  <c r="C24" i="31"/>
  <c r="C17" i="13" s="1"/>
  <c r="D16" i="13"/>
  <c r="C16" i="13"/>
  <c r="B16" i="13"/>
  <c r="D15" i="13"/>
  <c r="C15" i="13"/>
  <c r="B6" i="32" l="1"/>
  <c r="B7" i="32"/>
  <c r="B8" i="32"/>
  <c r="B9" i="32"/>
  <c r="B10" i="32"/>
  <c r="B11" i="32"/>
  <c r="B5" i="32"/>
  <c r="B6" i="31"/>
  <c r="B7" i="31"/>
  <c r="B8" i="31"/>
  <c r="B9" i="31"/>
  <c r="B10" i="31"/>
  <c r="B11" i="31"/>
  <c r="B5" i="31"/>
  <c r="G19" i="32"/>
  <c r="C26" i="32" s="1"/>
  <c r="D19" i="13" s="1"/>
  <c r="F19" i="32"/>
  <c r="A11" i="32"/>
  <c r="A10" i="32"/>
  <c r="A9" i="32"/>
  <c r="A8" i="32"/>
  <c r="A7" i="32"/>
  <c r="A6" i="32"/>
  <c r="A5" i="32"/>
  <c r="G19" i="31"/>
  <c r="C26" i="31" s="1"/>
  <c r="C19" i="13" s="1"/>
  <c r="F19" i="31"/>
  <c r="A11" i="31"/>
  <c r="A10" i="31"/>
  <c r="A9" i="31"/>
  <c r="A8" i="31"/>
  <c r="A7" i="31"/>
  <c r="A6" i="31"/>
  <c r="A5" i="31"/>
  <c r="B6" i="30"/>
  <c r="B7" i="30"/>
  <c r="B8" i="30"/>
  <c r="B9" i="30"/>
  <c r="B10" i="30"/>
  <c r="B11" i="30"/>
  <c r="B5" i="30"/>
  <c r="A6" i="30"/>
  <c r="A7" i="30"/>
  <c r="A8" i="30"/>
  <c r="A9" i="30"/>
  <c r="A10" i="30"/>
  <c r="A11" i="30"/>
  <c r="A5" i="30"/>
  <c r="B2" i="30"/>
  <c r="G19" i="30"/>
  <c r="C25" i="30" s="1"/>
  <c r="B19" i="13" s="1"/>
  <c r="F19" i="30"/>
  <c r="B19" i="32" l="1"/>
  <c r="B19" i="31"/>
  <c r="B19" i="30"/>
  <c r="C25" i="31"/>
  <c r="C14" i="13" s="1"/>
  <c r="B28" i="31" s="1"/>
  <c r="C22" i="31" l="1"/>
  <c r="C18" i="13" s="1"/>
  <c r="C31" i="31"/>
  <c r="C59" i="13" s="1"/>
  <c r="C30" i="31"/>
  <c r="C58" i="13" s="1"/>
  <c r="C22" i="30"/>
  <c r="B18" i="13" s="1"/>
  <c r="C29" i="30"/>
  <c r="B58" i="13" s="1"/>
  <c r="C30" i="30"/>
  <c r="B59" i="13" s="1"/>
  <c r="C22" i="32"/>
  <c r="D18" i="13" s="1"/>
  <c r="C30" i="32"/>
  <c r="D58" i="13" s="1"/>
  <c r="C31" i="32"/>
  <c r="D59" i="13" s="1"/>
  <c r="B41" i="28"/>
  <c r="E57" i="28" l="1"/>
  <c r="E58" i="28" s="1"/>
  <c r="D56" i="28"/>
  <c r="D57" i="28" s="1"/>
  <c r="D58" i="28" s="1"/>
  <c r="B52" i="28"/>
  <c r="B46" i="28"/>
  <c r="B42" i="28"/>
  <c r="D59" i="28" l="1"/>
  <c r="E59" i="28"/>
  <c r="B27" i="28" l="1"/>
  <c r="B25" i="28"/>
  <c r="B28" i="28" l="1"/>
  <c r="B21" i="28"/>
  <c r="B29" i="28" s="1"/>
  <c r="B31" i="28" s="1"/>
  <c r="B17" i="28"/>
  <c r="B19" i="28" s="1"/>
  <c r="B33" i="28" s="1"/>
  <c r="B45" i="28"/>
  <c r="B43" i="28"/>
  <c r="B34" i="28" l="1"/>
  <c r="B32" i="28"/>
  <c r="B56" i="28" s="1"/>
  <c r="D60" i="28" l="1"/>
  <c r="E60" i="28"/>
  <c r="B60" i="28"/>
  <c r="B57" i="28"/>
  <c r="B58" i="28" s="1"/>
  <c r="B35" i="28"/>
  <c r="B59" i="28" l="1"/>
  <c r="C56" i="28"/>
  <c r="C60" i="28" s="1"/>
  <c r="D61" i="28"/>
  <c r="B61" i="28"/>
  <c r="E61" i="28"/>
  <c r="C57" i="28" l="1"/>
  <c r="C58" i="28" s="1"/>
  <c r="C61" i="28"/>
  <c r="E32" i="24"/>
  <c r="E28" i="24"/>
  <c r="E31" i="24"/>
  <c r="D25" i="24"/>
  <c r="D15" i="24"/>
  <c r="D22" i="24"/>
  <c r="D24" i="24" s="1"/>
  <c r="D17" i="24"/>
  <c r="D20" i="24" l="1"/>
  <c r="D21" i="24" s="1"/>
  <c r="D33" i="24"/>
  <c r="J33" i="24" s="1"/>
  <c r="D19" i="24"/>
  <c r="H32" i="24" s="1"/>
  <c r="L32" i="24" s="1"/>
  <c r="J32" i="24"/>
  <c r="D18" i="24"/>
  <c r="G31" i="24" s="1"/>
  <c r="K31" i="24" s="1"/>
  <c r="J31" i="24"/>
  <c r="J28" i="24"/>
  <c r="C59" i="28"/>
  <c r="I29" i="24"/>
  <c r="E30" i="24"/>
  <c r="I31" i="24"/>
  <c r="J30" i="24"/>
  <c r="E29" i="24"/>
  <c r="I27" i="24"/>
  <c r="I30" i="24"/>
  <c r="J29" i="24"/>
  <c r="I33" i="24"/>
  <c r="I32" i="24"/>
  <c r="I28" i="24"/>
  <c r="D23" i="24"/>
  <c r="E33" i="24" l="1"/>
  <c r="F29" i="24"/>
  <c r="F31" i="24"/>
  <c r="F28" i="24"/>
  <c r="F30" i="24"/>
  <c r="F32" i="24"/>
  <c r="F33" i="24"/>
  <c r="H28" i="24"/>
  <c r="L28" i="24" s="1"/>
  <c r="H30" i="24"/>
  <c r="L30" i="24" s="1"/>
  <c r="G33" i="24"/>
  <c r="K33" i="24" s="1"/>
  <c r="G28" i="24"/>
  <c r="K28" i="24" s="1"/>
  <c r="G30" i="24"/>
  <c r="K30" i="24" s="1"/>
  <c r="G32" i="24"/>
  <c r="K32" i="24" s="1"/>
  <c r="H33" i="24"/>
  <c r="L33" i="24" s="1"/>
  <c r="H29" i="24"/>
  <c r="L29" i="24" s="1"/>
  <c r="H31" i="24"/>
  <c r="L31" i="24" s="1"/>
  <c r="G29" i="24"/>
  <c r="K29" i="24" s="1"/>
  <c r="F27" i="24"/>
  <c r="H27" i="24"/>
  <c r="L27" i="24" s="1"/>
  <c r="J27" i="24"/>
  <c r="G27" i="24"/>
  <c r="K27" i="24" s="1"/>
  <c r="E27" i="24"/>
  <c r="E35" i="22"/>
  <c r="L18" i="22"/>
  <c r="L22" i="22" l="1"/>
  <c r="F33" i="22" s="1"/>
  <c r="F26" i="22" l="1"/>
  <c r="F25" i="22"/>
  <c r="F29" i="22"/>
  <c r="F31" i="22"/>
  <c r="F35" i="22"/>
  <c r="G34" i="22" s="1"/>
  <c r="G35" i="22" s="1"/>
  <c r="L23" i="22" s="1"/>
  <c r="F32" i="22"/>
  <c r="F27" i="22"/>
  <c r="F30" i="22"/>
  <c r="F28" i="22"/>
  <c r="F34" i="22"/>
  <c r="P32" i="22" l="1"/>
  <c r="Q32" i="22" s="1"/>
  <c r="P28" i="22"/>
  <c r="Q28" i="22" s="1"/>
  <c r="P30" i="22"/>
  <c r="Q30" i="22" s="1"/>
  <c r="P34" i="22"/>
  <c r="Q34" i="22" s="1"/>
  <c r="P26" i="22"/>
  <c r="Q26" i="22" s="1"/>
  <c r="P31" i="22"/>
  <c r="Q31" i="22" s="1"/>
  <c r="P25" i="22"/>
  <c r="Q25" i="22" s="1"/>
  <c r="P27" i="22"/>
  <c r="Q27" i="22" s="1"/>
  <c r="P29" i="22"/>
  <c r="Q29" i="22" s="1"/>
  <c r="P33" i="22"/>
  <c r="Q33" i="22" s="1"/>
  <c r="B69" i="13" l="1"/>
  <c r="B30" i="13" l="1"/>
  <c r="D48" i="13"/>
  <c r="C48" i="13"/>
  <c r="C13" i="13"/>
  <c r="D13" i="13"/>
  <c r="B13" i="13"/>
  <c r="B27" i="30" s="1"/>
  <c r="C24" i="30" s="1"/>
  <c r="C23" i="30" s="1"/>
  <c r="C25" i="32" l="1"/>
  <c r="D14" i="13" s="1"/>
  <c r="B28" i="32"/>
  <c r="B35" i="13"/>
  <c r="B14" i="19"/>
  <c r="B15" i="19" s="1"/>
  <c r="B5" i="19"/>
  <c r="B6" i="19" s="1"/>
  <c r="O6" i="20"/>
  <c r="O7" i="20"/>
  <c r="O8" i="20"/>
  <c r="O9" i="20"/>
  <c r="O10" i="20"/>
  <c r="O11" i="20"/>
  <c r="O12" i="20"/>
  <c r="O13" i="20"/>
  <c r="O14" i="20"/>
  <c r="O15" i="20"/>
  <c r="O16" i="20"/>
  <c r="O17" i="20"/>
  <c r="O18" i="20"/>
  <c r="O19" i="20"/>
  <c r="O20" i="20"/>
  <c r="O21" i="20"/>
  <c r="O22" i="20"/>
  <c r="O5" i="20"/>
  <c r="O4" i="20"/>
  <c r="L23" i="20"/>
  <c r="M23" i="20"/>
  <c r="C6" i="20"/>
  <c r="K23" i="20"/>
  <c r="J23" i="20"/>
  <c r="C4" i="20" s="1"/>
  <c r="N22" i="20"/>
  <c r="N5" i="20"/>
  <c r="N6" i="20"/>
  <c r="N7" i="20"/>
  <c r="N8" i="20"/>
  <c r="N9" i="20"/>
  <c r="N10" i="20"/>
  <c r="N11" i="20"/>
  <c r="N12" i="20"/>
  <c r="N13" i="20"/>
  <c r="N14" i="20"/>
  <c r="N15" i="20"/>
  <c r="N16" i="20"/>
  <c r="N17" i="20"/>
  <c r="N18" i="20"/>
  <c r="N19" i="20"/>
  <c r="N20" i="20"/>
  <c r="N21" i="20"/>
  <c r="N4" i="20"/>
  <c r="I23" i="20"/>
  <c r="H23" i="20"/>
  <c r="C3" i="20" s="1"/>
  <c r="C64" i="13"/>
  <c r="D64" i="13"/>
  <c r="B64" i="13"/>
  <c r="B61" i="13"/>
  <c r="C29" i="13"/>
  <c r="D29" i="13" s="1"/>
  <c r="C5" i="20" l="1"/>
  <c r="B15" i="13"/>
  <c r="B17" i="13"/>
  <c r="C65" i="13"/>
  <c r="D65" i="13"/>
  <c r="C66" i="13"/>
  <c r="D66" i="13"/>
  <c r="B66" i="13"/>
  <c r="B65" i="13"/>
  <c r="B38" i="13" l="1"/>
  <c r="C38" i="13" s="1"/>
  <c r="D38" i="13" s="1"/>
  <c r="D27" i="13" s="1"/>
  <c r="B37" i="13"/>
  <c r="C37" i="13" s="1"/>
  <c r="B36" i="13"/>
  <c r="C36" i="13" s="1"/>
  <c r="D36" i="13" s="1"/>
  <c r="D23" i="13" s="1"/>
  <c r="D37" i="13" l="1"/>
  <c r="D25" i="13" s="1"/>
  <c r="D61" i="13" s="1"/>
  <c r="C25" i="13"/>
  <c r="C23" i="13"/>
  <c r="C27" i="13"/>
  <c r="C61" i="13" l="1"/>
  <c r="D55" i="13"/>
  <c r="C55" i="13"/>
  <c r="C2" i="13"/>
  <c r="B2" i="31" s="1"/>
  <c r="D2" i="13" l="1"/>
  <c r="B2" i="32" s="1"/>
  <c r="B51" i="13"/>
  <c r="B11" i="13"/>
  <c r="B54" i="13" s="1"/>
  <c r="B60" i="13"/>
  <c r="D11" i="13"/>
  <c r="D54" i="13" s="1"/>
  <c r="C11" i="13"/>
  <c r="C54" i="13" s="1"/>
  <c r="B39" i="13"/>
  <c r="B52" i="13" s="1"/>
  <c r="D68" i="13" l="1"/>
  <c r="D67" i="13"/>
  <c r="D56" i="13"/>
  <c r="B67" i="13"/>
  <c r="B68" i="13"/>
  <c r="C68" i="13"/>
  <c r="C67" i="13"/>
  <c r="C56" i="13"/>
  <c r="B34" i="13"/>
  <c r="B31" i="13"/>
  <c r="C35" i="13"/>
  <c r="B41" i="13"/>
  <c r="B53" i="13" s="1"/>
  <c r="C51" i="13" l="1"/>
  <c r="C22" i="13"/>
  <c r="D35" i="13"/>
  <c r="D22" i="13" s="1"/>
  <c r="B50" i="13"/>
  <c r="B62" i="13" s="1"/>
  <c r="B63" i="13" s="1"/>
  <c r="C34" i="13"/>
  <c r="D69" i="13" l="1"/>
  <c r="D30" i="13"/>
  <c r="D31" i="13" s="1"/>
  <c r="C69" i="13"/>
  <c r="C30" i="13"/>
  <c r="C31" i="13" s="1"/>
  <c r="C50" i="13"/>
  <c r="D34" i="13"/>
  <c r="D51" i="13"/>
  <c r="D50" i="13" l="1"/>
  <c r="C60" i="13"/>
  <c r="C62" i="13"/>
  <c r="C63" i="13" s="1"/>
  <c r="C39" i="13"/>
  <c r="C41" i="13" s="1"/>
  <c r="C53" i="13" s="1"/>
  <c r="C52" i="13" l="1"/>
  <c r="D60" i="13"/>
  <c r="D62" i="13"/>
  <c r="D63" i="13" s="1"/>
  <c r="D39" i="13"/>
  <c r="D41" i="13" s="1"/>
  <c r="D53" i="13" s="1"/>
  <c r="H16" i="12"/>
  <c r="O16" i="12" s="1"/>
  <c r="N32" i="12"/>
  <c r="M32" i="12"/>
  <c r="L32" i="12"/>
  <c r="K32" i="12"/>
  <c r="J32" i="12"/>
  <c r="I32" i="12"/>
  <c r="H32" i="12"/>
  <c r="C32" i="12"/>
  <c r="N31" i="12"/>
  <c r="M31" i="12"/>
  <c r="L31" i="12"/>
  <c r="K31" i="12"/>
  <c r="J31" i="12"/>
  <c r="I31" i="12"/>
  <c r="H31" i="12"/>
  <c r="C31" i="12"/>
  <c r="N30" i="12"/>
  <c r="M30" i="12"/>
  <c r="L30" i="12"/>
  <c r="K30" i="12"/>
  <c r="J30" i="12"/>
  <c r="I30" i="12"/>
  <c r="H30" i="12"/>
  <c r="C30" i="12"/>
  <c r="N29" i="12"/>
  <c r="M29" i="12"/>
  <c r="L29" i="12"/>
  <c r="K29" i="12"/>
  <c r="J29" i="12"/>
  <c r="I29" i="12"/>
  <c r="H29" i="12"/>
  <c r="C29" i="12"/>
  <c r="N28" i="12"/>
  <c r="M28" i="12"/>
  <c r="L28" i="12"/>
  <c r="K28" i="12"/>
  <c r="J28" i="12"/>
  <c r="I28" i="12"/>
  <c r="C28" i="12"/>
  <c r="N27" i="12"/>
  <c r="M27" i="12"/>
  <c r="L27" i="12"/>
  <c r="K27" i="12"/>
  <c r="J27" i="12"/>
  <c r="I27" i="12"/>
  <c r="H27" i="12"/>
  <c r="C27" i="12"/>
  <c r="N26" i="12"/>
  <c r="M26" i="12"/>
  <c r="L26" i="12"/>
  <c r="K26" i="12"/>
  <c r="J26" i="12"/>
  <c r="I26" i="12"/>
  <c r="H26" i="12"/>
  <c r="C26" i="12"/>
  <c r="N25" i="12"/>
  <c r="M25" i="12"/>
  <c r="L25" i="12"/>
  <c r="K25" i="12"/>
  <c r="J25" i="12"/>
  <c r="I25" i="12"/>
  <c r="H25" i="12"/>
  <c r="C25" i="12"/>
  <c r="N24" i="12"/>
  <c r="M24" i="12"/>
  <c r="L24" i="12"/>
  <c r="K24" i="12"/>
  <c r="J24" i="12"/>
  <c r="I24" i="12"/>
  <c r="H24" i="12"/>
  <c r="C24" i="12"/>
  <c r="J22" i="12"/>
  <c r="I22" i="12"/>
  <c r="B22" i="12"/>
  <c r="L22" i="12" s="1"/>
  <c r="J21" i="12"/>
  <c r="I21" i="12"/>
  <c r="B21" i="12"/>
  <c r="M21" i="12" s="1"/>
  <c r="J20" i="12"/>
  <c r="I20" i="12"/>
  <c r="H20" i="12"/>
  <c r="O20" i="12" s="1"/>
  <c r="B20" i="12"/>
  <c r="N20" i="12" s="1"/>
  <c r="J19" i="12"/>
  <c r="I19" i="12"/>
  <c r="H19" i="12"/>
  <c r="O19" i="12" s="1"/>
  <c r="B19" i="12"/>
  <c r="K19" i="12" s="1"/>
  <c r="J18" i="12"/>
  <c r="I18" i="12"/>
  <c r="H18" i="12"/>
  <c r="O18" i="12" s="1"/>
  <c r="B18" i="12"/>
  <c r="L18" i="12" s="1"/>
  <c r="J17" i="12"/>
  <c r="I17" i="12"/>
  <c r="H17" i="12"/>
  <c r="O17" i="12" s="1"/>
  <c r="B17" i="12"/>
  <c r="M17" i="12" s="1"/>
  <c r="J16" i="12"/>
  <c r="I16" i="12"/>
  <c r="B16" i="12"/>
  <c r="N16" i="12" s="1"/>
  <c r="J15" i="12"/>
  <c r="I15" i="12"/>
  <c r="B15" i="12"/>
  <c r="K15" i="12" s="1"/>
  <c r="J14" i="12"/>
  <c r="I14" i="12"/>
  <c r="B14" i="12"/>
  <c r="L14" i="12" s="1"/>
  <c r="J13" i="12"/>
  <c r="I13" i="12"/>
  <c r="B13" i="12"/>
  <c r="M13" i="12" s="1"/>
  <c r="J12" i="12"/>
  <c r="I12" i="12"/>
  <c r="B12" i="12"/>
  <c r="N12" i="12" s="1"/>
  <c r="J11" i="12"/>
  <c r="I11" i="12"/>
  <c r="B11" i="12"/>
  <c r="K11" i="12" s="1"/>
  <c r="J10" i="12"/>
  <c r="I10" i="12"/>
  <c r="B10" i="12"/>
  <c r="L10" i="12" s="1"/>
  <c r="L21" i="12" l="1"/>
  <c r="L11" i="12"/>
  <c r="M10" i="12"/>
  <c r="N17" i="12"/>
  <c r="N19" i="12"/>
  <c r="L13" i="12"/>
  <c r="M18" i="12"/>
  <c r="L19" i="12"/>
  <c r="L17" i="12"/>
  <c r="M19" i="12"/>
  <c r="D52" i="13"/>
  <c r="M22" i="12"/>
  <c r="N21" i="12"/>
  <c r="M15" i="12"/>
  <c r="N15" i="12"/>
  <c r="L15" i="12"/>
  <c r="M14" i="12"/>
  <c r="N13" i="12"/>
  <c r="M11" i="12"/>
  <c r="N11" i="12"/>
  <c r="H21" i="12"/>
  <c r="O21" i="12" s="1"/>
  <c r="H13" i="12"/>
  <c r="O13" i="12" s="1"/>
  <c r="H28" i="12"/>
  <c r="O28" i="12" s="1"/>
  <c r="H11" i="12"/>
  <c r="O11" i="12" s="1"/>
  <c r="H15" i="12"/>
  <c r="O15" i="12" s="1"/>
  <c r="H10" i="12"/>
  <c r="O10" i="12" s="1"/>
  <c r="H14" i="12"/>
  <c r="O14" i="12" s="1"/>
  <c r="H22" i="12"/>
  <c r="O22" i="12" s="1"/>
  <c r="H12" i="12"/>
  <c r="O12" i="12" s="1"/>
  <c r="O24" i="12"/>
  <c r="O25" i="12"/>
  <c r="O26" i="12"/>
  <c r="O27" i="12"/>
  <c r="O29" i="12"/>
  <c r="O30" i="12"/>
  <c r="O31" i="12"/>
  <c r="O32" i="12"/>
  <c r="K12" i="12"/>
  <c r="K16" i="12"/>
  <c r="B33" i="12"/>
  <c r="N10" i="12"/>
  <c r="L12" i="12"/>
  <c r="K13" i="12"/>
  <c r="N14" i="12"/>
  <c r="L16" i="12"/>
  <c r="K17" i="12"/>
  <c r="N18" i="12"/>
  <c r="L20" i="12"/>
  <c r="K21" i="12"/>
  <c r="N22" i="12"/>
  <c r="C33" i="12"/>
  <c r="K20" i="12"/>
  <c r="K10" i="12"/>
  <c r="M12" i="12"/>
  <c r="K14" i="12"/>
  <c r="M16" i="12"/>
  <c r="K18" i="12"/>
  <c r="M20" i="12"/>
  <c r="K22" i="12"/>
  <c r="L33" i="12" l="1"/>
  <c r="M33" i="12"/>
  <c r="O33" i="12"/>
  <c r="K33" i="12"/>
  <c r="B34" i="12" s="1"/>
  <c r="B35" i="12" s="1"/>
  <c r="N33" i="12"/>
  <c r="B37" i="12" l="1"/>
  <c r="B38" i="12"/>
  <c r="B39" i="12"/>
  <c r="B40" i="12"/>
  <c r="D57" i="13" l="1"/>
  <c r="C57" i="13"/>
  <c r="B55" i="13" l="1"/>
  <c r="B56" i="13" s="1"/>
  <c r="B5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4" authorId="0" shapeId="0" xr:uid="{00000000-0006-0000-0200-000001000000}">
      <text>
        <r>
          <rPr>
            <b/>
            <sz val="9"/>
            <color indexed="81"/>
            <rFont val="Tahoma"/>
            <family val="2"/>
          </rPr>
          <t>Author:</t>
        </r>
        <r>
          <rPr>
            <sz val="9"/>
            <color indexed="81"/>
            <rFont val="Tahoma"/>
            <family val="2"/>
          </rPr>
          <t xml:space="preserve">
N.B. This calculation assumes that the average cost of the teachers that leave or are appointed is the same as the overall estimate for average teacher cost. If that is not true then there will be some difference between the value shown and the actual value required. If detail of those leaving or to be appointed are known the difference can be calculated.</t>
        </r>
      </text>
    </comment>
    <comment ref="C45" authorId="0" shapeId="0" xr:uid="{00000000-0006-0000-0200-000002000000}">
      <text>
        <r>
          <rPr>
            <b/>
            <sz val="9"/>
            <color indexed="81"/>
            <rFont val="Tahoma"/>
            <charset val="1"/>
          </rPr>
          <t>Author:</t>
        </r>
        <r>
          <rPr>
            <sz val="9"/>
            <color indexed="81"/>
            <rFont val="Tahoma"/>
            <charset val="1"/>
          </rPr>
          <t xml:space="preserve">
The calculation basis is as follows
The average number of teacher periods on a single period of the cycle is line 23 divided by line 24. This therfore represents the average number of teachers in teaching contact on any one period.
By dividing that value into the pupil roll the pupil to teacher ratio in the timetable is found. For historic reasons this is called the Average Class Size. 
In a situation such as post 16 where pupils do not attend lessons on every period of the cycle the Average Teaching Group size will be lower than the Average class size. For example if post 16 students on average attend lessons on 4 out of 5 periods of the cycle they have a student contact ratio of 0.8. If the average class size for the post 16 section of the school is 20 then the number of pupils per teaching group on average is 20 x 0.8 = 16 </t>
        </r>
      </text>
    </comment>
    <comment ref="C46" authorId="0" shapeId="0" xr:uid="{00000000-0006-0000-0200-000003000000}">
      <text>
        <r>
          <rPr>
            <b/>
            <sz val="9"/>
            <color indexed="81"/>
            <rFont val="Tahoma"/>
            <family val="2"/>
          </rPr>
          <t>Author:</t>
        </r>
        <r>
          <rPr>
            <sz val="9"/>
            <color indexed="81"/>
            <rFont val="Tahoma"/>
            <family val="2"/>
          </rPr>
          <t xml:space="preserve">
PTR = contact ratio </t>
        </r>
        <r>
          <rPr>
            <sz val="9"/>
            <color indexed="81"/>
            <rFont val="Calibri"/>
            <family val="2"/>
          </rPr>
          <t>×</t>
        </r>
        <r>
          <rPr>
            <sz val="9"/>
            <color indexed="81"/>
            <rFont val="Tahoma"/>
            <family val="2"/>
          </rPr>
          <t xml:space="preserve"> Average Class size</t>
        </r>
      </text>
    </comment>
    <comment ref="F58" authorId="0" shapeId="0" xr:uid="{00000000-0006-0000-0200-000004000000}">
      <text>
        <r>
          <rPr>
            <b/>
            <sz val="9"/>
            <color indexed="81"/>
            <rFont val="Tahoma"/>
            <family val="2"/>
          </rPr>
          <t>Author:</t>
        </r>
        <r>
          <rPr>
            <sz val="9"/>
            <color indexed="81"/>
            <rFont val="Tahoma"/>
            <family val="2"/>
          </rPr>
          <t xml:space="preserve">
Average Class Size = PTR </t>
        </r>
        <r>
          <rPr>
            <sz val="9"/>
            <color indexed="81"/>
            <rFont val="Calibri"/>
            <family val="2"/>
          </rPr>
          <t>÷</t>
        </r>
        <r>
          <rPr>
            <sz val="9"/>
            <color indexed="81"/>
            <rFont val="Tahoma"/>
            <family val="2"/>
          </rPr>
          <t>teacher contact ratio</t>
        </r>
      </text>
    </comment>
    <comment ref="F59" authorId="0" shapeId="0" xr:uid="{00000000-0006-0000-0200-000005000000}">
      <text>
        <r>
          <rPr>
            <b/>
            <sz val="9"/>
            <color indexed="81"/>
            <rFont val="Tahoma"/>
            <charset val="1"/>
          </rPr>
          <t>Author:</t>
        </r>
        <r>
          <rPr>
            <sz val="9"/>
            <color indexed="81"/>
            <rFont val="Tahoma"/>
            <charset val="1"/>
          </rPr>
          <t xml:space="preserve">
This is the same relationship as that described in the note attaced to line 28 above but with the tp total as the subject of the equation rather than the Average class size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4" authorId="0" shapeId="0" xr:uid="{00000000-0006-0000-0300-000001000000}">
      <text>
        <r>
          <rPr>
            <b/>
            <sz val="9"/>
            <color indexed="81"/>
            <rFont val="Tahoma"/>
            <family val="2"/>
          </rPr>
          <t>Author:</t>
        </r>
        <r>
          <rPr>
            <sz val="9"/>
            <color indexed="81"/>
            <rFont val="Tahoma"/>
            <family val="2"/>
          </rPr>
          <t xml:space="preserve">
Column C and D show red if the required total is higher than the employed total, Green if the values are equal and yellow if the employed value is higher than the required total.</t>
        </r>
      </text>
    </comment>
    <comment ref="A18" authorId="0" shapeId="0" xr:uid="{00000000-0006-0000-0300-000002000000}">
      <text>
        <r>
          <rPr>
            <b/>
            <sz val="9"/>
            <color indexed="81"/>
            <rFont val="Tahoma"/>
            <family val="2"/>
          </rPr>
          <t>Author:</t>
        </r>
        <r>
          <rPr>
            <sz val="9"/>
            <color indexed="81"/>
            <rFont val="Tahoma"/>
            <family val="2"/>
          </rPr>
          <t xml:space="preserve">
This line will show n/a if the DEPLOYMENT SHEET is incomplete</t>
        </r>
      </text>
    </comment>
    <comment ref="A19" authorId="0" shapeId="0" xr:uid="{00000000-0006-0000-0300-000003000000}">
      <text>
        <r>
          <rPr>
            <b/>
            <sz val="9"/>
            <color indexed="81"/>
            <rFont val="Tahoma"/>
            <family val="2"/>
          </rPr>
          <t>Author:</t>
        </r>
        <r>
          <rPr>
            <sz val="9"/>
            <color indexed="81"/>
            <rFont val="Tahoma"/>
            <family val="2"/>
          </rPr>
          <t xml:space="preserve">
This sheet assumes that the user can check if this capacity is available from the Educational Support Line Staffing below rather than split out different possible categories of Educational Support Staff.</t>
        </r>
      </text>
    </comment>
    <comment ref="A57" authorId="0" shapeId="0" xr:uid="{00000000-0006-0000-0300-000004000000}">
      <text>
        <r>
          <rPr>
            <b/>
            <sz val="9"/>
            <color indexed="81"/>
            <rFont val="Tahoma"/>
            <family val="2"/>
          </rPr>
          <t>Author:</t>
        </r>
        <r>
          <rPr>
            <sz val="9"/>
            <color indexed="81"/>
            <rFont val="Tahoma"/>
            <family val="2"/>
          </rPr>
          <t xml:space="preserve">
if the actual average class size ( this line) is lower than the value shown on the previous line it means that the teacher deployment is using fewer teacher periods than are available for the number of teachers employed operating at the contact ratio shown.</t>
        </r>
      </text>
    </comment>
  </commentList>
</comments>
</file>

<file path=xl/sharedStrings.xml><?xml version="1.0" encoding="utf-8"?>
<sst xmlns="http://schemas.openxmlformats.org/spreadsheetml/2006/main" count="718" uniqueCount="405">
  <si>
    <t>This workbook contains illustrative spreadsheets that can be adapted for individual school use.
All data in the sheets as supplied is purely illustrative and does not represent any actual school nor is it intended to provide recommended values.
This workbook of sheets has not been written as a standalone item. It should be used in parallel with the written Technical Guidance.
These sheets have been compiled by Sam Ellis, in association with Susan Fielden, as part of the technical ICFP support notes written for the DfE.</t>
  </si>
  <si>
    <r>
      <rPr>
        <b/>
        <sz val="11"/>
        <color rgb="FF000000"/>
        <rFont val="Calibri"/>
        <family val="2"/>
        <scheme val="minor"/>
      </rPr>
      <t xml:space="preserve">All sheets are locked with the password PASSWORD. </t>
    </r>
    <r>
      <rPr>
        <sz val="11"/>
        <color rgb="FF000000"/>
        <rFont val="Calibri"/>
        <family val="2"/>
        <scheme val="minor"/>
      </rPr>
      <t xml:space="preserve">
Users wishing to correct any errors they find in these sheets, modify them for individual school use, or unlock them to use a screen reader, can do so by using the password PASSWORD.
User input cells have a </t>
    </r>
    <r>
      <rPr>
        <sz val="11"/>
        <color rgb="FF006DAA"/>
        <rFont val="Calibri"/>
        <family val="2"/>
        <scheme val="minor"/>
      </rPr>
      <t>blue font on a white background</t>
    </r>
    <r>
      <rPr>
        <sz val="11"/>
        <color rgb="FF000000"/>
        <rFont val="Calibri"/>
        <family val="2"/>
        <scheme val="minor"/>
      </rPr>
      <t xml:space="preserve"> and are not locked. For those using a screen reader, the words "user input" are written next to these cells.  
The section of sheets wi</t>
    </r>
    <r>
      <rPr>
        <sz val="11"/>
        <rFont val="Calibri"/>
        <family val="2"/>
        <scheme val="minor"/>
      </rPr>
      <t>th</t>
    </r>
    <r>
      <rPr>
        <sz val="11"/>
        <color rgb="FFCC0000"/>
        <rFont val="Calibri"/>
        <family val="2"/>
        <scheme val="minor"/>
      </rPr>
      <t xml:space="preserve"> red tabs (tabs 4-7)</t>
    </r>
    <r>
      <rPr>
        <sz val="11"/>
        <color rgb="FF000000"/>
        <rFont val="Calibri"/>
        <family val="2"/>
        <scheme val="minor"/>
      </rPr>
      <t xml:space="preserve"> have links between them. Other sheets are independent of the rest of the workbook.
</t>
    </r>
  </si>
  <si>
    <t xml:space="preserve">Whilst every effort has been made to check the sheets in this workbook, they cannot be guaranteed for accuracy and should not be used in any context other than as a template for further development or as worked examples to match with the Technical Guidance notes they support.  
The authors accept no liability for the accuracy of plans produced by these spreadsheets, as they must be adapted to suit local context and checked for errors, both within the template spreadsheet and through school use.
</t>
  </si>
  <si>
    <t>Sam Ellis and Susan Fielden
August 2019</t>
  </si>
  <si>
    <t>Workbook updated in January 2025 to improve accessibility for users
Any errors noticed by users should be notified by email to sbp.policy@education.gov.uk</t>
  </si>
  <si>
    <t>Primary schools do not generally have a timetable divided into a number of  equal size lessons per week marked by the ringing of a bell about once every hour or so through the school day.
The idea of a number of periods in a timetable cycle and the use of teacher periods to measure curriculum time is less apparent than it is in a secondary school.
Nevertheless it is possible to apply all these ideas in analysing timetables in primary schools. The spreadsheets in this workbook are set up to use this approach.
ICFP calculations need  a unit for the measument of teaching time . This unit is used for calculations involving the number of teachers and Educational Support Staff such as Higher Level Teaching Assistants (HLTAs)  who spend time  working in a teacher role. 
Teaching time can be measured in hours  and minutes per week but  using  the idea of a timetable cycle of say one week divided into ten half days of teaching called 'periods' is usually a lot simpler and gives a common approach across all types of school.
The cycle is the period of time after which the curriculum structure repeats. In a primary school operating with a curriculum based on class teachers rather than individual subject based lessons the simplest way to define the cycle is to think of it as lasting for one  calendar week. 
The cycle is then thought of as divided into a number of periods. The length of a period in a school using specific subject based lessons will usually be the length of the shortest lesson. Longer lessons are then thought of as multiple periods.
For example, if the shortest lesson is 30 minutes long and that is the length of a 'period'  then a lesson of 1 hour 30 minutes would be three periods long. In a 25 hour teaching cycle there would be 50 periods.</t>
  </si>
  <si>
    <t>In Primary schools it is often easiest to think of a timetable cycle lasting for one calendar week made up of ten periods where each period is half a day. Rather than the length of a subject lesson being the driver here the easiest thing is to use the shortest length of time for which a teacher is employed to teach.
In this case the unit used is half a day.  In some schools it may be more useful to use a quarter of a day. Both these ideas fit with the common pattern that full time classroom teachers with no management responsibility teach for nine half days a week and have one half day per week for PPA time. 
Any school can redefine these ideas to fit its own circumstances, but whatever system is used it is important to keep it simple. 
In the modelling illustrated in this workbook, the aim is to arrive at answers that are good enough but not necessarily perfect in all respects. As supplied, this workbook uses a ten period cycle. A full time classsroom teacher  whose only allocation of non contact time is the PPA time would therefore supply nine teacher periods (9tp) to the curriculum plan.</t>
  </si>
  <si>
    <t>In the same way the teaching time supplied by staff such as HLTAs acting in a teacher roll can be counted in Teacher Role Periods(trp) where one  trp is one member of the educational support staff acting in a teacher role for one half day (i.e. for one period).
The Full Time Equivalent value for HLTA staff uses their term time value. This may differ from the value used in finacial software and care will be required in transferring data between systems.</t>
  </si>
  <si>
    <t>It is possible to combine both teachers and those staff who work in a teacher role under one heading as 'teaching staff' and represent them as a single overall entry in both financial summaries and curriculum summaries. 
This can lead to difficulties in the financial dimension because  Teachers and Educational Support Staff  staff are not usually combined in  a school's financial software. For that reason the sheets in this workbook keep Teachers and Educational Support Staff working in a teacher role ( called Teacher Role Staff) separate.</t>
  </si>
  <si>
    <t>The statistic , Average Class Size is restricted to its traditional definition using  teacher periods alone , i.e. it reflects the pupil to teacher ratio in the classroom. A new statistic Average Teaching Group Size has been introduced which uses the total teaching time allocated and hence is the pupil to teaching staff ratio in the timetable.</t>
  </si>
  <si>
    <t xml:space="preserve">The FTE value for Educational Support Staff not acting in a teacher role can be shown in whatever way the school finds most useful.
If it is shown as the term time value it will fit in with the value used for Teacher Role staff mentioned above but possibly require conversion when matching with a value in the school's financial software. 
</t>
  </si>
  <si>
    <t>This sheet sets out the ICFP process as a series of stepwise calculations starting from the finance perspective and ending with the curriculum perspective. It is possible to write this sheet in the reverse order starting  from the curriculum perspective.</t>
  </si>
  <si>
    <t>To inform the reconcilation process between finance and curriculum views, there are four sections at the end of the curriculum section showing the curriculum impact of different FTE values.  One of these is a Curriculum user input value. The key question is whether or not the curriculum timetable budget in teacher periods is adequate for the educational aims of the school.</t>
  </si>
  <si>
    <t xml:space="preserve">The approximate financial implications of each of the four options are shown. </t>
  </si>
  <si>
    <r>
      <t>Details of every calculation are outlined in column D  and there are specific notes attached to some lines  indicated with a red flag in the top right corner of the cell. Where figures are described as</t>
    </r>
    <r>
      <rPr>
        <b/>
        <sz val="11"/>
        <color rgb="FF000000"/>
        <rFont val="Calibri"/>
        <family val="2"/>
        <scheme val="minor"/>
      </rPr>
      <t xml:space="preserve"> </t>
    </r>
    <r>
      <rPr>
        <b/>
        <u/>
        <sz val="11"/>
        <color rgb="FF000000"/>
        <rFont val="Calibri"/>
        <family val="2"/>
        <scheme val="minor"/>
      </rPr>
      <t xml:space="preserve">shown </t>
    </r>
    <r>
      <rPr>
        <sz val="11"/>
        <color rgb="FF000000"/>
        <rFont val="Calibri"/>
        <family val="2"/>
        <scheme val="minor"/>
      </rPr>
      <t>to a number of decimal places these have not been rounded and  subsequent calculations using those figures are accurate to the limit of the spreadsheet.</t>
    </r>
  </si>
  <si>
    <r>
      <t xml:space="preserve">Some figures are </t>
    </r>
    <r>
      <rPr>
        <b/>
        <u/>
        <sz val="11"/>
        <color rgb="FF000000"/>
        <rFont val="Calibri"/>
        <family val="2"/>
        <scheme val="minor"/>
      </rPr>
      <t>rounded</t>
    </r>
    <r>
      <rPr>
        <u/>
        <sz val="11"/>
        <color rgb="FF000000"/>
        <rFont val="Calibri"/>
        <family val="2"/>
        <scheme val="minor"/>
      </rPr>
      <t xml:space="preserve"> </t>
    </r>
    <r>
      <rPr>
        <sz val="11"/>
        <color rgb="FF000000"/>
        <rFont val="Calibri"/>
        <family val="2"/>
        <scheme val="minor"/>
      </rPr>
      <t>up or down to give an estimate that errs on the side of caution. For example this is done where the  idea of a fraction of a teacher period is not a useful answer.</t>
    </r>
  </si>
  <si>
    <t>This sheet is illustrative of a calculation process. If it were used for actual ICFP analysis it would have the  key weakness of not indicating any sense of a trend in the financial situation. It also omits any reference to metrics or KPI values.  Because this sheet is set out as an explanation there are  more lines shown than are necessary for a basic ICFP type calculation.</t>
  </si>
  <si>
    <t>Finance data and calculations from the current 'KNOWN' academic year at typical point in time (e.g. October 1st)</t>
  </si>
  <si>
    <t>Comment</t>
  </si>
  <si>
    <t>Total available revenue for the KNOWN academic year</t>
  </si>
  <si>
    <t>user input line</t>
  </si>
  <si>
    <t>Total expenditure on teacher salary plus on cost in the KNOWN academic year</t>
  </si>
  <si>
    <t>Total expenditure on everything except teacher costs in the KNOWN academic year</t>
  </si>
  <si>
    <t>In year balance for the KNOWN academic year</t>
  </si>
  <si>
    <t>calculation line</t>
  </si>
  <si>
    <t>Sum of lines 15 and 16 subtracted from line 14</t>
  </si>
  <si>
    <t>Carry forward or Deficit (enter as negative)  brought into the KNOWN year from previous years</t>
  </si>
  <si>
    <t>(negative value inputs show in a red font)</t>
  </si>
  <si>
    <t>Cumulative balance at the end of the KNOWN year</t>
  </si>
  <si>
    <t>Sum of lines 17 and 18</t>
  </si>
  <si>
    <t>FTE number of teachers in the KNOWN academic year</t>
  </si>
  <si>
    <t>Average Teacher cost in the KNOWN academic year</t>
  </si>
  <si>
    <t>Line 15 divided by line 20</t>
  </si>
  <si>
    <t>Projected finance data and calculations for the PLANNED academic year</t>
  </si>
  <si>
    <t>Estimated available revenue for the PLANNED academic year (Excluding carry forward or deficit)</t>
  </si>
  <si>
    <t>Percentage change in revenue from KNOWN year (above) to PLANNED year</t>
  </si>
  <si>
    <t>Change from line 14 to line 24 as a percentage of line 14</t>
  </si>
  <si>
    <t>Estimated minimum spend on everything except teacher costs for the PLANNED  academic year( Could include a planned reserve)</t>
  </si>
  <si>
    <t>Percentage change in minimum spend on everything except teacher costs from KNOWN year (above) to PLANNED year</t>
  </si>
  <si>
    <t>Change from line 16 to line 26 as a percentage of line 16</t>
  </si>
  <si>
    <t>In year revenue available for teaching costs</t>
  </si>
  <si>
    <t>Line 25 subtracted from line 24</t>
  </si>
  <si>
    <t>Average teacher cost copied from the KNOWN ACADEMIC YEAR above</t>
  </si>
  <si>
    <t>Value copied from line 21 above</t>
  </si>
  <si>
    <t>Estimated percentage change in average teacher cost from the KNOWN ACADEMIC YEAR to the PLANNED ACADEMIC YEAR (enter reduction as -ve)</t>
  </si>
  <si>
    <t>Estimated average teacher cost for the PLANNED ACADEMIC YEAR</t>
  </si>
  <si>
    <t>Line 20 modified by the percentage entered on line 30</t>
  </si>
  <si>
    <r>
      <t xml:space="preserve">Estimated number of affordable teachers (FTE) in PLANNED ACADEMIC YEAR in a balanced in year budget ( rounded down to 1 dp) </t>
    </r>
    <r>
      <rPr>
        <sz val="11"/>
        <color rgb="FFC00000"/>
        <rFont val="Calibri"/>
        <family val="2"/>
        <scheme val="minor"/>
      </rPr>
      <t>(CALLED IN YEAR FTE)</t>
    </r>
  </si>
  <si>
    <t>Line 28 divided by line 31 rounded down to one decimal place. Referred to below as "In year FTE"</t>
  </si>
  <si>
    <t>Carry forward or deficit (shown as negative) from known to PLANNED ACADEMIC YEAR copied from above</t>
  </si>
  <si>
    <t>Value copied from line 19 above</t>
  </si>
  <si>
    <t>Change in the number of FTE teachers implied by carry forward or deficit required for no carry forward from PLANNED ACADEMIC YEAR (SHOWN to 1dp) (see note attached to cell)</t>
  </si>
  <si>
    <t>Line 33 divided by line 31 and rounded to 1 decimal place to give an estimate of the FTE teacher equivalent of line 19</t>
  </si>
  <si>
    <r>
      <t xml:space="preserve">Approximate FTE teachers required in the PLANNED ACADEMIC YEAR for approximate zero cumulative balance at the end of that year </t>
    </r>
    <r>
      <rPr>
        <sz val="11"/>
        <color rgb="FFC00000"/>
        <rFont val="Calibri"/>
        <family val="2"/>
        <scheme val="minor"/>
      </rPr>
      <t>(CALLED CUMULATIVE FTE)</t>
    </r>
  </si>
  <si>
    <t>Sum of line 32 and line 34. Referred to below as "Cumulative balance FTE"</t>
  </si>
  <si>
    <r>
      <t>Proposed number of teachers to be employed in the  PLANNED ACADEMIC YEAR ( A user decision guided by the information above)</t>
    </r>
    <r>
      <rPr>
        <sz val="11"/>
        <color rgb="FFC00000"/>
        <rFont val="Calibri"/>
        <family val="2"/>
        <scheme val="minor"/>
      </rPr>
      <t xml:space="preserve"> (CALLED FINANCE FTE)</t>
    </r>
  </si>
  <si>
    <t>Curriculum data for the KNOWN academic year at the same point in time ( e.g. October 1st)</t>
  </si>
  <si>
    <t>Total number of teacher periods on the timetable in the KNOWN ACADEMIC YEAR</t>
  </si>
  <si>
    <t>Length of timetable cycle in the KNOWN ACADEMIC YEAR</t>
  </si>
  <si>
    <t>FTE Teachers in the KNOWN ACADEMIC YEAR Copied from the finance section above</t>
  </si>
  <si>
    <t>Value copied from line 20 above</t>
  </si>
  <si>
    <t>Average teaching load in the KNOWN ACADEMIC YEAR</t>
  </si>
  <si>
    <t>Line 39 divided by line 41 shown to 2 decimal places</t>
  </si>
  <si>
    <t>Teacher contact ratio in the KNOWN ACADEMIC YEAR</t>
  </si>
  <si>
    <t>Line 42 divided by line 40 shown to 3 decimal places</t>
  </si>
  <si>
    <t>Total pupils on roll in September of the KNOWN ACADEMIC YEAR</t>
  </si>
  <si>
    <t>Average class size ( pupil to teacher ratio in the classroom ) in the KNOWN ACADEMIC YEAR</t>
  </si>
  <si>
    <t>Line 44 multiplied by line 40 and the answer divided by line 39 (see note attached to column C)</t>
  </si>
  <si>
    <t>Pupil to teacher ratio (PTR)in the school in the KNOWN ACADEMIC YEAR</t>
  </si>
  <si>
    <t>Calculation: line 44 divided by  line 41( n.b. Line 43 multiplied by line 45 gives the same answer see attached note)</t>
  </si>
  <si>
    <t>Line 44 divided by  line 41( n.b. Line 43 multiplied by line 45 gives the same answer see attached note)</t>
  </si>
  <si>
    <t>Curriculum data for the PLANNED academic year</t>
  </si>
  <si>
    <t>Total estimated pupils on roll at September of the PLANNED ACADEMIC YEAR</t>
  </si>
  <si>
    <t>Target teacher contact ratio for the PLANNED ACADEMIC YEAR</t>
  </si>
  <si>
    <t>Timetable cycle for the PLANNED ACADEMIC YEAR</t>
  </si>
  <si>
    <t>Average teacher load for the PLANNED ACADEMIC YEAR</t>
  </si>
  <si>
    <t>Line 50  multiplied by line 51</t>
  </si>
  <si>
    <t>Curriculum impact for the PLANNED academic year based on different numbers of Teachers</t>
  </si>
  <si>
    <t>With IN YEAR FTE</t>
  </si>
  <si>
    <t>With CUMULATIVE FTE</t>
  </si>
  <si>
    <t>With FINANCE FTE</t>
  </si>
  <si>
    <t>User input FTE (Test Value)</t>
  </si>
  <si>
    <t>FTE Teachers</t>
  </si>
  <si>
    <t>Column B is a copy of cell B18, column C is a copy of cell B21, column D is a user input to test any other value</t>
  </si>
  <si>
    <t>PTR</t>
  </si>
  <si>
    <t>Line 49 divided by the relevant line 61 value</t>
  </si>
  <si>
    <t>Average class size for target teacher contact ratio</t>
  </si>
  <si>
    <t>The relevant line 62 value divided by line 50 (see note attached to cell)</t>
  </si>
  <si>
    <t>Teacher period budget (tp)  at target teacher contact ratio</t>
  </si>
  <si>
    <t>Line 30 multiplied by line 32 and the answer divided by the relevant line 37 value (see note attached)</t>
  </si>
  <si>
    <r>
      <t xml:space="preserve">Financial Impact of FTE value on </t>
    </r>
    <r>
      <rPr>
        <u/>
        <sz val="11"/>
        <color rgb="FFC00000"/>
        <rFont val="Calibri"/>
        <family val="2"/>
        <scheme val="minor"/>
      </rPr>
      <t>IN YEAR BALANCE</t>
    </r>
    <r>
      <rPr>
        <sz val="11"/>
        <color theme="1"/>
        <rFont val="Calibri"/>
        <family val="2"/>
        <scheme val="minor"/>
      </rPr>
      <t xml:space="preserve"> shown as a possible reserve (positive) or deficit (negative)</t>
    </r>
  </si>
  <si>
    <t>Column FTE subtracted from line 32 and the answer multiplied by line 31</t>
  </si>
  <si>
    <r>
      <t xml:space="preserve">Financial Impact of FTE value on </t>
    </r>
    <r>
      <rPr>
        <u/>
        <sz val="11"/>
        <color rgb="FFC00000"/>
        <rFont val="Calibri"/>
        <family val="2"/>
        <scheme val="minor"/>
      </rPr>
      <t>CUMULATIVE BALANCE</t>
    </r>
    <r>
      <rPr>
        <sz val="11"/>
        <color theme="1"/>
        <rFont val="Calibri"/>
        <family val="2"/>
        <scheme val="minor"/>
      </rPr>
      <t xml:space="preserve"> shown as a possible reserve (positive) or deficit (negative)</t>
    </r>
  </si>
  <si>
    <t>Column FTE subtracted from line 35 and the answer multiplied by line 31</t>
  </si>
  <si>
    <t>The SUMMARY DATA is the main finance and overview sheet and this has links to and from the  three DEPLOYMENT SHEETS.</t>
  </si>
  <si>
    <t>The key input data on the DEPLOYMENT BASE YEAR sheet  is the number of teaching periods allocated to the existing timetable subdivided into teacher periods and teacher role periods and the number of periods in the timetable cycle. The FTE teachers employed in the school and the pupil roll numbers are copied from the SUMMARY DATA sheet.  The output data is a value for average teacher load which is a function of the number of periods in the BASE YEAR timetable cycle, a value for teacher contact ratio and the FTE total of teacher role staff. The contact ratio is independent of the number of periods in the timetable cycle and can therefore be used as a reference value for future years should a different cycle be used. The contact ratio can also be used as a benchmarking value for comparison with other schools where relevant like for like data is available.</t>
  </si>
  <si>
    <t>The DEPLOYMENT PLANNED YEAR and DEPLOYMENT PROJECTION YEAR sheets are for planning the timetable cost envelopes in teacher periods for the years following the BASE YEAR . The key inputs for these sheets are the planned teaching period allocations to each year group and area and the overall teacher contact ratio the school hopes to use in those years.  For both sheets the pupil roll numbers and other data link to relevant columns on the SUMMARY DATA sheet. The result for each sheet  is the number of FTE teachers required to deliver the total deployment plan and the FTE number of teacher role staff implied by the analysis. This value transfers as a reference to the SUMMARY DATA sheet.</t>
  </si>
  <si>
    <t xml:space="preserve">The stand alone sheet, MODELLING  CONTACT, can be used to investigate possible values for the teacher contact ratio. If teachers who teach have the level of PPA time recommended in School Teachers Pay and Conditions, changing the contact ratio usually implies changing the management structure and levels of management time rather than impacting on the workload of classroom teachers. There is clearly an implication for management workloads and the work life balance of those with management responsibility. A standard Excel timetable planning sheet similar to the illustration on the WHAT IS CONTACT RATIO sheet  or commercial software can also be used to model contact ratio. </t>
  </si>
  <si>
    <t xml:space="preserve">Once reconciliation has been reached between the FTE requirements of the Teacher Deployment Plans and the number of teachers the school intends to employ as given on the SUMMARY sheet, standard timetable analysis should take place as a detailed check including a check on the availability of teacher role staff.  </t>
  </si>
  <si>
    <t xml:space="preserve">It may be necessary to adopt an iterative approach at this stage revisiting the link with the finances and the curriculum plan and teacher contact detail  to ensure the optimum values for FTE staff employed and their use in delivering the best curriculum that can be achieved within the relevant financial parameters </t>
  </si>
  <si>
    <t>BASE YEAR</t>
  </si>
  <si>
    <t>Planned year</t>
  </si>
  <si>
    <t>Projection year</t>
  </si>
  <si>
    <t>The data in the red tab sheets as supplied is sample data and does not represent any particular school at any point in time. 
The three years shown are initially identical  in data terms.
The sheet can be populated with actual data in the  BASE year and then with expected values and changes for the PLANNED and PROJECTION years to determine a possible ICFP strategy.</t>
  </si>
  <si>
    <t>Year in which the academic year starts (user to enter information in cell B2)</t>
  </si>
  <si>
    <t>PUPIL ROLL BY YEAR GROUP ESTIMATES</t>
  </si>
  <si>
    <t>Reception</t>
  </si>
  <si>
    <t>Year 1</t>
  </si>
  <si>
    <t>Year 2</t>
  </si>
  <si>
    <t>Year 3</t>
  </si>
  <si>
    <t>Year 4</t>
  </si>
  <si>
    <t>Year 5</t>
  </si>
  <si>
    <t>Year 6</t>
  </si>
  <si>
    <t>(Check for sense line) Totals</t>
  </si>
  <si>
    <t>CURRICULUM DATA</t>
  </si>
  <si>
    <t>FTE Teachers employed ( or planned to be employed in future years) COPIED FROM LINE 20 below</t>
  </si>
  <si>
    <t>FTE Teachers Required in future years  (Copied from the DEPLOYMENT SHEETS) (see comment attached to cell)</t>
  </si>
  <si>
    <t>N/A</t>
  </si>
  <si>
    <t>Contact ratio from DEPLOYMENT SHEETS (Shown to 3 decimal places)</t>
  </si>
  <si>
    <t>Length of timetable cycle (Copied from the DEPLOYMENT SHEETS)</t>
  </si>
  <si>
    <t>Average teaching load (Copied from the DEPLOYMENT SHEETS) Shown to 2 decimal places</t>
  </si>
  <si>
    <t>Average class size i.e. pupil to teacher ratio in the curriculum (Copied from DEPLOYMENT SHEETS) shown to 2 decimal places (see comment attached to cell)</t>
  </si>
  <si>
    <t>FTE value of Teacher role staff required in term time assuming 1FTE delivers a full timetable cycle of teaching periods (see comment attached to cell)</t>
  </si>
  <si>
    <t>EXPENDITURE SUMMARY</t>
  </si>
  <si>
    <t xml:space="preserve">FTE Teachers employed ( or planned to be employed in future years) </t>
  </si>
  <si>
    <t>Total Teacher Cost Including on costs</t>
  </si>
  <si>
    <t>user input line (column B)</t>
  </si>
  <si>
    <t>Total Educational Support Staff cost including on Costs</t>
  </si>
  <si>
    <t>FTE Educational Support Staff Employed</t>
  </si>
  <si>
    <t>Total Admin and Clerical Staff cost including on costs</t>
  </si>
  <si>
    <t>FTE Admin and Clerical Staff Employed</t>
  </si>
  <si>
    <t>Total of all other employed staff costs including on costs</t>
  </si>
  <si>
    <t>FTE total of all other staff employed</t>
  </si>
  <si>
    <t>Total of all other revenue expenditure expenditure (i.e. all expenditure not included above)</t>
  </si>
  <si>
    <t>(Check for sense line) Total In Year Expenditure</t>
  </si>
  <si>
    <t>(Check for sense line) In year expenditure per pupil</t>
  </si>
  <si>
    <t>REVENUE SUMMARY</t>
  </si>
  <si>
    <t>Total in year revenue ( exclude any carry forward or deficit)</t>
  </si>
  <si>
    <t>(Check for sense line) Per pupil revenue</t>
  </si>
  <si>
    <t>(Check for sense line) Average Teacher Cost</t>
  </si>
  <si>
    <t>(Check for sense line) Average Educational Support Staff Cost</t>
  </si>
  <si>
    <t>(Check for sense line) Average Admin Staff Cost</t>
  </si>
  <si>
    <t>(Check for sense line) Average All Other Employed staff cost</t>
  </si>
  <si>
    <t>In Year Balance</t>
  </si>
  <si>
    <t>Carry forward or deficit (enter as negative) from previous years</t>
  </si>
  <si>
    <t>Cumulative Balance</t>
  </si>
  <si>
    <t>PERCENTAGE CHANGES IN REVENUE AND  COSTS FROM PREVIOUS YEAR</t>
  </si>
  <si>
    <t>Percentage change in Average Teacher Cost</t>
  </si>
  <si>
    <t>Percentage change in Educational Support staff cost</t>
  </si>
  <si>
    <t>Percentage change in Admin and Clerical staff cost</t>
  </si>
  <si>
    <t>Percentage change in All Other Employed Staff cost</t>
  </si>
  <si>
    <t>Percentage change in all other revenue expenditure</t>
  </si>
  <si>
    <t>Percentage change in per pupil revenue</t>
  </si>
  <si>
    <t>SUMMARY STATISTICS (Example  potential KPI and benchmark values )</t>
  </si>
  <si>
    <t>Per Pupil Revenue (in Year)</t>
  </si>
  <si>
    <t>Average Teacher Cost</t>
  </si>
  <si>
    <t>In year balance as a percentage of in year revenue</t>
  </si>
  <si>
    <t>Cumulative balance as a percentage of the in year revenue</t>
  </si>
  <si>
    <t>Pupil to teacher ratio ( This is the number of pupils on roll divided by the number of teachers employed)</t>
  </si>
  <si>
    <t xml:space="preserve">Teacher contact ratio </t>
  </si>
  <si>
    <t>The product of these two quantities equals</t>
  </si>
  <si>
    <t>Average Class Size (Pupil to teacher ratio in timetable) for PTR and Contact ratio on previous two lines</t>
  </si>
  <si>
    <t>the Pupil to Teacher Ratio in the school.</t>
  </si>
  <si>
    <t>Average Class Size (Pupil to teacher ratio in timetable)  on DEPLOYMENT SHEETS ( see comment attached to cell)</t>
  </si>
  <si>
    <t>Pupil to teaching staff ratio in timetable ( includes teacher role staff)</t>
  </si>
  <si>
    <t>These two lines provide more meaningful statistics for a primary school</t>
  </si>
  <si>
    <t>Average size of a teaching group (i.e classes into which pupils are organised)</t>
  </si>
  <si>
    <t>context than the strict definition of Average class size used elsewhere</t>
  </si>
  <si>
    <t>Proportion of in year revenue spent on teaching staff</t>
  </si>
  <si>
    <t>Proportion of in year revenue available for teaching in a balanced budget if all other costs are fixed</t>
  </si>
  <si>
    <t>PTR value in a balanced budget based on in year revenue</t>
  </si>
  <si>
    <t xml:space="preserve">AFFORDABLE FTE TEACHERS in a balanced budget (Shown to 1 decimal place) </t>
  </si>
  <si>
    <t>FTE TEACHERS EMPLOYED</t>
  </si>
  <si>
    <t>Teachers employed  to Ed support staff ratio</t>
  </si>
  <si>
    <t>All staff to admin staff ratio</t>
  </si>
  <si>
    <t>Pupil to Ed support staff ratio</t>
  </si>
  <si>
    <t>Pupil to adult ratio</t>
  </si>
  <si>
    <t>Proportion of revenue spent on staff costs</t>
  </si>
  <si>
    <t xml:space="preserve">Deployment plan for the base year (Teachers and Educational Support Staff who act in teacher role) </t>
  </si>
  <si>
    <t>Year</t>
  </si>
  <si>
    <t>This section records the actual teacher period allocations and brief curriculum descriptions of the actual timetable in use in the base year.</t>
  </si>
  <si>
    <t>Timetable cycle length in periods (user input)</t>
  </si>
  <si>
    <t>National Curriculum Year</t>
  </si>
  <si>
    <t>Pupil Roll</t>
  </si>
  <si>
    <t>Reorganised Area Name or NC year if no reorganisation applied</t>
  </si>
  <si>
    <t>Number of classes</t>
  </si>
  <si>
    <t>tp Allocation</t>
  </si>
  <si>
    <t>Teacher role period (trp) allocation</t>
  </si>
  <si>
    <t>NOTES</t>
  </si>
  <si>
    <t>2 classes 9tp per class plus 1 trp per class</t>
  </si>
  <si>
    <t>Y1</t>
  </si>
  <si>
    <t>Y2</t>
  </si>
  <si>
    <t>Y3</t>
  </si>
  <si>
    <t>Y4</t>
  </si>
  <si>
    <t>Y5</t>
  </si>
  <si>
    <t>Y6</t>
  </si>
  <si>
    <t>Whole School Areas (i.e. all other teacher contact time not allocated in year group sections above)</t>
  </si>
  <si>
    <t>Learning Support</t>
  </si>
  <si>
    <t>n/a</t>
  </si>
  <si>
    <t>Senco does 5 half days extracting target pupils from classes</t>
  </si>
  <si>
    <t>Intervention activity</t>
  </si>
  <si>
    <t>Team Teaching;1 half day literacy &amp; 1 half day numeracy. 10 half days HLTA in team teaching</t>
  </si>
  <si>
    <t>Other teacher contact time</t>
  </si>
  <si>
    <t>5 half days music support from a piano playing HLTA</t>
  </si>
  <si>
    <t>Overall totals</t>
  </si>
  <si>
    <t>Roll</t>
  </si>
  <si>
    <t>trp allocation</t>
  </si>
  <si>
    <t>Totals</t>
  </si>
  <si>
    <t>TEACHING  IMPLICATIONS</t>
  </si>
  <si>
    <t>Average Class Size (PTR in the curriculum)</t>
  </si>
  <si>
    <t>Teacher Contact Ratio</t>
  </si>
  <si>
    <t>This is shown to four places of decimals to give a reasonable level of accuracy in a small school</t>
  </si>
  <si>
    <t>Average teaching load</t>
  </si>
  <si>
    <t>Uses employed FTE teachers from SUMMARY SHEET</t>
  </si>
  <si>
    <t xml:space="preserve">FTE Teacher role staff required </t>
  </si>
  <si>
    <t>Assumes 1 FTE delivers a full cycle of periods</t>
  </si>
  <si>
    <t>Copied from</t>
  </si>
  <si>
    <t xml:space="preserve">FTE TEACHERS EMPLOYED </t>
  </si>
  <si>
    <t>SUMMARY</t>
  </si>
  <si>
    <t>DATA</t>
  </si>
  <si>
    <t>Pupil to teaching staff ratio</t>
  </si>
  <si>
    <t>Includes teacher role staff</t>
  </si>
  <si>
    <t>Average teaching group size</t>
  </si>
  <si>
    <t>Average size of classes as organised</t>
  </si>
  <si>
    <t>This input drives the FTE total. It should be informed by the current value in the KNOWN year and investigated using other spreadsheets like those supplied in this workbook</t>
  </si>
  <si>
    <t>FTE Teachers required by this deployment</t>
  </si>
  <si>
    <t>Value is rounded up to one decimal place</t>
  </si>
  <si>
    <t>TEACHING IMPLICATIONS</t>
  </si>
  <si>
    <t>Periods in the cycle</t>
  </si>
  <si>
    <t>SUMMARY STASTISTICS</t>
  </si>
  <si>
    <t>Name</t>
  </si>
  <si>
    <t>FTE</t>
  </si>
  <si>
    <t>Employed Periods</t>
  </si>
  <si>
    <t>Contact periods</t>
  </si>
  <si>
    <t xml:space="preserve">Non contact periods </t>
  </si>
  <si>
    <t>Check Total</t>
  </si>
  <si>
    <t>PPA as % of Contact</t>
  </si>
  <si>
    <t>FTE Teachers employed</t>
  </si>
  <si>
    <t>Sum of FTE values in column F</t>
  </si>
  <si>
    <t>PPA</t>
  </si>
  <si>
    <t>Management</t>
  </si>
  <si>
    <t>Other</t>
  </si>
  <si>
    <t>Total contact periods provided</t>
  </si>
  <si>
    <t>Sum of contact periods in column H</t>
  </si>
  <si>
    <t>Head</t>
  </si>
  <si>
    <t>Headteacher</t>
  </si>
  <si>
    <t>Average Load</t>
  </si>
  <si>
    <t>Calculation: B5 divided by B4</t>
  </si>
  <si>
    <t>Deputy</t>
  </si>
  <si>
    <t>Deputy Head</t>
  </si>
  <si>
    <t>Periods per cycle</t>
  </si>
  <si>
    <t>Copy of value in E2</t>
  </si>
  <si>
    <t>Assistant Head</t>
  </si>
  <si>
    <t xml:space="preserve">Teacher with TLR </t>
  </si>
  <si>
    <t>Management responsibility</t>
  </si>
  <si>
    <t>This is an outline example of the type of spreadsheet that is used to summarise teaching contact where the teaching staff are known or mostly known.</t>
  </si>
  <si>
    <t xml:space="preserve">Teacher with TLR 2 </t>
  </si>
  <si>
    <t>All data in the sheet as supplied is illustrative and does not represent recommended values.</t>
  </si>
  <si>
    <t>Teacher with TLR 2</t>
  </si>
  <si>
    <t>Classroom teacher One</t>
  </si>
  <si>
    <t>Teacher</t>
  </si>
  <si>
    <t>Classroom teacher Two</t>
  </si>
  <si>
    <t>Classroom teacher Three</t>
  </si>
  <si>
    <t>Classroom teacher Four</t>
  </si>
  <si>
    <t>Classroom teacher Five</t>
  </si>
  <si>
    <t>Classroom teacher Six</t>
  </si>
  <si>
    <t>Classroom teacher Seven</t>
  </si>
  <si>
    <t>Classroom teacher Eight</t>
  </si>
  <si>
    <t>Classroom teacher Nine</t>
  </si>
  <si>
    <t>Classroom teacher Ten</t>
  </si>
  <si>
    <t>Part Time teacher One</t>
  </si>
  <si>
    <t>Part Time teacher Two</t>
  </si>
  <si>
    <t>Totals for teacher periods available in each subject area at the foot of these columns must be equal to</t>
  </si>
  <si>
    <t xml:space="preserve">or less than the totals required in each subject in the full curriculum plan for a timetable to be feasible.  </t>
  </si>
  <si>
    <t>This sheet allows the investigation of contact ratio by role to take place and to look at the impact of management time allocations on the overall contact ratio.</t>
  </si>
  <si>
    <t>Full time teachers are entered in the top section and there is a separate section for part time teachers lower down. The part time staff are entered according to thir nearest tenth of a week's employment.</t>
  </si>
  <si>
    <t>This approach can produce a slightly more accurate result than entering part time staff as a simple fraction of a full time member of staff given some of the idiosyncracy schools use in the time part time staff spend teaching.</t>
  </si>
  <si>
    <t>Users are referred to the current guidance on PPA and management time in School Teachers Pay and Conditions of Service.</t>
  </si>
  <si>
    <t>Cycle length in periods</t>
  </si>
  <si>
    <t>Contact</t>
  </si>
  <si>
    <t>Non-Contact</t>
  </si>
  <si>
    <t>Reference values</t>
  </si>
  <si>
    <t>CALCULATIONS</t>
  </si>
  <si>
    <t>Staff by roll (Part time staff listed in categories lower down)</t>
  </si>
  <si>
    <t>Headcount</t>
  </si>
  <si>
    <t>Teaching Load</t>
  </si>
  <si>
    <t>MGT</t>
  </si>
  <si>
    <t>Employed cycle periods per FTE</t>
  </si>
  <si>
    <t>Check total</t>
  </si>
  <si>
    <t>PPA %</t>
  </si>
  <si>
    <t>Timetable contribution</t>
  </si>
  <si>
    <t>PPA Total</t>
  </si>
  <si>
    <t>MGT Total</t>
  </si>
  <si>
    <t>Other Total</t>
  </si>
  <si>
    <t>Employed Cycle Periods</t>
  </si>
  <si>
    <t>FULL TIME TEACHERS</t>
  </si>
  <si>
    <t>Deputy Headteacher</t>
  </si>
  <si>
    <t>Assistant headteacher</t>
  </si>
  <si>
    <t>Curriculum lead</t>
  </si>
  <si>
    <t>Pastoral lead</t>
  </si>
  <si>
    <t>Other teacher role with management responsibility</t>
  </si>
  <si>
    <t>Newly Qualified teachers</t>
  </si>
  <si>
    <t>Full time classroom teachers</t>
  </si>
  <si>
    <t>PART TIME TEACHERS</t>
  </si>
  <si>
    <t>Classroom teachers  FTE 0.9</t>
  </si>
  <si>
    <t>Classroom teachers  FTE 0.8</t>
  </si>
  <si>
    <t>Classroom teachers  FTE 0.7</t>
  </si>
  <si>
    <t>Classroom teachers  FTE 0.6</t>
  </si>
  <si>
    <t>Classroom teachers  FTE 0.5</t>
  </si>
  <si>
    <t>Classroom teachers  FTE 0.4</t>
  </si>
  <si>
    <t>Classroom teachers  FTE 0.3</t>
  </si>
  <si>
    <t>Classroom teachers  FTE 0.2</t>
  </si>
  <si>
    <t>Classroom teachers  FTE 0.1</t>
  </si>
  <si>
    <t>Contact Ratio</t>
  </si>
  <si>
    <t>Percentage of employed cycle time in different categories</t>
  </si>
  <si>
    <t>Timetable contact time</t>
  </si>
  <si>
    <t>PPA time</t>
  </si>
  <si>
    <t>Management time</t>
  </si>
  <si>
    <t>Other non contact time</t>
  </si>
  <si>
    <t>Whole school  example</t>
  </si>
  <si>
    <t>user input</t>
  </si>
  <si>
    <t>Teacher periods allocated on the timetable</t>
  </si>
  <si>
    <t>Periods in the timetable cycle</t>
  </si>
  <si>
    <t>Average number of teachers in teaching contact on any one period</t>
  </si>
  <si>
    <t>Calculation: Line 3 divided by line 4</t>
  </si>
  <si>
    <t>Average number of pupils per teacher on any one period (=AVERAGE CLASS SIZE)</t>
  </si>
  <si>
    <t>Calculation: Line 2 divided by line 5</t>
  </si>
  <si>
    <t>Average Teaching Group size (includes teacher role staffing</t>
  </si>
  <si>
    <t xml:space="preserve"> </t>
  </si>
  <si>
    <t>Teacher role periods allocated on the timetable</t>
  </si>
  <si>
    <t>Total teaching periods on the timetable</t>
  </si>
  <si>
    <t>calculation (teacher periods allocated added to teacher role periods allocated)</t>
  </si>
  <si>
    <t>Calculation: Line 10 divided by line 13</t>
  </si>
  <si>
    <t>Calculation: Line 9 divided by line 14</t>
  </si>
  <si>
    <t>Average size of a teaching group ( Includes teacher role staff )</t>
  </si>
  <si>
    <t>Calculation:line 9 multiplied by line 13 and the answer divided by line 12</t>
  </si>
  <si>
    <r>
      <t xml:space="preserve">Average Class Size is the traditional name for the pupil to teacher ratio in the timetable.  In a timetable cycle of length </t>
    </r>
    <r>
      <rPr>
        <i/>
        <sz val="11"/>
        <rFont val="Calibri"/>
        <family val="2"/>
        <scheme val="minor"/>
      </rPr>
      <t>w</t>
    </r>
    <r>
      <rPr>
        <sz val="11"/>
        <rFont val="Calibri"/>
        <family val="2"/>
        <scheme val="minor"/>
      </rPr>
      <t xml:space="preserve"> with </t>
    </r>
    <r>
      <rPr>
        <i/>
        <sz val="11"/>
        <rFont val="Calibri"/>
        <family val="2"/>
        <scheme val="minor"/>
      </rPr>
      <t>T</t>
    </r>
    <r>
      <rPr>
        <sz val="11"/>
        <rFont val="Calibri"/>
        <family val="2"/>
        <scheme val="minor"/>
      </rPr>
      <t xml:space="preserve"> teacher periods allocated and a roll of </t>
    </r>
    <r>
      <rPr>
        <i/>
        <sz val="11"/>
        <rFont val="Calibri"/>
        <family val="2"/>
        <scheme val="minor"/>
      </rPr>
      <t>R</t>
    </r>
    <r>
      <rPr>
        <sz val="11"/>
        <rFont val="Calibri"/>
        <family val="2"/>
        <scheme val="minor"/>
      </rPr>
      <t xml:space="preserve"> pupils the calculation is: Rw / T</t>
    </r>
  </si>
  <si>
    <t>This formula is developed stepwise on lines 5 and 6 above to illustrate how it is derived.</t>
  </si>
  <si>
    <t>Average class size is independent of the number of periods in the timetable cycle so it can be used as a metric to compare the outcome of teacher time in terms of the pupil to teacher ratio between timetables with different cycle lengths.</t>
  </si>
  <si>
    <t xml:space="preserve">There is a difference between the Average Class Size and the size of an average teaching group when the teaching staff include teacher role staff This is illustrated in the second table. </t>
  </si>
  <si>
    <t>The total number of teacher periods and teacher role periods includes some periods used for  learning support by extracting pupils and some periods used for team teaching.</t>
  </si>
  <si>
    <t>To calculate the average size of a teaching group when all pupils are attending it and there are no pupils extracted for learning support simply divide the number of pupils by the number of classes.</t>
  </si>
  <si>
    <r>
      <t xml:space="preserve">In its original form, the ideas of BONUS and BASIC do not apply in a primary school. It is possible to adapt the system for primary school use by redefining the terms in a way that suits the school in question.
This can be a very useful management approach but has little value for benchmarking unless different schools use exactly the same defiinitions. No example is given in this workbook as it is too difficult to model a generic situation.
For example a school's individual approach could define its 'BASIC' curriculum as  having the minimum number of teaching groups by using combined National Curriculum Years if necessary such that no group is larger than 30 pupils. 
Then to say that each individual class will have a teaching allocation of a teacher for 9 half days a week and a member of the Educational Support Staff in a teacher role for one half day a week.
These values will amount to a level of teacher periods and teacher role periods required from the employed staff.
</t>
    </r>
    <r>
      <rPr>
        <sz val="11"/>
        <color theme="1"/>
        <rFont val="Calibri"/>
        <family val="2"/>
        <scheme val="minor"/>
      </rPr>
      <t xml:space="preserve">By adjusting the number of staff available for work in a teacher role context and the level of management time and any other non contact time allocated to teachers (i.e. by setting the contact ratio) the actual amount of available teaching time will be found.
Assuming that the actual time is equal to or higher than the 'basic' requirement the difference can be called 'bonus'. In planning terms it is then a matter for school leadership how best to deploy the 'bonus' time to best effect.
There is nothing wrong with this approach but it must not be confused with the original version as a result of using some of the same words but to mean different thing. The original version is only applicable in years 7 to 11.
</t>
    </r>
  </si>
  <si>
    <t>For a given per pupil funding level, a proportion of revenue spend on everything except teachers and an average teacher cost there is a PTR value that the school can afford in a balanced budget.</t>
  </si>
  <si>
    <t>This is explained in the article on the fundamental equation governing ICFP.</t>
  </si>
  <si>
    <t>Since the PTR value is equal to the contact ratio multiplied by the average class size it is possible to rearrange those parameters to give the number of teacher periods  on the timetable the school can afford per pupil.</t>
  </si>
  <si>
    <r>
      <t xml:space="preserve">In a school where </t>
    </r>
    <r>
      <rPr>
        <i/>
        <sz val="11"/>
        <rFont val="Calibri"/>
        <family val="2"/>
        <scheme val="minor"/>
      </rPr>
      <t>S</t>
    </r>
    <r>
      <rPr>
        <sz val="11"/>
        <rFont val="Calibri"/>
        <family val="2"/>
        <scheme val="minor"/>
      </rPr>
      <t xml:space="preserve">=Average Teacher cost, </t>
    </r>
    <r>
      <rPr>
        <i/>
        <sz val="11"/>
        <rFont val="Calibri"/>
        <family val="2"/>
        <scheme val="minor"/>
      </rPr>
      <t>w</t>
    </r>
    <r>
      <rPr>
        <sz val="11"/>
        <rFont val="Calibri"/>
        <family val="2"/>
        <scheme val="minor"/>
      </rPr>
      <t xml:space="preserve"> = periods in the timetable cycle, </t>
    </r>
    <r>
      <rPr>
        <i/>
        <sz val="11"/>
        <rFont val="Calibri"/>
        <family val="2"/>
        <scheme val="minor"/>
      </rPr>
      <t>p</t>
    </r>
    <r>
      <rPr>
        <sz val="11"/>
        <rFont val="Calibri"/>
        <family val="2"/>
        <scheme val="minor"/>
      </rPr>
      <t xml:space="preserve">=proportion of revenue available for teacher cost, </t>
    </r>
    <r>
      <rPr>
        <i/>
        <sz val="11"/>
        <rFont val="Calibri"/>
        <family val="2"/>
        <scheme val="minor"/>
      </rPr>
      <t xml:space="preserve">c </t>
    </r>
    <r>
      <rPr>
        <sz val="11"/>
        <rFont val="Calibri"/>
        <family val="2"/>
        <scheme val="minor"/>
      </rPr>
      <t xml:space="preserve">=teacher contact ratio and </t>
    </r>
    <r>
      <rPr>
        <i/>
        <sz val="11"/>
        <rFont val="Calibri"/>
        <family val="2"/>
        <scheme val="minor"/>
      </rPr>
      <t xml:space="preserve">I </t>
    </r>
    <r>
      <rPr>
        <sz val="11"/>
        <rFont val="Calibri"/>
        <family val="2"/>
        <scheme val="minor"/>
      </rPr>
      <t>is the overall per pupil revenue the periods per pupil in a balanced budget are given by:</t>
    </r>
  </si>
  <si>
    <t>Periods per pupil = cwlp / S</t>
  </si>
  <si>
    <t>This formula can be used in a spreadsheet to give a reference level of per pupil teacher periods. There is a high chance that fractions of a teacher period will be  produced by the arithmetic.</t>
  </si>
  <si>
    <t>Actual teacher period allocations can only be in whole numbers. The difference between the actual allocation and the reference level shows the extent to which one part of the school is subsidising or being subsidised by another.</t>
  </si>
  <si>
    <t>What the value of knowing that is is an interesting point but notwithstanding that some schools find it a useful thing to know. The sheet below illustrates the idea in a Primary School.</t>
  </si>
  <si>
    <t>There are no user inputs on this sheet as it is intended as an illustration of a particular set of figures. The subsidy % can be displayed as a bar chart.</t>
  </si>
  <si>
    <t>Estimated Average Teacher Cost</t>
  </si>
  <si>
    <t>Estimated total revenue</t>
  </si>
  <si>
    <t>Estimated spend on everything except teachers ( this could include putting some funding on reserve)</t>
  </si>
  <si>
    <t>Proportion of revenue available for teacher cost</t>
  </si>
  <si>
    <t>Periods in timetable cycle</t>
  </si>
  <si>
    <t>Teacher contact ratio</t>
  </si>
  <si>
    <t>Per pupil teacher period allocation at an 'at cost' level (shown to 2 places of decimals but not rounded)</t>
  </si>
  <si>
    <t>Revenue cost of one teacher period</t>
  </si>
  <si>
    <t>Year /Area</t>
  </si>
  <si>
    <t>At cost tp</t>
  </si>
  <si>
    <t>Actual tp Allocation</t>
  </si>
  <si>
    <t>Curriculum structure notes</t>
  </si>
  <si>
    <t>Subsidy</t>
  </si>
  <si>
    <t>Subsidy as % of total revenue</t>
  </si>
  <si>
    <t>2 classes 9tp Plus 1 teacher role period (not shown) per class</t>
  </si>
  <si>
    <t>Whole school learning support</t>
  </si>
  <si>
    <t>5 tp allocated</t>
  </si>
  <si>
    <t>Whole school intervention</t>
  </si>
  <si>
    <t>2 tp allocated</t>
  </si>
  <si>
    <t>Tp reserve or overuse (-ve)</t>
  </si>
  <si>
    <t>Positive value= timetabling flexibility. Negative level=teacher overspend</t>
  </si>
  <si>
    <t>The deployment analysis below omits the curriculum structure description but has several columns of metrics added.</t>
  </si>
  <si>
    <t>For simplicity it assumes that all teaching is delivered by teachers.</t>
  </si>
  <si>
    <t>Other general metrics are illustrated at the foot of the SUMMARY DATA sheet  and above the deployment section below.</t>
  </si>
  <si>
    <t>The metrics here are examples of some which some schools may find useful. Many more are possible. Some of them are effectively duplicates of each other or offer parallel information but are included for reference.</t>
  </si>
  <si>
    <t>As stated in the text guidance for this workbook it is sugested that schools limit themselves to those metrics which are useful ,necessary and valid in the context of the schools operation.</t>
  </si>
  <si>
    <t>The last two columns in particular have been added to illustrate how easy it is to duplicate information under different titles.</t>
  </si>
  <si>
    <t>One bar chart has been added although it is common to see many types of chart in different schools using this sort of analysis some of which have questionable validity.</t>
  </si>
  <si>
    <t xml:space="preserve">The critical metric is the PTR in relation to the PTR the school can afford. </t>
  </si>
  <si>
    <t>This  alluded to in the AT COST REFERENCING sheet and covered in detail in the article on the fundamental equation.</t>
  </si>
  <si>
    <t>FTE teachers employed</t>
  </si>
  <si>
    <t>Total teaching cost</t>
  </si>
  <si>
    <t>Total revenue expenditure</t>
  </si>
  <si>
    <t>Average teacher cost</t>
  </si>
  <si>
    <t>Total Teacher period allocation</t>
  </si>
  <si>
    <t>Teacher cost of one tp</t>
  </si>
  <si>
    <t>Revenue cost of one tp</t>
  </si>
  <si>
    <t>Overall Average class size</t>
  </si>
  <si>
    <t>Overall pupil to teacher ratio</t>
  </si>
  <si>
    <t>Pupil roll</t>
  </si>
  <si>
    <r>
      <t xml:space="preserve">tp Allocation </t>
    </r>
    <r>
      <rPr>
        <sz val="11"/>
        <color theme="1"/>
        <rFont val="Calibri"/>
        <family val="2"/>
        <scheme val="minor"/>
      </rPr>
      <t>(user input column)</t>
    </r>
  </si>
  <si>
    <t>tp allocation with Whole school areas shared across y1to y6</t>
  </si>
  <si>
    <t>Average Class Size</t>
  </si>
  <si>
    <t>FTE teachers employed in the school</t>
  </si>
  <si>
    <t>Teacher cost</t>
  </si>
  <si>
    <t>Revenue Cost</t>
  </si>
  <si>
    <t>Pupils as % of total roll</t>
  </si>
  <si>
    <t>tp allocation as percentage of total tp allocation</t>
  </si>
  <si>
    <t>Teacher cost as % of total teacher cost</t>
  </si>
  <si>
    <t>Revenue cost as % of total revenue</t>
  </si>
  <si>
    <t>Whole School Areas</t>
  </si>
  <si>
    <t xml:space="preserve">The FTE teacher totals have to be reconciled either by adjustments to this deployment (change tp allocations, change contact ratio by changing teacher loadings) or by financial adjustments on the SUMMARY DATA sheet.
It is suggested that sheets like WHAT IS CONTACT RATIO and/or MODELLING CONTACT are used where any issues concerning contact ratio are being considered. </t>
  </si>
  <si>
    <t>For a full definition of PPA and Management time, readers are strongly recommended to look at the current copy of the School Teachers' Pay and Conditions of Service document (STPCD). There is also a separate document available covering the teaching time allocation for NQT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</si>
</sst>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64" formatCode="&quot;£&quot;#,##0"/>
    <numFmt numFmtId="165" formatCode="0.00_ ;[Red]\-0.00\ "/>
    <numFmt numFmtId="166" formatCode="0.0_ ;[Red]\-0.0\ "/>
    <numFmt numFmtId="167" formatCode="0.0"/>
    <numFmt numFmtId="168" formatCode="#,##0.0"/>
    <numFmt numFmtId="169" formatCode="0.0%"/>
    <numFmt numFmtId="170" formatCode="#,##0.00000"/>
    <numFmt numFmtId="171" formatCode="#,##0.0_ ;[Red]\-#,##0.0\ "/>
    <numFmt numFmtId="172" formatCode="#,##0_ ;[Red]\-#,##0\ "/>
    <numFmt numFmtId="173" formatCode="0.000"/>
    <numFmt numFmtId="174" formatCode="#,##0.000_ ;[Red]\-#,##0.000\ "/>
    <numFmt numFmtId="175" formatCode="#,##0.00_ ;[Red]\-#,##0.00\ "/>
    <numFmt numFmtId="176" formatCode="&quot;£&quot;#,##0.0"/>
    <numFmt numFmtId="177" formatCode="#,##0.000"/>
    <numFmt numFmtId="178" formatCode="0.0000"/>
  </numFmts>
  <fonts count="32" x14ac:knownFonts="1">
    <font>
      <sz val="11"/>
      <color theme="1"/>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
      <b/>
      <sz val="11"/>
      <color theme="0"/>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9"/>
      <color indexed="81"/>
      <name val="Calibri"/>
      <family val="2"/>
    </font>
    <font>
      <sz val="11"/>
      <color rgb="FF000000"/>
      <name val="Calibri"/>
      <family val="2"/>
      <scheme val="minor"/>
    </font>
    <font>
      <sz val="11"/>
      <color rgb="FF0070C0"/>
      <name val="Calibri"/>
      <family val="2"/>
      <scheme val="minor"/>
    </font>
    <font>
      <b/>
      <sz val="11"/>
      <color rgb="FF000000"/>
      <name val="Calibri"/>
      <family val="2"/>
      <scheme val="minor"/>
    </font>
    <font>
      <sz val="11"/>
      <name val="Calibri"/>
      <family val="2"/>
      <scheme val="minor"/>
    </font>
    <font>
      <b/>
      <u/>
      <sz val="11"/>
      <color rgb="FF000000"/>
      <name val="Calibri"/>
      <family val="2"/>
      <scheme val="minor"/>
    </font>
    <font>
      <u/>
      <sz val="11"/>
      <color rgb="FF000000"/>
      <name val="Calibri"/>
      <family val="2"/>
      <scheme val="minor"/>
    </font>
    <font>
      <i/>
      <sz val="11"/>
      <name val="Calibri"/>
      <family val="2"/>
      <scheme val="minor"/>
    </font>
    <font>
      <sz val="11"/>
      <color rgb="FF006DAA"/>
      <name val="Calibri"/>
      <family val="2"/>
      <scheme val="minor"/>
    </font>
    <font>
      <sz val="11"/>
      <color rgb="FFCC0000"/>
      <name val="Calibri"/>
      <family val="2"/>
      <scheme val="minor"/>
    </font>
    <font>
      <b/>
      <sz val="14"/>
      <name val="Calibri"/>
      <family val="2"/>
      <scheme val="minor"/>
    </font>
    <font>
      <b/>
      <sz val="20"/>
      <color rgb="FF0070C0"/>
      <name val="Calibri"/>
      <family val="2"/>
      <scheme val="minor"/>
    </font>
    <font>
      <b/>
      <sz val="20"/>
      <color theme="1"/>
      <name val="Calibri"/>
      <family val="2"/>
      <scheme val="minor"/>
    </font>
    <font>
      <b/>
      <sz val="16"/>
      <name val="Calibri"/>
      <family val="2"/>
      <scheme val="minor"/>
    </font>
    <font>
      <b/>
      <sz val="16"/>
      <color theme="1"/>
      <name val="Calibri"/>
      <family val="2"/>
      <scheme val="minor"/>
    </font>
    <font>
      <b/>
      <sz val="16"/>
      <color rgb="FF0070C0"/>
      <name val="Calibri"/>
      <family val="2"/>
      <scheme val="minor"/>
    </font>
    <font>
      <sz val="11"/>
      <color indexed="8"/>
      <name val="Calibri"/>
      <family val="2"/>
      <scheme val="minor"/>
    </font>
    <font>
      <sz val="11"/>
      <color indexed="30"/>
      <name val="Calibri"/>
      <family val="2"/>
      <scheme val="minor"/>
    </font>
    <font>
      <sz val="11"/>
      <color rgb="FFC00000"/>
      <name val="Calibri"/>
      <family val="2"/>
      <scheme val="minor"/>
    </font>
    <font>
      <u/>
      <sz val="11"/>
      <color rgb="FFC00000"/>
      <name val="Calibri"/>
      <family val="2"/>
      <scheme val="minor"/>
    </font>
    <font>
      <b/>
      <sz val="14"/>
      <color theme="1"/>
      <name val="Calibri"/>
      <family val="2"/>
      <scheme val="minor"/>
    </font>
    <font>
      <sz val="14"/>
      <color theme="1"/>
      <name val="Calibri"/>
      <family val="2"/>
      <scheme val="minor"/>
    </font>
    <font>
      <b/>
      <sz val="14"/>
      <color rgb="FF0070C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441">
    <xf numFmtId="0" fontId="0" fillId="0" borderId="0" xfId="0"/>
    <xf numFmtId="0" fontId="1" fillId="0" borderId="0" xfId="0" applyFont="1"/>
    <xf numFmtId="0" fontId="2" fillId="0" borderId="1" xfId="0" applyFont="1" applyBorder="1" applyProtection="1">
      <protection locked="0"/>
    </xf>
    <xf numFmtId="167" fontId="2" fillId="0" borderId="1" xfId="0" applyNumberFormat="1" applyFont="1" applyBorder="1" applyProtection="1">
      <protection locked="0"/>
    </xf>
    <xf numFmtId="164" fontId="1" fillId="0" borderId="0" xfId="0" applyNumberFormat="1" applyFont="1"/>
    <xf numFmtId="0" fontId="1" fillId="3" borderId="1" xfId="0" applyFont="1" applyFill="1" applyBorder="1"/>
    <xf numFmtId="1" fontId="2" fillId="0" borderId="1" xfId="0" applyNumberFormat="1" applyFont="1" applyBorder="1" applyProtection="1">
      <protection locked="0"/>
    </xf>
    <xf numFmtId="0" fontId="1" fillId="7" borderId="1" xfId="0" applyFont="1" applyFill="1" applyBorder="1"/>
    <xf numFmtId="1" fontId="1" fillId="7" borderId="2" xfId="0" applyNumberFormat="1" applyFont="1" applyFill="1" applyBorder="1"/>
    <xf numFmtId="164" fontId="2" fillId="0" borderId="1" xfId="0" applyNumberFormat="1" applyFont="1" applyBorder="1" applyProtection="1">
      <protection locked="0"/>
    </xf>
    <xf numFmtId="167" fontId="1" fillId="3" borderId="1" xfId="0" applyNumberFormat="1" applyFont="1" applyFill="1" applyBorder="1"/>
    <xf numFmtId="0" fontId="2" fillId="0" borderId="4" xfId="0" applyFont="1" applyBorder="1" applyProtection="1">
      <protection locked="0"/>
    </xf>
    <xf numFmtId="171" fontId="2" fillId="0" borderId="1" xfId="0" applyNumberFormat="1" applyFont="1" applyBorder="1" applyProtection="1">
      <protection locked="0"/>
    </xf>
    <xf numFmtId="6" fontId="2" fillId="0" borderId="1" xfId="0" applyNumberFormat="1" applyFont="1" applyBorder="1" applyProtection="1">
      <protection locked="0"/>
    </xf>
    <xf numFmtId="172" fontId="2" fillId="0" borderId="1" xfId="0" applyNumberFormat="1" applyFont="1" applyBorder="1" applyProtection="1">
      <protection locked="0"/>
    </xf>
    <xf numFmtId="174" fontId="2" fillId="0" borderId="1" xfId="0" applyNumberFormat="1" applyFont="1" applyBorder="1" applyProtection="1">
      <protection locked="0"/>
    </xf>
    <xf numFmtId="0" fontId="1" fillId="0" borderId="0" xfId="0" applyFont="1" applyAlignment="1">
      <alignment wrapText="1"/>
    </xf>
    <xf numFmtId="1" fontId="1" fillId="0" borderId="0" xfId="0" applyNumberFormat="1" applyFont="1"/>
    <xf numFmtId="0" fontId="1" fillId="0" borderId="1" xfId="0" applyFont="1" applyBorder="1"/>
    <xf numFmtId="0" fontId="10" fillId="0" borderId="0" xfId="0" applyFont="1"/>
    <xf numFmtId="0" fontId="12" fillId="0" borderId="0" xfId="0" applyFont="1"/>
    <xf numFmtId="49" fontId="10" fillId="0" borderId="0" xfId="0" applyNumberFormat="1" applyFont="1"/>
    <xf numFmtId="0" fontId="13" fillId="0" borderId="0" xfId="0" applyFont="1"/>
    <xf numFmtId="0" fontId="1" fillId="8" borderId="3" xfId="0" applyFont="1" applyFill="1" applyBorder="1" applyAlignment="1">
      <alignment vertical="center"/>
    </xf>
    <xf numFmtId="0" fontId="1" fillId="8" borderId="8" xfId="0" applyFont="1" applyFill="1" applyBorder="1" applyAlignment="1">
      <alignment vertical="center"/>
    </xf>
    <xf numFmtId="0" fontId="13" fillId="0" borderId="0" xfId="0" applyFont="1" applyAlignment="1">
      <alignment horizontal="left" vertical="center"/>
    </xf>
    <xf numFmtId="0" fontId="3" fillId="5" borderId="12" xfId="0" applyFont="1" applyFill="1" applyBorder="1" applyAlignment="1">
      <alignment vertical="center"/>
    </xf>
    <xf numFmtId="0" fontId="3" fillId="5" borderId="15" xfId="0" applyFont="1" applyFill="1" applyBorder="1" applyAlignment="1">
      <alignment vertical="center"/>
    </xf>
    <xf numFmtId="0" fontId="3" fillId="5" borderId="4" xfId="0" applyFont="1" applyFill="1" applyBorder="1" applyAlignment="1">
      <alignment vertical="center"/>
    </xf>
    <xf numFmtId="0" fontId="3" fillId="5" borderId="12"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4" xfId="0" applyFont="1" applyFill="1" applyBorder="1" applyAlignment="1">
      <alignment horizontal="center" vertical="center"/>
    </xf>
    <xf numFmtId="167" fontId="3" fillId="5" borderId="15" xfId="0" applyNumberFormat="1" applyFont="1" applyFill="1" applyBorder="1" applyAlignment="1">
      <alignment horizontal="center" vertical="center"/>
    </xf>
    <xf numFmtId="167" fontId="3" fillId="2" borderId="12"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2" fontId="3" fillId="5" borderId="12" xfId="0" applyNumberFormat="1" applyFont="1" applyFill="1" applyBorder="1" applyAlignment="1">
      <alignment vertical="center"/>
    </xf>
    <xf numFmtId="2" fontId="3" fillId="5" borderId="4" xfId="0" applyNumberFormat="1" applyFont="1" applyFill="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16" xfId="0" applyFont="1" applyBorder="1"/>
    <xf numFmtId="0" fontId="1" fillId="0" borderId="15" xfId="0" applyFont="1" applyBorder="1"/>
    <xf numFmtId="0" fontId="10" fillId="9" borderId="12" xfId="0" applyFont="1" applyFill="1" applyBorder="1" applyAlignment="1">
      <alignment vertical="top" wrapText="1"/>
    </xf>
    <xf numFmtId="0" fontId="10" fillId="9" borderId="15" xfId="0" applyFont="1" applyFill="1" applyBorder="1" applyAlignment="1">
      <alignment vertical="top" wrapText="1"/>
    </xf>
    <xf numFmtId="0" fontId="12" fillId="9" borderId="15" xfId="0" applyFont="1" applyFill="1" applyBorder="1" applyAlignment="1">
      <alignment vertical="top" wrapText="1"/>
    </xf>
    <xf numFmtId="0" fontId="10" fillId="9" borderId="4" xfId="0" applyFont="1" applyFill="1" applyBorder="1" applyAlignment="1">
      <alignment vertical="top" wrapText="1"/>
    </xf>
    <xf numFmtId="0" fontId="0" fillId="0" borderId="0" xfId="0" applyAlignment="1">
      <alignment wrapText="1"/>
    </xf>
    <xf numFmtId="0" fontId="10" fillId="9" borderId="15" xfId="0" applyFont="1" applyFill="1" applyBorder="1" applyAlignment="1">
      <alignment horizontal="left" vertical="center" wrapText="1"/>
    </xf>
    <xf numFmtId="0" fontId="13" fillId="9" borderId="12" xfId="0" applyFont="1" applyFill="1" applyBorder="1" applyAlignment="1">
      <alignment vertical="center" wrapText="1"/>
    </xf>
    <xf numFmtId="0" fontId="10" fillId="9" borderId="15"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xf>
    <xf numFmtId="0" fontId="1" fillId="0" borderId="0" xfId="0" applyFont="1" applyAlignment="1">
      <alignment horizontal="left"/>
    </xf>
    <xf numFmtId="0" fontId="1" fillId="9" borderId="9" xfId="0" applyFont="1" applyFill="1" applyBorder="1"/>
    <xf numFmtId="0" fontId="1" fillId="9" borderId="0" xfId="0" applyFont="1" applyFill="1"/>
    <xf numFmtId="0" fontId="1" fillId="9" borderId="16" xfId="0" applyFont="1" applyFill="1" applyBorder="1"/>
    <xf numFmtId="0" fontId="0" fillId="9" borderId="9" xfId="0" applyFill="1" applyBorder="1"/>
    <xf numFmtId="0" fontId="4" fillId="9" borderId="11" xfId="0" applyFont="1" applyFill="1" applyBorder="1" applyAlignment="1">
      <alignment horizontal="centerContinuous"/>
    </xf>
    <xf numFmtId="0" fontId="19" fillId="9" borderId="1" xfId="0" applyFont="1" applyFill="1" applyBorder="1" applyAlignment="1">
      <alignment horizontal="center" vertical="center"/>
    </xf>
    <xf numFmtId="0" fontId="3" fillId="9" borderId="1" xfId="0" applyFont="1" applyFill="1" applyBorder="1" applyAlignment="1">
      <alignment wrapText="1"/>
    </xf>
    <xf numFmtId="0" fontId="3" fillId="9" borderId="11" xfId="0" applyFont="1" applyFill="1" applyBorder="1" applyAlignment="1">
      <alignment vertical="center"/>
    </xf>
    <xf numFmtId="0" fontId="1" fillId="8" borderId="6" xfId="0" applyFont="1" applyFill="1" applyBorder="1"/>
    <xf numFmtId="0" fontId="1" fillId="8" borderId="0" xfId="0" applyFont="1" applyFill="1"/>
    <xf numFmtId="0" fontId="0" fillId="7" borderId="1" xfId="0" applyFill="1" applyBorder="1" applyAlignment="1">
      <alignment horizontal="right"/>
    </xf>
    <xf numFmtId="164" fontId="1" fillId="7" borderId="1" xfId="0" applyNumberFormat="1" applyFont="1" applyFill="1" applyBorder="1"/>
    <xf numFmtId="0" fontId="1" fillId="7" borderId="2" xfId="0" applyFont="1" applyFill="1" applyBorder="1"/>
    <xf numFmtId="0" fontId="1" fillId="7" borderId="3" xfId="0" applyFont="1" applyFill="1" applyBorder="1"/>
    <xf numFmtId="0" fontId="1" fillId="7" borderId="8" xfId="0" applyFont="1" applyFill="1" applyBorder="1"/>
    <xf numFmtId="6" fontId="1" fillId="7" borderId="1" xfId="0" applyNumberFormat="1" applyFont="1" applyFill="1" applyBorder="1"/>
    <xf numFmtId="10" fontId="1" fillId="7" borderId="1" xfId="0" applyNumberFormat="1" applyFont="1" applyFill="1" applyBorder="1"/>
    <xf numFmtId="167" fontId="1" fillId="7" borderId="1" xfId="0" applyNumberFormat="1" applyFont="1" applyFill="1" applyBorder="1"/>
    <xf numFmtId="166" fontId="1" fillId="7" borderId="1" xfId="0" applyNumberFormat="1" applyFont="1" applyFill="1" applyBorder="1"/>
    <xf numFmtId="2" fontId="1" fillId="7" borderId="1" xfId="0" applyNumberFormat="1" applyFont="1" applyFill="1" applyBorder="1"/>
    <xf numFmtId="173" fontId="1" fillId="7" borderId="1" xfId="0" applyNumberFormat="1" applyFont="1" applyFill="1" applyBorder="1"/>
    <xf numFmtId="0" fontId="0" fillId="8" borderId="2" xfId="0" applyFill="1" applyBorder="1" applyAlignment="1">
      <alignment vertical="center"/>
    </xf>
    <xf numFmtId="0" fontId="0" fillId="7" borderId="2" xfId="0" applyFill="1" applyBorder="1"/>
    <xf numFmtId="0" fontId="3" fillId="9" borderId="2" xfId="0" applyFont="1" applyFill="1" applyBorder="1" applyAlignment="1">
      <alignment horizontal="centerContinuous"/>
    </xf>
    <xf numFmtId="0" fontId="3" fillId="9" borderId="3" xfId="0" applyFont="1" applyFill="1" applyBorder="1" applyAlignment="1">
      <alignment horizontal="centerContinuous"/>
    </xf>
    <xf numFmtId="0" fontId="3" fillId="9" borderId="8" xfId="0" applyFont="1" applyFill="1" applyBorder="1" applyAlignment="1">
      <alignment horizontal="centerContinuous"/>
    </xf>
    <xf numFmtId="0" fontId="3" fillId="9" borderId="6" xfId="0" applyFont="1" applyFill="1" applyBorder="1" applyAlignment="1">
      <alignment horizontal="centerContinuous" vertical="center"/>
    </xf>
    <xf numFmtId="0" fontId="3" fillId="9" borderId="14" xfId="0" applyFont="1" applyFill="1" applyBorder="1" applyAlignment="1">
      <alignment vertical="center"/>
    </xf>
    <xf numFmtId="0" fontId="0" fillId="7" borderId="1" xfId="0" applyFill="1" applyBorder="1" applyAlignment="1">
      <alignment horizontal="left"/>
    </xf>
    <xf numFmtId="0" fontId="1" fillId="9" borderId="0" xfId="0" applyFont="1" applyFill="1" applyAlignment="1">
      <alignment horizontal="left"/>
    </xf>
    <xf numFmtId="0" fontId="3" fillId="9" borderId="3" xfId="0" applyFont="1" applyFill="1" applyBorder="1" applyAlignment="1">
      <alignment horizontal="left"/>
    </xf>
    <xf numFmtId="0" fontId="0" fillId="8" borderId="2" xfId="0" applyFill="1" applyBorder="1" applyAlignment="1">
      <alignment horizontal="left" vertical="center"/>
    </xf>
    <xf numFmtId="0" fontId="0" fillId="7" borderId="2" xfId="0" applyFill="1" applyBorder="1" applyAlignment="1">
      <alignment horizontal="left"/>
    </xf>
    <xf numFmtId="0" fontId="1" fillId="8" borderId="6" xfId="0" applyFont="1" applyFill="1" applyBorder="1" applyAlignment="1">
      <alignment horizontal="left"/>
    </xf>
    <xf numFmtId="0" fontId="1" fillId="8" borderId="2" xfId="0" applyFont="1" applyFill="1" applyBorder="1" applyAlignment="1">
      <alignment horizontal="left" vertical="center"/>
    </xf>
    <xf numFmtId="0" fontId="3" fillId="9" borderId="1" xfId="0" applyFont="1" applyFill="1" applyBorder="1" applyAlignment="1">
      <alignment horizontal="left" wrapText="1"/>
    </xf>
    <xf numFmtId="167" fontId="1" fillId="7" borderId="1" xfId="0" applyNumberFormat="1" applyFont="1" applyFill="1" applyBorder="1" applyAlignment="1">
      <alignment horizontal="left"/>
    </xf>
    <xf numFmtId="2" fontId="1" fillId="7" borderId="1" xfId="0" applyNumberFormat="1" applyFont="1" applyFill="1" applyBorder="1" applyAlignment="1">
      <alignment horizontal="left"/>
    </xf>
    <xf numFmtId="0" fontId="1" fillId="7" borderId="1" xfId="0" applyFont="1" applyFill="1" applyBorder="1" applyAlignment="1">
      <alignment horizontal="left"/>
    </xf>
    <xf numFmtId="6" fontId="1" fillId="7" borderId="1" xfId="0" applyNumberFormat="1" applyFont="1" applyFill="1" applyBorder="1" applyAlignment="1">
      <alignment horizontal="left"/>
    </xf>
    <xf numFmtId="0" fontId="0" fillId="7" borderId="1" xfId="0" applyFill="1" applyBorder="1"/>
    <xf numFmtId="0" fontId="0" fillId="7" borderId="1" xfId="0" applyFill="1" applyBorder="1" applyAlignment="1">
      <alignment horizontal="right" wrapText="1"/>
    </xf>
    <xf numFmtId="0" fontId="3" fillId="8" borderId="0" xfId="0" applyFont="1" applyFill="1" applyAlignment="1">
      <alignment vertical="center"/>
    </xf>
    <xf numFmtId="0" fontId="0" fillId="8" borderId="9" xfId="0" applyFill="1" applyBorder="1" applyAlignment="1">
      <alignment horizontal="left"/>
    </xf>
    <xf numFmtId="0" fontId="3" fillId="8" borderId="9" xfId="0" applyFont="1" applyFill="1" applyBorder="1" applyAlignment="1">
      <alignment horizontal="centerContinuous" vertical="center"/>
    </xf>
    <xf numFmtId="0" fontId="3" fillId="9" borderId="3" xfId="0" applyFont="1" applyFill="1" applyBorder="1" applyAlignment="1">
      <alignment horizontal="center"/>
    </xf>
    <xf numFmtId="0" fontId="3" fillId="9" borderId="3" xfId="0" applyFont="1" applyFill="1" applyBorder="1" applyAlignment="1">
      <alignment vertical="center"/>
    </xf>
    <xf numFmtId="0" fontId="3" fillId="9" borderId="8" xfId="0" applyFont="1" applyFill="1" applyBorder="1" applyAlignment="1">
      <alignment horizontal="center"/>
    </xf>
    <xf numFmtId="0" fontId="3" fillId="9" borderId="8" xfId="0" applyFont="1" applyFill="1" applyBorder="1" applyAlignment="1">
      <alignment horizontal="left"/>
    </xf>
    <xf numFmtId="0" fontId="3" fillId="9" borderId="13" xfId="0" applyFont="1" applyFill="1" applyBorder="1" applyAlignment="1">
      <alignment horizontal="right" vertical="center"/>
    </xf>
    <xf numFmtId="0" fontId="10" fillId="9" borderId="10" xfId="0" applyFont="1" applyFill="1" applyBorder="1" applyAlignment="1">
      <alignment wrapText="1"/>
    </xf>
    <xf numFmtId="0" fontId="10" fillId="9" borderId="11" xfId="0" applyFont="1" applyFill="1" applyBorder="1" applyAlignment="1">
      <alignment wrapText="1"/>
    </xf>
    <xf numFmtId="0" fontId="10" fillId="9" borderId="14" xfId="0" applyFont="1" applyFill="1" applyBorder="1" applyAlignment="1">
      <alignment wrapText="1"/>
    </xf>
    <xf numFmtId="0" fontId="10" fillId="8" borderId="0" xfId="0" applyFont="1" applyFill="1" applyAlignment="1">
      <alignment horizontal="left" wrapText="1"/>
    </xf>
    <xf numFmtId="0" fontId="10" fillId="8" borderId="0" xfId="0" applyFont="1" applyFill="1" applyAlignment="1">
      <alignment wrapText="1"/>
    </xf>
    <xf numFmtId="0" fontId="1" fillId="0" borderId="11" xfId="0" applyFont="1" applyBorder="1"/>
    <xf numFmtId="176" fontId="1" fillId="0" borderId="11" xfId="0" applyNumberFormat="1" applyFont="1" applyBorder="1"/>
    <xf numFmtId="0" fontId="1" fillId="0" borderId="11" xfId="0" applyFont="1" applyBorder="1" applyAlignment="1">
      <alignment horizontal="left"/>
    </xf>
    <xf numFmtId="0" fontId="10" fillId="8" borderId="9" xfId="0" applyFont="1" applyFill="1" applyBorder="1"/>
    <xf numFmtId="0" fontId="1" fillId="0" borderId="3" xfId="0" applyFont="1" applyBorder="1"/>
    <xf numFmtId="0" fontId="10" fillId="9" borderId="12" xfId="0" applyFont="1" applyFill="1" applyBorder="1" applyAlignment="1">
      <alignment vertical="center" wrapText="1"/>
    </xf>
    <xf numFmtId="0" fontId="10" fillId="9" borderId="4" xfId="0" applyFont="1" applyFill="1" applyBorder="1" applyAlignment="1">
      <alignment vertical="center" wrapText="1"/>
    </xf>
    <xf numFmtId="0" fontId="3" fillId="9" borderId="1" xfId="0" applyFont="1" applyFill="1" applyBorder="1"/>
    <xf numFmtId="0" fontId="3" fillId="9" borderId="1" xfId="0" applyFont="1" applyFill="1" applyBorder="1" applyAlignment="1">
      <alignment horizontal="center"/>
    </xf>
    <xf numFmtId="0" fontId="3" fillId="9" borderId="6" xfId="0" applyFont="1" applyFill="1" applyBorder="1" applyAlignment="1">
      <alignment horizontal="center"/>
    </xf>
    <xf numFmtId="164" fontId="2" fillId="0" borderId="1" xfId="0" applyNumberFormat="1" applyFont="1" applyBorder="1" applyAlignment="1" applyProtection="1">
      <alignment horizontal="center"/>
      <protection locked="0"/>
    </xf>
    <xf numFmtId="166" fontId="2" fillId="0" borderId="1" xfId="0" applyNumberFormat="1" applyFont="1" applyBorder="1" applyAlignment="1" applyProtection="1">
      <alignment horizontal="center"/>
      <protection locked="0"/>
    </xf>
    <xf numFmtId="0" fontId="3" fillId="9" borderId="5" xfId="0" applyFont="1" applyFill="1" applyBorder="1" applyAlignment="1">
      <alignment horizontal="right"/>
    </xf>
    <xf numFmtId="0" fontId="3" fillId="9" borderId="6" xfId="0" applyFont="1" applyFill="1" applyBorder="1" applyAlignment="1">
      <alignment horizontal="right"/>
    </xf>
    <xf numFmtId="0" fontId="3" fillId="9" borderId="0" xfId="0" applyFont="1" applyFill="1" applyAlignment="1">
      <alignment horizontal="center"/>
    </xf>
    <xf numFmtId="1" fontId="20" fillId="0" borderId="12" xfId="0" applyNumberFormat="1" applyFont="1" applyBorder="1" applyAlignment="1" applyProtection="1">
      <alignment horizontal="center"/>
      <protection locked="0"/>
    </xf>
    <xf numFmtId="0" fontId="21" fillId="7" borderId="12" xfId="0" applyFont="1" applyFill="1" applyBorder="1" applyAlignment="1">
      <alignment horizontal="center"/>
    </xf>
    <xf numFmtId="1" fontId="13" fillId="0" borderId="1" xfId="0" applyNumberFormat="1" applyFont="1" applyBorder="1" applyAlignment="1" applyProtection="1">
      <alignment horizontal="center"/>
      <protection locked="0"/>
    </xf>
    <xf numFmtId="0" fontId="13" fillId="8" borderId="1" xfId="0" applyFont="1" applyFill="1" applyBorder="1" applyAlignment="1">
      <alignment horizontal="center"/>
    </xf>
    <xf numFmtId="0" fontId="3" fillId="9" borderId="9" xfId="0" applyFont="1" applyFill="1" applyBorder="1" applyAlignment="1">
      <alignment horizontal="right" vertical="center"/>
    </xf>
    <xf numFmtId="0" fontId="3" fillId="9" borderId="5" xfId="0" applyFont="1" applyFill="1" applyBorder="1" applyAlignment="1">
      <alignment horizontal="right" vertical="center"/>
    </xf>
    <xf numFmtId="1" fontId="2" fillId="0" borderId="1" xfId="0" applyNumberFormat="1" applyFont="1" applyBorder="1" applyAlignment="1" applyProtection="1">
      <alignment horizontal="center" vertical="center"/>
      <protection locked="0"/>
    </xf>
    <xf numFmtId="1" fontId="13" fillId="0" borderId="1" xfId="0" applyNumberFormat="1" applyFont="1" applyBorder="1" applyAlignment="1" applyProtection="1">
      <alignment horizontal="center" vertical="center"/>
      <protection locked="0"/>
    </xf>
    <xf numFmtId="0" fontId="1" fillId="0" borderId="0" xfId="0" applyFont="1" applyAlignment="1">
      <alignment vertical="center"/>
    </xf>
    <xf numFmtId="164" fontId="1" fillId="0" borderId="0" xfId="0" applyNumberFormat="1" applyFont="1" applyAlignment="1">
      <alignment vertical="center"/>
    </xf>
    <xf numFmtId="167"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0" fontId="13" fillId="8" borderId="1" xfId="0" applyFont="1" applyFill="1" applyBorder="1" applyAlignment="1">
      <alignment horizontal="center" vertical="center"/>
    </xf>
    <xf numFmtId="0" fontId="1" fillId="7" borderId="12" xfId="0" applyFont="1" applyFill="1" applyBorder="1" applyAlignment="1">
      <alignment horizontal="right" vertical="center"/>
    </xf>
    <xf numFmtId="0" fontId="3" fillId="9" borderId="2" xfId="0" applyFont="1" applyFill="1" applyBorder="1" applyAlignment="1">
      <alignment horizontal="right" vertical="center"/>
    </xf>
    <xf numFmtId="0" fontId="3" fillId="9" borderId="8" xfId="0" applyFont="1" applyFill="1" applyBorder="1" applyAlignment="1">
      <alignment horizontal="right"/>
    </xf>
    <xf numFmtId="0" fontId="13" fillId="9" borderId="12" xfId="0" applyFont="1" applyFill="1" applyBorder="1" applyAlignment="1">
      <alignment horizontal="left"/>
    </xf>
    <xf numFmtId="0" fontId="1" fillId="9" borderId="12" xfId="0" applyFont="1" applyFill="1" applyBorder="1" applyAlignment="1">
      <alignment horizontal="center"/>
    </xf>
    <xf numFmtId="0" fontId="13" fillId="9" borderId="4" xfId="0" applyFont="1" applyFill="1" applyBorder="1" applyAlignment="1">
      <alignment horizontal="left"/>
    </xf>
    <xf numFmtId="0" fontId="1" fillId="9" borderId="4" xfId="0" applyFont="1" applyFill="1" applyBorder="1" applyAlignment="1">
      <alignment horizontal="center"/>
    </xf>
    <xf numFmtId="0" fontId="1" fillId="8" borderId="9" xfId="0" applyFont="1" applyFill="1" applyBorder="1" applyAlignment="1">
      <alignment horizontal="center"/>
    </xf>
    <xf numFmtId="0" fontId="1" fillId="8" borderId="0" xfId="0" applyFont="1" applyFill="1" applyAlignment="1">
      <alignment horizontal="centerContinuous" wrapText="1"/>
    </xf>
    <xf numFmtId="0" fontId="13" fillId="9" borderId="5" xfId="0" applyFont="1" applyFill="1" applyBorder="1" applyAlignment="1">
      <alignment horizontal="left"/>
    </xf>
    <xf numFmtId="0" fontId="4" fillId="9" borderId="6" xfId="0" applyFont="1" applyFill="1" applyBorder="1" applyAlignment="1">
      <alignment horizontal="centerContinuous"/>
    </xf>
    <xf numFmtId="0" fontId="4" fillId="9" borderId="13" xfId="0" applyFont="1" applyFill="1" applyBorder="1" applyAlignment="1">
      <alignment horizontal="centerContinuous"/>
    </xf>
    <xf numFmtId="0" fontId="13" fillId="9" borderId="10" xfId="0" applyFont="1" applyFill="1" applyBorder="1" applyAlignment="1">
      <alignment horizontal="left"/>
    </xf>
    <xf numFmtId="0" fontId="4" fillId="9" borderId="14" xfId="0" applyFont="1" applyFill="1" applyBorder="1" applyAlignment="1">
      <alignment horizontal="centerContinuous"/>
    </xf>
    <xf numFmtId="0" fontId="22" fillId="9" borderId="11" xfId="0" applyFont="1" applyFill="1" applyBorder="1" applyAlignment="1">
      <alignment horizontal="centerContinuous" vertical="center"/>
    </xf>
    <xf numFmtId="0" fontId="4" fillId="9" borderId="11" xfId="0" applyFont="1" applyFill="1" applyBorder="1" applyAlignment="1">
      <alignment horizontal="centerContinuous" vertical="center"/>
    </xf>
    <xf numFmtId="0" fontId="24" fillId="0" borderId="1" xfId="0" applyFont="1" applyBorder="1" applyAlignment="1" applyProtection="1">
      <alignment horizontal="center" vertical="center"/>
      <protection locked="0"/>
    </xf>
    <xf numFmtId="0" fontId="1" fillId="9" borderId="1" xfId="0" applyFont="1" applyFill="1" applyBorder="1"/>
    <xf numFmtId="0" fontId="1" fillId="9" borderId="1" xfId="0" applyFont="1" applyFill="1" applyBorder="1" applyAlignment="1">
      <alignment horizontal="center" vertical="center" wrapText="1"/>
    </xf>
    <xf numFmtId="0" fontId="0" fillId="9" borderId="5" xfId="0" applyFill="1" applyBorder="1" applyAlignment="1">
      <alignment horizontal="centerContinuous" vertical="center" wrapText="1"/>
    </xf>
    <xf numFmtId="0" fontId="0" fillId="9" borderId="6" xfId="0" applyFill="1" applyBorder="1" applyAlignment="1">
      <alignment horizontal="centerContinuous" vertical="center" wrapText="1"/>
    </xf>
    <xf numFmtId="0" fontId="0" fillId="9" borderId="13" xfId="0" applyFill="1" applyBorder="1" applyAlignment="1">
      <alignment horizontal="centerContinuous" vertical="center" wrapText="1"/>
    </xf>
    <xf numFmtId="0" fontId="0" fillId="9" borderId="10" xfId="0" applyFill="1" applyBorder="1" applyAlignment="1">
      <alignment horizontal="centerContinuous" vertical="center" wrapText="1"/>
    </xf>
    <xf numFmtId="0" fontId="0" fillId="9" borderId="11" xfId="0" applyFill="1" applyBorder="1" applyAlignment="1">
      <alignment horizontal="centerContinuous" vertical="center" wrapText="1"/>
    </xf>
    <xf numFmtId="0" fontId="0" fillId="9" borderId="14" xfId="0" applyFill="1" applyBorder="1" applyAlignment="1">
      <alignment horizontal="centerContinuous" vertical="center" wrapText="1"/>
    </xf>
    <xf numFmtId="0" fontId="25" fillId="9" borderId="5" xfId="0" applyFont="1" applyFill="1" applyBorder="1" applyAlignment="1">
      <alignment horizontal="centerContinuous" vertical="center" wrapText="1"/>
    </xf>
    <xf numFmtId="0" fontId="25" fillId="9" borderId="6" xfId="0" applyFont="1" applyFill="1" applyBorder="1" applyAlignment="1">
      <alignment horizontal="centerContinuous" vertical="center" wrapText="1"/>
    </xf>
    <xf numFmtId="0" fontId="25" fillId="9" borderId="13" xfId="0" applyFont="1" applyFill="1" applyBorder="1" applyAlignment="1">
      <alignment horizontal="centerContinuous" vertical="center" wrapText="1"/>
    </xf>
    <xf numFmtId="0" fontId="25" fillId="9" borderId="10" xfId="0" applyFont="1" applyFill="1" applyBorder="1" applyAlignment="1">
      <alignment vertical="center" wrapText="1"/>
    </xf>
    <xf numFmtId="0" fontId="25" fillId="9" borderId="11" xfId="0" applyFont="1" applyFill="1" applyBorder="1" applyAlignment="1">
      <alignment vertical="center" wrapText="1"/>
    </xf>
    <xf numFmtId="0" fontId="25" fillId="9" borderId="14" xfId="0" applyFont="1" applyFill="1" applyBorder="1" applyAlignment="1">
      <alignment vertical="center" wrapText="1"/>
    </xf>
    <xf numFmtId="0" fontId="25" fillId="9" borderId="10" xfId="0" applyFont="1" applyFill="1" applyBorder="1" applyAlignment="1">
      <alignment horizontal="centerContinuous" vertical="center" wrapText="1"/>
    </xf>
    <xf numFmtId="0" fontId="25" fillId="9" borderId="11" xfId="0" applyFont="1" applyFill="1" applyBorder="1" applyAlignment="1">
      <alignment horizontal="centerContinuous" vertical="center" wrapText="1"/>
    </xf>
    <xf numFmtId="0" fontId="25" fillId="9" borderId="14" xfId="0" applyFont="1" applyFill="1" applyBorder="1" applyAlignment="1">
      <alignment horizontal="centerContinuous" vertical="center" wrapText="1"/>
    </xf>
    <xf numFmtId="0" fontId="1" fillId="9" borderId="1" xfId="0" applyFont="1" applyFill="1" applyBorder="1" applyAlignment="1">
      <alignment horizontal="center" wrapText="1"/>
    </xf>
    <xf numFmtId="0" fontId="2" fillId="0" borderId="1" xfId="0" applyFont="1" applyBorder="1" applyAlignment="1" applyProtection="1">
      <alignment horizontal="center"/>
      <protection locked="0"/>
    </xf>
    <xf numFmtId="0" fontId="11" fillId="0" borderId="1" xfId="0" applyFont="1" applyBorder="1" applyProtection="1">
      <protection locked="0"/>
    </xf>
    <xf numFmtId="0" fontId="26" fillId="0" borderId="1" xfId="0" applyFont="1" applyBorder="1" applyProtection="1">
      <protection locked="0"/>
    </xf>
    <xf numFmtId="0" fontId="1" fillId="9" borderId="2" xfId="0" applyFont="1" applyFill="1" applyBorder="1" applyAlignment="1">
      <alignment horizontal="centerContinuous"/>
    </xf>
    <xf numFmtId="0" fontId="1" fillId="9" borderId="3" xfId="0" applyFont="1" applyFill="1" applyBorder="1" applyAlignment="1">
      <alignment horizontal="centerContinuous"/>
    </xf>
    <xf numFmtId="0" fontId="1" fillId="9" borderId="8" xfId="0" applyFont="1" applyFill="1" applyBorder="1" applyAlignment="1">
      <alignment horizontal="centerContinuous"/>
    </xf>
    <xf numFmtId="0" fontId="1" fillId="9" borderId="11" xfId="0" applyFont="1" applyFill="1" applyBorder="1" applyAlignment="1">
      <alignment horizontal="centerContinuous"/>
    </xf>
    <xf numFmtId="0" fontId="1" fillId="9" borderId="5" xfId="0" applyFont="1" applyFill="1" applyBorder="1" applyAlignment="1">
      <alignment horizontal="centerContinuous"/>
    </xf>
    <xf numFmtId="0" fontId="1" fillId="9" borderId="6" xfId="0" applyFont="1" applyFill="1" applyBorder="1" applyAlignment="1">
      <alignment horizontal="centerContinuous"/>
    </xf>
    <xf numFmtId="1" fontId="1" fillId="7" borderId="1" xfId="0" applyNumberFormat="1" applyFont="1" applyFill="1" applyBorder="1" applyAlignment="1">
      <alignment horizontal="center"/>
    </xf>
    <xf numFmtId="0" fontId="25" fillId="7" borderId="1" xfId="0" applyFont="1" applyFill="1" applyBorder="1" applyAlignment="1">
      <alignment horizontal="right"/>
    </xf>
    <xf numFmtId="0" fontId="1" fillId="7" borderId="11" xfId="0" applyFont="1" applyFill="1" applyBorder="1"/>
    <xf numFmtId="0" fontId="2" fillId="8" borderId="6" xfId="0" applyFont="1" applyFill="1" applyBorder="1" applyProtection="1">
      <protection locked="0"/>
    </xf>
    <xf numFmtId="0" fontId="11" fillId="8" borderId="6" xfId="0" applyFont="1" applyFill="1" applyBorder="1" applyProtection="1">
      <protection locked="0"/>
    </xf>
    <xf numFmtId="0" fontId="1" fillId="8" borderId="11" xfId="0" applyFont="1" applyFill="1" applyBorder="1"/>
    <xf numFmtId="0" fontId="2" fillId="8" borderId="11" xfId="0" applyFont="1" applyFill="1" applyBorder="1" applyProtection="1">
      <protection locked="0"/>
    </xf>
    <xf numFmtId="0" fontId="26" fillId="8" borderId="6" xfId="0" applyFont="1" applyFill="1" applyBorder="1" applyProtection="1">
      <protection locked="0"/>
    </xf>
    <xf numFmtId="0" fontId="1" fillId="9" borderId="1" xfId="0" applyFont="1" applyFill="1" applyBorder="1" applyAlignment="1">
      <alignment horizontal="centerContinuous"/>
    </xf>
    <xf numFmtId="178" fontId="1" fillId="7" borderId="1" xfId="0" applyNumberFormat="1" applyFont="1" applyFill="1" applyBorder="1"/>
    <xf numFmtId="2" fontId="1" fillId="7" borderId="5" xfId="0" applyNumberFormat="1" applyFont="1" applyFill="1" applyBorder="1"/>
    <xf numFmtId="167" fontId="1" fillId="7" borderId="5" xfId="0" applyNumberFormat="1" applyFont="1" applyFill="1" applyBorder="1"/>
    <xf numFmtId="2" fontId="1" fillId="7" borderId="4" xfId="0" applyNumberFormat="1" applyFont="1" applyFill="1" applyBorder="1"/>
    <xf numFmtId="2" fontId="1" fillId="7" borderId="3" xfId="0" applyNumberFormat="1" applyFont="1" applyFill="1" applyBorder="1"/>
    <xf numFmtId="2" fontId="25" fillId="7" borderId="2" xfId="0" applyNumberFormat="1" applyFont="1" applyFill="1" applyBorder="1"/>
    <xf numFmtId="2" fontId="25" fillId="7" borderId="3" xfId="0" applyNumberFormat="1" applyFont="1" applyFill="1" applyBorder="1"/>
    <xf numFmtId="0" fontId="1" fillId="7" borderId="14" xfId="0" applyFont="1" applyFill="1" applyBorder="1"/>
    <xf numFmtId="2" fontId="0" fillId="7" borderId="2" xfId="0" applyNumberFormat="1" applyFill="1" applyBorder="1"/>
    <xf numFmtId="2" fontId="0" fillId="7" borderId="3" xfId="0" applyNumberFormat="1" applyFill="1" applyBorder="1"/>
    <xf numFmtId="0" fontId="26" fillId="8" borderId="0" xfId="0" applyFont="1" applyFill="1" applyProtection="1">
      <protection locked="0"/>
    </xf>
    <xf numFmtId="0" fontId="1" fillId="0" borderId="9" xfId="0" applyFont="1" applyBorder="1" applyAlignment="1">
      <alignment horizontal="centerContinuous"/>
    </xf>
    <xf numFmtId="0" fontId="1" fillId="9" borderId="8" xfId="0" applyFont="1" applyFill="1" applyBorder="1" applyAlignment="1">
      <alignment horizontal="centerContinuous" vertical="center"/>
    </xf>
    <xf numFmtId="0" fontId="1" fillId="9" borderId="13" xfId="0" applyFont="1" applyFill="1" applyBorder="1" applyAlignment="1">
      <alignment horizontal="left" vertical="center"/>
    </xf>
    <xf numFmtId="0" fontId="1" fillId="8" borderId="3" xfId="0" applyFont="1" applyFill="1" applyBorder="1"/>
    <xf numFmtId="0" fontId="1" fillId="9" borderId="6" xfId="0" applyFont="1" applyFill="1" applyBorder="1"/>
    <xf numFmtId="0" fontId="1" fillId="9" borderId="13" xfId="0" applyFont="1" applyFill="1" applyBorder="1"/>
    <xf numFmtId="0" fontId="1" fillId="9" borderId="3" xfId="0" applyFont="1" applyFill="1" applyBorder="1"/>
    <xf numFmtId="0" fontId="1" fillId="9" borderId="8" xfId="0" applyFont="1" applyFill="1" applyBorder="1"/>
    <xf numFmtId="0" fontId="0" fillId="0" borderId="0" xfId="0" applyAlignment="1">
      <alignment horizontal="left"/>
    </xf>
    <xf numFmtId="0" fontId="25" fillId="0" borderId="0" xfId="0" applyFont="1" applyAlignment="1">
      <alignment horizontal="left"/>
    </xf>
    <xf numFmtId="0" fontId="25" fillId="0" borderId="5" xfId="0" applyFont="1" applyBorder="1"/>
    <xf numFmtId="0" fontId="25" fillId="0" borderId="6" xfId="0" applyFont="1" applyBorder="1"/>
    <xf numFmtId="0" fontId="1" fillId="0" borderId="6" xfId="0" applyFont="1" applyBorder="1"/>
    <xf numFmtId="0" fontId="25" fillId="0" borderId="9" xfId="0" applyFont="1" applyBorder="1"/>
    <xf numFmtId="0" fontId="25" fillId="0" borderId="0" xfId="0" applyFont="1"/>
    <xf numFmtId="0" fontId="25" fillId="8" borderId="0" xfId="0" applyFont="1" applyFill="1"/>
    <xf numFmtId="0" fontId="1" fillId="7" borderId="12"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15" xfId="0" applyFont="1" applyFill="1" applyBorder="1" applyAlignment="1">
      <alignment horizontal="centerContinuous" vertical="center" wrapText="1"/>
    </xf>
    <xf numFmtId="0" fontId="1" fillId="7" borderId="4" xfId="0" applyFont="1" applyFill="1" applyBorder="1" applyAlignment="1">
      <alignment horizontal="centerContinuous" vertical="center" wrapText="1"/>
    </xf>
    <xf numFmtId="2" fontId="22" fillId="5" borderId="15" xfId="0" applyNumberFormat="1" applyFont="1" applyFill="1" applyBorder="1" applyAlignment="1">
      <alignment vertical="center"/>
    </xf>
    <xf numFmtId="167" fontId="22" fillId="2" borderId="15" xfId="0" applyNumberFormat="1" applyFont="1" applyFill="1" applyBorder="1" applyAlignment="1">
      <alignment horizontal="center" vertical="center"/>
    </xf>
    <xf numFmtId="167" fontId="22" fillId="5" borderId="4" xfId="0" applyNumberFormat="1" applyFont="1" applyFill="1" applyBorder="1" applyAlignment="1">
      <alignment vertical="center"/>
    </xf>
    <xf numFmtId="0" fontId="1" fillId="7" borderId="12" xfId="0" applyFont="1" applyFill="1" applyBorder="1" applyAlignment="1">
      <alignment horizontal="centerContinuous" vertical="center" wrapText="1"/>
    </xf>
    <xf numFmtId="0" fontId="1" fillId="7" borderId="1" xfId="0" applyFont="1" applyFill="1" applyBorder="1" applyAlignment="1">
      <alignment horizontal="center"/>
    </xf>
    <xf numFmtId="0" fontId="0" fillId="7" borderId="1" xfId="0" applyFill="1" applyBorder="1" applyAlignment="1">
      <alignment horizontal="center"/>
    </xf>
    <xf numFmtId="0" fontId="1" fillId="7" borderId="1" xfId="0" applyFont="1" applyFill="1" applyBorder="1" applyAlignment="1">
      <alignment horizontal="right"/>
    </xf>
    <xf numFmtId="0" fontId="0" fillId="7" borderId="8" xfId="0" applyFill="1" applyBorder="1" applyAlignment="1">
      <alignment horizontal="left"/>
    </xf>
    <xf numFmtId="0" fontId="0" fillId="7" borderId="4" xfId="0" applyFill="1" applyBorder="1" applyAlignment="1">
      <alignment horizontal="left"/>
    </xf>
    <xf numFmtId="0" fontId="0" fillId="7" borderId="10" xfId="0" applyFill="1" applyBorder="1" applyAlignment="1">
      <alignment horizontal="left"/>
    </xf>
    <xf numFmtId="1" fontId="23" fillId="7" borderId="1" xfId="0" applyNumberFormat="1" applyFont="1" applyFill="1" applyBorder="1" applyAlignment="1">
      <alignment horizontal="center" vertical="center"/>
    </xf>
    <xf numFmtId="0" fontId="1" fillId="7" borderId="1" xfId="0" applyFont="1" applyFill="1" applyBorder="1" applyAlignment="1">
      <alignment horizontal="right" wrapText="1"/>
    </xf>
    <xf numFmtId="0" fontId="1" fillId="0" borderId="9" xfId="0" applyFont="1" applyBorder="1"/>
    <xf numFmtId="0" fontId="0" fillId="7" borderId="1" xfId="0" applyFill="1" applyBorder="1" applyAlignment="1">
      <alignment horizontal="right" vertical="center"/>
    </xf>
    <xf numFmtId="0" fontId="3" fillId="7" borderId="1" xfId="0" applyFont="1" applyFill="1" applyBorder="1" applyAlignment="1">
      <alignment horizontal="center" vertical="center"/>
    </xf>
    <xf numFmtId="0" fontId="13" fillId="7" borderId="1" xfId="0" applyFont="1" applyFill="1" applyBorder="1" applyAlignment="1">
      <alignment horizontal="center" vertical="center"/>
    </xf>
    <xf numFmtId="167" fontId="1" fillId="7" borderId="1" xfId="0" applyNumberFormat="1" applyFont="1" applyFill="1" applyBorder="1" applyAlignment="1">
      <alignment horizontal="center" vertical="center"/>
    </xf>
    <xf numFmtId="0" fontId="1" fillId="7" borderId="1" xfId="0" applyFont="1" applyFill="1" applyBorder="1" applyAlignment="1">
      <alignment horizontal="center" vertical="center"/>
    </xf>
    <xf numFmtId="173" fontId="1" fillId="7" borderId="1" xfId="0" applyNumberFormat="1" applyFont="1" applyFill="1" applyBorder="1" applyAlignment="1">
      <alignment horizontal="center" vertical="center"/>
    </xf>
    <xf numFmtId="1" fontId="1" fillId="7" borderId="1" xfId="0" applyNumberFormat="1" applyFont="1" applyFill="1" applyBorder="1" applyAlignment="1">
      <alignment horizontal="center" vertical="center"/>
    </xf>
    <xf numFmtId="2" fontId="1" fillId="7" borderId="1" xfId="0" applyNumberFormat="1" applyFont="1" applyFill="1" applyBorder="1" applyAlignment="1">
      <alignment horizontal="center" vertical="center"/>
    </xf>
    <xf numFmtId="0" fontId="0" fillId="7" borderId="5" xfId="0" applyFill="1" applyBorder="1" applyAlignment="1">
      <alignment horizontal="right" vertical="center"/>
    </xf>
    <xf numFmtId="0" fontId="0" fillId="7" borderId="3" xfId="0" applyFill="1" applyBorder="1" applyAlignment="1">
      <alignment horizontal="right" vertical="center"/>
    </xf>
    <xf numFmtId="0" fontId="0" fillId="7" borderId="7" xfId="0" applyFill="1" applyBorder="1" applyAlignment="1">
      <alignment horizontal="right" vertical="center"/>
    </xf>
    <xf numFmtId="164" fontId="1" fillId="7" borderId="1" xfId="0" applyNumberFormat="1" applyFont="1" applyFill="1" applyBorder="1" applyAlignment="1">
      <alignment horizontal="center" vertical="center"/>
    </xf>
    <xf numFmtId="164" fontId="1" fillId="7" borderId="1" xfId="0" applyNumberFormat="1" applyFont="1" applyFill="1" applyBorder="1" applyAlignment="1">
      <alignment horizontal="center"/>
    </xf>
    <xf numFmtId="0" fontId="13" fillId="7" borderId="1" xfId="0" applyFont="1" applyFill="1" applyBorder="1" applyAlignment="1">
      <alignment horizontal="center"/>
    </xf>
    <xf numFmtId="6" fontId="1" fillId="7" borderId="1" xfId="0" applyNumberFormat="1" applyFont="1" applyFill="1" applyBorder="1" applyAlignment="1">
      <alignment horizontal="center"/>
    </xf>
    <xf numFmtId="6" fontId="3" fillId="7" borderId="1" xfId="0" applyNumberFormat="1" applyFont="1" applyFill="1" applyBorder="1" applyAlignment="1">
      <alignment horizontal="center"/>
    </xf>
    <xf numFmtId="0" fontId="13" fillId="9" borderId="6" xfId="0" applyFont="1" applyFill="1" applyBorder="1" applyAlignment="1">
      <alignment horizontal="center"/>
    </xf>
    <xf numFmtId="10" fontId="1" fillId="7" borderId="1" xfId="0" applyNumberFormat="1" applyFont="1" applyFill="1" applyBorder="1" applyAlignment="1">
      <alignment horizontal="center"/>
    </xf>
    <xf numFmtId="165" fontId="1" fillId="7" borderId="1" xfId="0" applyNumberFormat="1" applyFont="1" applyFill="1" applyBorder="1" applyAlignment="1">
      <alignment horizontal="center"/>
    </xf>
    <xf numFmtId="170" fontId="1" fillId="7" borderId="1" xfId="0" applyNumberFormat="1" applyFont="1" applyFill="1" applyBorder="1" applyAlignment="1">
      <alignment horizontal="center"/>
    </xf>
    <xf numFmtId="177" fontId="1" fillId="7" borderId="1" xfId="0" applyNumberFormat="1" applyFont="1" applyFill="1" applyBorder="1" applyAlignment="1">
      <alignment horizontal="center"/>
    </xf>
    <xf numFmtId="4" fontId="1" fillId="7" borderId="1" xfId="0" applyNumberFormat="1" applyFont="1" applyFill="1" applyBorder="1" applyAlignment="1">
      <alignment horizontal="center"/>
    </xf>
    <xf numFmtId="9" fontId="1" fillId="7" borderId="1" xfId="0" applyNumberFormat="1" applyFont="1" applyFill="1" applyBorder="1" applyAlignment="1">
      <alignment horizontal="center"/>
    </xf>
    <xf numFmtId="169" fontId="1" fillId="7" borderId="1" xfId="0" applyNumberFormat="1" applyFont="1" applyFill="1" applyBorder="1" applyAlignment="1">
      <alignment horizontal="center"/>
    </xf>
    <xf numFmtId="168" fontId="1" fillId="7" borderId="1" xfId="0" applyNumberFormat="1" applyFont="1" applyFill="1" applyBorder="1" applyAlignment="1">
      <alignment horizontal="center"/>
    </xf>
    <xf numFmtId="167" fontId="1" fillId="7" borderId="1" xfId="0" applyNumberFormat="1" applyFont="1" applyFill="1" applyBorder="1" applyAlignment="1">
      <alignment horizontal="center"/>
    </xf>
    <xf numFmtId="0" fontId="0" fillId="7" borderId="12" xfId="0" applyFill="1" applyBorder="1" applyAlignment="1">
      <alignment horizontal="right"/>
    </xf>
    <xf numFmtId="167" fontId="1" fillId="7" borderId="12" xfId="0" applyNumberFormat="1" applyFont="1" applyFill="1" applyBorder="1" applyAlignment="1">
      <alignment horizontal="center"/>
    </xf>
    <xf numFmtId="0" fontId="1" fillId="9" borderId="1" xfId="0" applyFont="1" applyFill="1" applyBorder="1" applyAlignment="1">
      <alignment horizontal="center" vertical="center"/>
    </xf>
    <xf numFmtId="0" fontId="1" fillId="9" borderId="12" xfId="0" applyFont="1" applyFill="1" applyBorder="1" applyAlignment="1">
      <alignment vertical="center"/>
    </xf>
    <xf numFmtId="0" fontId="1" fillId="9" borderId="12" xfId="0" applyFont="1" applyFill="1" applyBorder="1" applyAlignment="1">
      <alignment horizontal="center" vertical="center"/>
    </xf>
    <xf numFmtId="0" fontId="1" fillId="9" borderId="12" xfId="0" applyFont="1" applyFill="1" applyBorder="1" applyAlignment="1">
      <alignment horizontal="center" vertical="center" wrapText="1"/>
    </xf>
    <xf numFmtId="0" fontId="1" fillId="9" borderId="2" xfId="0" applyFont="1" applyFill="1" applyBorder="1" applyAlignment="1">
      <alignment horizontal="centerContinuous" vertical="center"/>
    </xf>
    <xf numFmtId="0" fontId="1" fillId="9" borderId="3" xfId="0" applyFont="1" applyFill="1" applyBorder="1" applyAlignment="1">
      <alignment horizontal="centerContinuous" vertical="center"/>
    </xf>
    <xf numFmtId="0" fontId="13" fillId="9" borderId="9" xfId="0" applyFont="1" applyFill="1" applyBorder="1" applyAlignment="1">
      <alignment horizontal="left" vertical="center"/>
    </xf>
    <xf numFmtId="0" fontId="13" fillId="9" borderId="9" xfId="0" applyFont="1" applyFill="1" applyBorder="1"/>
    <xf numFmtId="0" fontId="1" fillId="7" borderId="1" xfId="0" applyFont="1" applyFill="1" applyBorder="1" applyAlignment="1">
      <alignment wrapText="1"/>
    </xf>
    <xf numFmtId="0" fontId="1" fillId="7" borderId="4" xfId="0" applyFont="1" applyFill="1" applyBorder="1"/>
    <xf numFmtId="169" fontId="1" fillId="7" borderId="1" xfId="0" applyNumberFormat="1" applyFont="1" applyFill="1" applyBorder="1"/>
    <xf numFmtId="0" fontId="13" fillId="9" borderId="5" xfId="0" applyFont="1" applyFill="1" applyBorder="1" applyAlignment="1">
      <alignment horizontal="left" vertical="center"/>
    </xf>
    <xf numFmtId="0" fontId="0" fillId="9" borderId="10" xfId="0" applyFill="1" applyBorder="1"/>
    <xf numFmtId="0" fontId="1" fillId="9" borderId="11" xfId="0" applyFont="1" applyFill="1" applyBorder="1"/>
    <xf numFmtId="0" fontId="1" fillId="9" borderId="14" xfId="0" applyFont="1" applyFill="1" applyBorder="1"/>
    <xf numFmtId="0" fontId="13" fillId="9" borderId="5" xfId="0" applyFont="1" applyFill="1" applyBorder="1"/>
    <xf numFmtId="0" fontId="10" fillId="9" borderId="9" xfId="0" applyFont="1" applyFill="1" applyBorder="1"/>
    <xf numFmtId="0" fontId="10" fillId="9" borderId="10" xfId="0" applyFont="1" applyFill="1" applyBorder="1"/>
    <xf numFmtId="0" fontId="1" fillId="9" borderId="1" xfId="0" applyFont="1" applyFill="1" applyBorder="1" applyAlignment="1">
      <alignment wrapText="1"/>
    </xf>
    <xf numFmtId="0" fontId="1" fillId="9" borderId="2" xfId="0" applyFont="1" applyFill="1" applyBorder="1" applyAlignment="1">
      <alignment horizontal="center" vertical="center" wrapText="1"/>
    </xf>
    <xf numFmtId="0" fontId="1" fillId="9" borderId="18" xfId="0" applyFont="1" applyFill="1" applyBorder="1" applyAlignment="1">
      <alignment horizontal="centerContinuous"/>
    </xf>
    <xf numFmtId="0" fontId="1" fillId="9" borderId="19" xfId="0" applyFont="1" applyFill="1" applyBorder="1" applyAlignment="1">
      <alignment horizontal="centerContinuous"/>
    </xf>
    <xf numFmtId="0" fontId="1" fillId="9" borderId="20" xfId="0" applyFont="1" applyFill="1" applyBorder="1" applyAlignment="1">
      <alignment horizontal="centerContinuous"/>
    </xf>
    <xf numFmtId="0" fontId="1" fillId="9" borderId="2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7" borderId="21" xfId="0" applyFont="1" applyFill="1" applyBorder="1"/>
    <xf numFmtId="0" fontId="1" fillId="7" borderId="22" xfId="0" applyFont="1" applyFill="1" applyBorder="1"/>
    <xf numFmtId="0" fontId="1" fillId="9" borderId="22" xfId="0" applyFont="1" applyFill="1" applyBorder="1" applyAlignment="1">
      <alignment horizontal="center" vertical="center"/>
    </xf>
    <xf numFmtId="1" fontId="3" fillId="7" borderId="21" xfId="0" applyNumberFormat="1" applyFont="1" applyFill="1" applyBorder="1"/>
    <xf numFmtId="0" fontId="1" fillId="9" borderId="21" xfId="0" applyFont="1" applyFill="1" applyBorder="1" applyAlignment="1">
      <alignment horizontal="center" vertical="center"/>
    </xf>
    <xf numFmtId="1" fontId="2" fillId="0" borderId="21" xfId="0" applyNumberFormat="1" applyFont="1" applyBorder="1" applyProtection="1">
      <protection locked="0"/>
    </xf>
    <xf numFmtId="1" fontId="2" fillId="0" borderId="22" xfId="0" applyNumberFormat="1" applyFont="1" applyBorder="1" applyProtection="1">
      <protection locked="0"/>
    </xf>
    <xf numFmtId="0" fontId="1" fillId="9" borderId="26" xfId="0" applyFont="1" applyFill="1" applyBorder="1" applyAlignment="1">
      <alignment horizontal="centerContinuous"/>
    </xf>
    <xf numFmtId="0" fontId="1" fillId="9" borderId="8" xfId="0" applyFont="1" applyFill="1" applyBorder="1" applyAlignment="1">
      <alignment horizontal="center" vertical="center"/>
    </xf>
    <xf numFmtId="1" fontId="2" fillId="0" borderId="8" xfId="0" applyNumberFormat="1" applyFont="1" applyBorder="1" applyProtection="1">
      <protection locked="0"/>
    </xf>
    <xf numFmtId="0" fontId="1" fillId="9" borderId="19" xfId="0" applyFont="1" applyFill="1" applyBorder="1"/>
    <xf numFmtId="0" fontId="1" fillId="7" borderId="23" xfId="0" applyFont="1" applyFill="1" applyBorder="1"/>
    <xf numFmtId="1" fontId="2" fillId="0" borderId="24" xfId="0" applyNumberFormat="1" applyFont="1" applyBorder="1" applyProtection="1">
      <protection locked="0"/>
    </xf>
    <xf numFmtId="0" fontId="1" fillId="7" borderId="24" xfId="0" applyFont="1" applyFill="1" applyBorder="1"/>
    <xf numFmtId="1" fontId="2" fillId="0" borderId="27" xfId="0" applyNumberFormat="1" applyFont="1" applyBorder="1" applyProtection="1">
      <protection locked="0"/>
    </xf>
    <xf numFmtId="1" fontId="2" fillId="0" borderId="25" xfId="0" applyNumberFormat="1" applyFont="1" applyBorder="1" applyProtection="1">
      <protection locked="0"/>
    </xf>
    <xf numFmtId="1" fontId="3" fillId="7" borderId="23" xfId="0" applyNumberFormat="1" applyFont="1" applyFill="1" applyBorder="1"/>
    <xf numFmtId="1" fontId="1" fillId="7" borderId="32" xfId="0" applyNumberFormat="1" applyFont="1" applyFill="1" applyBorder="1"/>
    <xf numFmtId="0" fontId="1" fillId="7" borderId="25" xfId="0" applyFont="1" applyFill="1" applyBorder="1"/>
    <xf numFmtId="0" fontId="1" fillId="7" borderId="33" xfId="0" applyFont="1" applyFill="1" applyBorder="1"/>
    <xf numFmtId="0" fontId="1" fillId="9" borderId="7" xfId="0" applyFont="1" applyFill="1" applyBorder="1" applyAlignment="1">
      <alignment horizontal="center" vertical="center"/>
    </xf>
    <xf numFmtId="1" fontId="24" fillId="0" borderId="18" xfId="0" applyNumberFormat="1" applyFont="1" applyBorder="1" applyProtection="1">
      <protection locked="0"/>
    </xf>
    <xf numFmtId="0" fontId="1" fillId="9" borderId="20" xfId="0" applyFont="1" applyFill="1" applyBorder="1"/>
    <xf numFmtId="1" fontId="2" fillId="0" borderId="23" xfId="0" applyNumberFormat="1" applyFont="1" applyBorder="1" applyProtection="1">
      <protection locked="0"/>
    </xf>
    <xf numFmtId="0" fontId="3" fillId="9" borderId="21" xfId="0" applyFont="1" applyFill="1" applyBorder="1"/>
    <xf numFmtId="0" fontId="3" fillId="9" borderId="22" xfId="0" applyFont="1" applyFill="1" applyBorder="1"/>
    <xf numFmtId="0" fontId="3" fillId="9" borderId="8" xfId="0" applyFont="1" applyFill="1" applyBorder="1"/>
    <xf numFmtId="1" fontId="11" fillId="0" borderId="7" xfId="0" applyNumberFormat="1" applyFont="1" applyBorder="1" applyAlignment="1" applyProtection="1">
      <alignment horizontal="right"/>
      <protection locked="0"/>
    </xf>
    <xf numFmtId="0" fontId="0" fillId="7" borderId="7" xfId="0" applyFill="1" applyBorder="1" applyAlignment="1">
      <alignment horizontal="right"/>
    </xf>
    <xf numFmtId="0" fontId="0" fillId="7" borderId="34" xfId="0" applyFill="1" applyBorder="1" applyAlignment="1">
      <alignment horizontal="right"/>
    </xf>
    <xf numFmtId="0" fontId="3" fillId="9" borderId="7" xfId="0" applyFont="1" applyFill="1" applyBorder="1" applyAlignment="1">
      <alignment horizontal="center" vertical="center"/>
    </xf>
    <xf numFmtId="0" fontId="29" fillId="6" borderId="30" xfId="0" applyFont="1" applyFill="1" applyBorder="1"/>
    <xf numFmtId="0" fontId="29" fillId="6" borderId="28" xfId="0" applyFont="1" applyFill="1" applyBorder="1"/>
    <xf numFmtId="0" fontId="29" fillId="6" borderId="29" xfId="0" applyFont="1" applyFill="1" applyBorder="1"/>
    <xf numFmtId="0" fontId="29" fillId="6" borderId="31" xfId="0" applyFont="1" applyFill="1" applyBorder="1"/>
    <xf numFmtId="169" fontId="0" fillId="7" borderId="22" xfId="0" applyNumberFormat="1" applyFill="1" applyBorder="1" applyAlignment="1">
      <alignment horizontal="center" vertical="center"/>
    </xf>
    <xf numFmtId="0" fontId="13" fillId="9" borderId="22" xfId="0" applyFont="1" applyFill="1" applyBorder="1" applyAlignment="1">
      <alignment horizontal="center" vertical="center"/>
    </xf>
    <xf numFmtId="169" fontId="0" fillId="7" borderId="25" xfId="0" applyNumberFormat="1" applyFill="1" applyBorder="1" applyAlignment="1">
      <alignment horizontal="center" vertical="center"/>
    </xf>
    <xf numFmtId="0" fontId="30" fillId="6" borderId="30" xfId="0" applyFont="1" applyFill="1" applyBorder="1"/>
    <xf numFmtId="167" fontId="1" fillId="7" borderId="35" xfId="0" applyNumberFormat="1" applyFont="1" applyFill="1" applyBorder="1"/>
    <xf numFmtId="2" fontId="1" fillId="7" borderId="22" xfId="0" applyNumberFormat="1" applyFont="1" applyFill="1" applyBorder="1"/>
    <xf numFmtId="0" fontId="0" fillId="7" borderId="21" xfId="0" applyFill="1" applyBorder="1" applyAlignment="1">
      <alignment horizontal="right"/>
    </xf>
    <xf numFmtId="169" fontId="1" fillId="7" borderId="22" xfId="0" applyNumberFormat="1" applyFont="1" applyFill="1" applyBorder="1"/>
    <xf numFmtId="169" fontId="1" fillId="7" borderId="25" xfId="0" applyNumberFormat="1" applyFont="1" applyFill="1" applyBorder="1"/>
    <xf numFmtId="0" fontId="0" fillId="7" borderId="23" xfId="0" applyFill="1" applyBorder="1" applyAlignment="1">
      <alignment horizontal="right"/>
    </xf>
    <xf numFmtId="0" fontId="3" fillId="9" borderId="21" xfId="0" applyFont="1" applyFill="1" applyBorder="1" applyAlignment="1">
      <alignment horizontal="centerContinuous"/>
    </xf>
    <xf numFmtId="0" fontId="3" fillId="9" borderId="22" xfId="0" applyFont="1" applyFill="1" applyBorder="1" applyAlignment="1">
      <alignment horizontal="centerContinuous"/>
    </xf>
    <xf numFmtId="0" fontId="29" fillId="10" borderId="17" xfId="0" applyFont="1" applyFill="1" applyBorder="1"/>
    <xf numFmtId="0" fontId="29" fillId="10" borderId="28" xfId="0" applyFont="1" applyFill="1" applyBorder="1"/>
    <xf numFmtId="0" fontId="29" fillId="10" borderId="31" xfId="0" applyFont="1" applyFill="1" applyBorder="1"/>
    <xf numFmtId="0" fontId="29" fillId="10" borderId="29" xfId="0" applyFont="1" applyFill="1" applyBorder="1"/>
    <xf numFmtId="0" fontId="29" fillId="10" borderId="30" xfId="0" applyFont="1" applyFill="1" applyBorder="1"/>
    <xf numFmtId="0" fontId="0" fillId="7" borderId="36" xfId="0" applyFill="1" applyBorder="1" applyAlignment="1">
      <alignment horizontal="right"/>
    </xf>
    <xf numFmtId="0" fontId="29" fillId="10" borderId="37" xfId="0" applyFont="1" applyFill="1" applyBorder="1"/>
    <xf numFmtId="0" fontId="0" fillId="0" borderId="1" xfId="0" applyBorder="1"/>
    <xf numFmtId="0" fontId="0" fillId="8" borderId="0" xfId="0" applyFill="1"/>
    <xf numFmtId="0" fontId="0" fillId="9" borderId="8" xfId="0" applyFill="1" applyBorder="1"/>
    <xf numFmtId="1" fontId="2" fillId="0" borderId="2" xfId="0" applyNumberFormat="1" applyFont="1" applyBorder="1" applyAlignment="1" applyProtection="1">
      <alignment horizontal="center"/>
      <protection locked="0"/>
    </xf>
    <xf numFmtId="0" fontId="1" fillId="7" borderId="2" xfId="0" applyFont="1" applyFill="1" applyBorder="1" applyAlignment="1">
      <alignment horizontal="center"/>
    </xf>
    <xf numFmtId="0" fontId="0" fillId="0" borderId="0" xfId="0" applyAlignment="1">
      <alignment horizontal="center"/>
    </xf>
    <xf numFmtId="0" fontId="1" fillId="9" borderId="3"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center"/>
    </xf>
    <xf numFmtId="0" fontId="1" fillId="9" borderId="2" xfId="0" applyFont="1" applyFill="1" applyBorder="1" applyAlignment="1">
      <alignment horizontal="right"/>
    </xf>
    <xf numFmtId="0" fontId="0" fillId="9" borderId="0" xfId="0" applyFill="1" applyAlignment="1">
      <alignment horizontal="center"/>
    </xf>
    <xf numFmtId="0" fontId="0" fillId="9" borderId="16" xfId="0" applyFill="1" applyBorder="1"/>
    <xf numFmtId="0" fontId="0" fillId="9" borderId="1" xfId="0" applyFill="1" applyBorder="1" applyAlignment="1">
      <alignment vertical="center" wrapText="1"/>
    </xf>
    <xf numFmtId="0" fontId="13" fillId="9" borderId="10" xfId="0" applyFont="1" applyFill="1" applyBorder="1" applyAlignment="1">
      <alignment horizontal="left" vertical="center"/>
    </xf>
    <xf numFmtId="0" fontId="1" fillId="8" borderId="5" xfId="0" applyFont="1" applyFill="1" applyBorder="1"/>
    <xf numFmtId="0" fontId="3" fillId="9" borderId="2" xfId="0" applyFont="1" applyFill="1" applyBorder="1" applyAlignment="1">
      <alignment horizontal="left" vertical="center"/>
    </xf>
    <xf numFmtId="0" fontId="0" fillId="4" borderId="2" xfId="0" applyFill="1" applyBorder="1" applyAlignment="1">
      <alignment horizontal="left"/>
    </xf>
    <xf numFmtId="0" fontId="0" fillId="7" borderId="3" xfId="0" applyFill="1" applyBorder="1"/>
    <xf numFmtId="0" fontId="0" fillId="7" borderId="8" xfId="0" applyFill="1" applyBorder="1"/>
    <xf numFmtId="175" fontId="1" fillId="7" borderId="1" xfId="0" applyNumberFormat="1" applyFont="1" applyFill="1" applyBorder="1"/>
    <xf numFmtId="172" fontId="1" fillId="7" borderId="1" xfId="0" applyNumberFormat="1" applyFont="1" applyFill="1" applyBorder="1"/>
    <xf numFmtId="174" fontId="1" fillId="7" borderId="1" xfId="0" applyNumberFormat="1" applyFont="1" applyFill="1" applyBorder="1"/>
    <xf numFmtId="0" fontId="1" fillId="9" borderId="3" xfId="0" applyFont="1" applyFill="1" applyBorder="1" applyAlignment="1">
      <alignment horizontal="centerContinuous" wrapText="1"/>
    </xf>
    <xf numFmtId="0" fontId="1" fillId="9" borderId="8" xfId="0" applyFont="1" applyFill="1" applyBorder="1" applyAlignment="1">
      <alignment horizontal="centerContinuous" wrapText="1"/>
    </xf>
    <xf numFmtId="0" fontId="1" fillId="9" borderId="1" xfId="0" applyFont="1" applyFill="1" applyBorder="1" applyAlignment="1">
      <alignment horizontal="centerContinuous" vertical="center" wrapText="1"/>
    </xf>
    <xf numFmtId="167" fontId="0" fillId="7" borderId="1" xfId="0" applyNumberFormat="1" applyFill="1" applyBorder="1"/>
    <xf numFmtId="0" fontId="0" fillId="7" borderId="3" xfId="0" applyFill="1" applyBorder="1" applyAlignment="1">
      <alignment horizontal="left"/>
    </xf>
    <xf numFmtId="165" fontId="0" fillId="7" borderId="1" xfId="0" applyNumberFormat="1" applyFill="1" applyBorder="1"/>
    <xf numFmtId="0" fontId="1" fillId="9" borderId="2" xfId="0" applyFont="1" applyFill="1" applyBorder="1" applyAlignment="1">
      <alignment horizontal="centerContinuous" wrapText="1"/>
    </xf>
    <xf numFmtId="164" fontId="3" fillId="7" borderId="1" xfId="0" applyNumberFormat="1" applyFont="1" applyFill="1" applyBorder="1"/>
    <xf numFmtId="1" fontId="1" fillId="7" borderId="1" xfId="0" applyNumberFormat="1" applyFont="1" applyFill="1" applyBorder="1"/>
    <xf numFmtId="2" fontId="3" fillId="7" borderId="1" xfId="0" applyNumberFormat="1" applyFont="1" applyFill="1" applyBorder="1"/>
    <xf numFmtId="0" fontId="31" fillId="0" borderId="1" xfId="0" applyFont="1" applyBorder="1" applyProtection="1">
      <protection locked="0"/>
    </xf>
    <xf numFmtId="178" fontId="2" fillId="0" borderId="1" xfId="0" applyNumberFormat="1" applyFont="1" applyBorder="1" applyProtection="1">
      <protection locked="0"/>
    </xf>
    <xf numFmtId="0" fontId="10" fillId="9" borderId="9" xfId="0" applyFont="1" applyFill="1" applyBorder="1" applyAlignment="1">
      <alignment horizontal="left" wrapText="1"/>
    </xf>
    <xf numFmtId="0" fontId="10" fillId="9" borderId="0" xfId="0" applyFont="1" applyFill="1" applyAlignment="1">
      <alignment horizontal="left" wrapText="1"/>
    </xf>
    <xf numFmtId="0" fontId="10" fillId="9" borderId="16" xfId="0" applyFont="1" applyFill="1" applyBorder="1" applyAlignment="1">
      <alignment horizontal="left" wrapText="1"/>
    </xf>
    <xf numFmtId="0" fontId="10" fillId="9" borderId="9" xfId="0" applyFont="1" applyFill="1" applyBorder="1" applyAlignment="1">
      <alignment horizontal="left"/>
    </xf>
    <xf numFmtId="0" fontId="10" fillId="9" borderId="0" xfId="0" applyFont="1" applyFill="1" applyAlignment="1">
      <alignment horizontal="left"/>
    </xf>
    <xf numFmtId="0" fontId="10" fillId="9" borderId="16" xfId="0" applyFont="1" applyFill="1" applyBorder="1" applyAlignment="1">
      <alignment horizontal="left"/>
    </xf>
    <xf numFmtId="0" fontId="10" fillId="9" borderId="5" xfId="0" applyFont="1" applyFill="1" applyBorder="1" applyAlignment="1">
      <alignment horizontal="left"/>
    </xf>
    <xf numFmtId="0" fontId="10" fillId="9" borderId="6" xfId="0" applyFont="1" applyFill="1" applyBorder="1" applyAlignment="1">
      <alignment horizontal="left"/>
    </xf>
    <xf numFmtId="0" fontId="13" fillId="9" borderId="9" xfId="0" applyFont="1" applyFill="1" applyBorder="1" applyAlignment="1">
      <alignment horizontal="left" wrapText="1"/>
    </xf>
    <xf numFmtId="0" fontId="13" fillId="9" borderId="0" xfId="0" applyFont="1" applyFill="1" applyAlignment="1">
      <alignment horizontal="left" wrapText="1"/>
    </xf>
    <xf numFmtId="0" fontId="25" fillId="7" borderId="1" xfId="0" applyFont="1" applyFill="1" applyBorder="1" applyAlignment="1">
      <alignment horizontal="left"/>
    </xf>
    <xf numFmtId="0" fontId="1" fillId="7" borderId="1" xfId="0" applyFont="1" applyFill="1" applyBorder="1" applyAlignment="1">
      <alignment horizontal="left"/>
    </xf>
    <xf numFmtId="0" fontId="25" fillId="7" borderId="2" xfId="0" applyFont="1" applyFill="1" applyBorder="1" applyAlignment="1">
      <alignment horizontal="left"/>
    </xf>
    <xf numFmtId="0" fontId="25" fillId="7" borderId="3" xfId="0" applyFont="1" applyFill="1" applyBorder="1" applyAlignment="1">
      <alignment horizontal="left"/>
    </xf>
    <xf numFmtId="0" fontId="25" fillId="7" borderId="8" xfId="0" applyFont="1" applyFill="1" applyBorder="1" applyAlignment="1">
      <alignment horizontal="left"/>
    </xf>
    <xf numFmtId="0" fontId="0" fillId="7" borderId="2" xfId="0" applyFill="1" applyBorder="1" applyAlignment="1">
      <alignment horizontal="right" wrapText="1"/>
    </xf>
    <xf numFmtId="0" fontId="0" fillId="7" borderId="8" xfId="0" applyFill="1" applyBorder="1" applyAlignment="1">
      <alignment horizontal="right" wrapText="1"/>
    </xf>
    <xf numFmtId="0" fontId="0" fillId="7" borderId="2" xfId="0" applyFill="1" applyBorder="1" applyAlignment="1">
      <alignment horizontal="right"/>
    </xf>
    <xf numFmtId="0" fontId="0" fillId="7" borderId="8" xfId="0" applyFill="1" applyBorder="1" applyAlignment="1">
      <alignment horizontal="right"/>
    </xf>
    <xf numFmtId="0" fontId="3" fillId="5" borderId="5" xfId="0" applyFont="1" applyFill="1" applyBorder="1" applyAlignment="1">
      <alignment horizontal="right" vertical="center"/>
    </xf>
    <xf numFmtId="0" fontId="3" fillId="5" borderId="13" xfId="0" applyFont="1" applyFill="1" applyBorder="1" applyAlignment="1">
      <alignment horizontal="right" vertical="center"/>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8" xfId="0" applyFont="1" applyFill="1" applyBorder="1" applyAlignment="1">
      <alignment horizontal="left" vertical="center" wrapText="1"/>
    </xf>
    <xf numFmtId="0" fontId="0" fillId="7" borderId="5" xfId="0" applyFill="1" applyBorder="1" applyAlignment="1">
      <alignment horizontal="left" wrapText="1"/>
    </xf>
    <xf numFmtId="0" fontId="0" fillId="7" borderId="6" xfId="0" applyFill="1" applyBorder="1" applyAlignment="1">
      <alignment horizontal="left" wrapText="1"/>
    </xf>
    <xf numFmtId="0" fontId="0" fillId="7" borderId="13" xfId="0" applyFill="1" applyBorder="1" applyAlignment="1">
      <alignment horizontal="left" wrapText="1"/>
    </xf>
    <xf numFmtId="0" fontId="0" fillId="7" borderId="9" xfId="0" applyFill="1" applyBorder="1" applyAlignment="1">
      <alignment horizontal="left" wrapText="1"/>
    </xf>
    <xf numFmtId="0" fontId="0" fillId="7" borderId="0" xfId="0" applyFill="1" applyAlignment="1">
      <alignment horizontal="left" wrapText="1"/>
    </xf>
    <xf numFmtId="0" fontId="0" fillId="7" borderId="16" xfId="0" applyFill="1" applyBorder="1" applyAlignment="1">
      <alignment horizontal="left" wrapText="1"/>
    </xf>
    <xf numFmtId="0" fontId="0" fillId="7" borderId="10" xfId="0" applyFill="1" applyBorder="1" applyAlignment="1">
      <alignment horizontal="left" wrapText="1"/>
    </xf>
    <xf numFmtId="0" fontId="0" fillId="7" borderId="11" xfId="0" applyFill="1" applyBorder="1" applyAlignment="1">
      <alignment horizontal="left" wrapText="1"/>
    </xf>
    <xf numFmtId="0" fontId="0" fillId="7" borderId="14" xfId="0" applyFill="1" applyBorder="1" applyAlignment="1">
      <alignment horizontal="left" wrapText="1"/>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7" borderId="8" xfId="0" applyFill="1" applyBorder="1" applyAlignment="1">
      <alignment horizontal="left" vertical="center" wrapText="1"/>
    </xf>
    <xf numFmtId="2" fontId="25" fillId="7" borderId="2" xfId="0" applyNumberFormat="1" applyFont="1" applyFill="1" applyBorder="1" applyAlignment="1">
      <alignment horizontal="left"/>
    </xf>
    <xf numFmtId="2" fontId="25" fillId="7" borderId="3" xfId="0" applyNumberFormat="1" applyFont="1" applyFill="1" applyBorder="1" applyAlignment="1">
      <alignment horizontal="left"/>
    </xf>
    <xf numFmtId="2" fontId="1" fillId="7" borderId="3" xfId="0" applyNumberFormat="1" applyFont="1" applyFill="1" applyBorder="1" applyAlignment="1">
      <alignment horizontal="left"/>
    </xf>
    <xf numFmtId="0" fontId="0" fillId="7" borderId="1" xfId="0" applyFill="1" applyBorder="1" applyAlignment="1">
      <alignment horizontal="right"/>
    </xf>
    <xf numFmtId="0" fontId="25" fillId="7" borderId="5" xfId="0" applyFont="1" applyFill="1" applyBorder="1" applyAlignment="1">
      <alignment horizontal="left" vertical="top" wrapText="1"/>
    </xf>
    <xf numFmtId="0" fontId="25" fillId="7" borderId="6" xfId="0" applyFont="1" applyFill="1" applyBorder="1" applyAlignment="1">
      <alignment horizontal="left" vertical="top" wrapText="1"/>
    </xf>
    <xf numFmtId="0" fontId="25" fillId="7" borderId="13" xfId="0" applyFont="1" applyFill="1" applyBorder="1" applyAlignment="1">
      <alignment horizontal="left" vertical="top" wrapText="1"/>
    </xf>
    <xf numFmtId="0" fontId="25" fillId="7" borderId="9"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16" xfId="0" applyFont="1" applyFill="1" applyBorder="1" applyAlignment="1">
      <alignment horizontal="left" vertical="top" wrapText="1"/>
    </xf>
    <xf numFmtId="0" fontId="25" fillId="7" borderId="10" xfId="0" applyFont="1" applyFill="1" applyBorder="1" applyAlignment="1">
      <alignment horizontal="left" vertical="top" wrapText="1"/>
    </xf>
    <xf numFmtId="0" fontId="25" fillId="7" borderId="11" xfId="0" applyFont="1" applyFill="1" applyBorder="1" applyAlignment="1">
      <alignment horizontal="left" vertical="top" wrapText="1"/>
    </xf>
    <xf numFmtId="0" fontId="25" fillId="7" borderId="14" xfId="0" applyFont="1" applyFill="1" applyBorder="1" applyAlignment="1">
      <alignment horizontal="left" vertical="top" wrapText="1"/>
    </xf>
    <xf numFmtId="0" fontId="1" fillId="9" borderId="1" xfId="0" applyFont="1" applyFill="1" applyBorder="1" applyAlignment="1">
      <alignment horizontal="center" vertical="center"/>
    </xf>
    <xf numFmtId="0" fontId="13" fillId="9" borderId="5"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3" fillId="9" borderId="9" xfId="0" applyFont="1" applyFill="1" applyBorder="1" applyAlignment="1">
      <alignment horizontal="left" vertical="center" wrapText="1"/>
    </xf>
    <xf numFmtId="0" fontId="13" fillId="9" borderId="0" xfId="0" applyFont="1" applyFill="1" applyAlignment="1">
      <alignment horizontal="left" vertical="center" wrapText="1"/>
    </xf>
    <xf numFmtId="0" fontId="13" fillId="9" borderId="16" xfId="0" applyFont="1" applyFill="1" applyBorder="1" applyAlignment="1">
      <alignment horizontal="left" vertical="center" wrapText="1"/>
    </xf>
    <xf numFmtId="0" fontId="13" fillId="9" borderId="16" xfId="0" applyFont="1" applyFill="1" applyBorder="1" applyAlignment="1">
      <alignment horizontal="left" wrapText="1"/>
    </xf>
    <xf numFmtId="0" fontId="13" fillId="9" borderId="10" xfId="0" applyFont="1" applyFill="1" applyBorder="1" applyAlignment="1">
      <alignment horizontal="left" wrapText="1"/>
    </xf>
    <xf numFmtId="0" fontId="13" fillId="9" borderId="11" xfId="0" applyFont="1" applyFill="1" applyBorder="1" applyAlignment="1">
      <alignment horizontal="left" wrapText="1"/>
    </xf>
    <xf numFmtId="0" fontId="13" fillId="9" borderId="14" xfId="0" applyFont="1" applyFill="1" applyBorder="1" applyAlignment="1">
      <alignment horizontal="left" wrapText="1"/>
    </xf>
    <xf numFmtId="0" fontId="13" fillId="9" borderId="9" xfId="0" applyFont="1" applyFill="1" applyBorder="1" applyAlignment="1">
      <alignment horizontal="left"/>
    </xf>
    <xf numFmtId="0" fontId="13" fillId="9" borderId="0" xfId="0" applyFont="1" applyFill="1" applyAlignment="1">
      <alignment horizontal="left"/>
    </xf>
    <xf numFmtId="0" fontId="13" fillId="9" borderId="16" xfId="0" applyFont="1" applyFill="1" applyBorder="1" applyAlignment="1">
      <alignment horizontal="left"/>
    </xf>
  </cellXfs>
  <cellStyles count="1">
    <cellStyle name="Normal" xfId="0" builtinId="0"/>
  </cellStyles>
  <dxfs count="15">
    <dxf>
      <fill>
        <patternFill>
          <bgColor rgb="FFFF0000"/>
        </patternFill>
      </fill>
    </dxf>
    <dxf>
      <fill>
        <patternFill>
          <bgColor rgb="FFFF000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ill>
        <patternFill>
          <bgColor rgb="FFFF0000"/>
        </patternFill>
      </fill>
    </dxf>
    <dxf>
      <fill>
        <patternFill>
          <bgColor rgb="FF00B050"/>
        </patternFill>
      </fill>
    </dxf>
    <dxf>
      <fill>
        <patternFill>
          <bgColor rgb="FFFFC000"/>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Balances</a:t>
            </a:r>
          </a:p>
        </c:rich>
      </c:tx>
      <c:overlay val="0"/>
    </c:title>
    <c:autoTitleDeleted val="0"/>
    <c:plotArea>
      <c:layout/>
      <c:barChart>
        <c:barDir val="col"/>
        <c:grouping val="clustered"/>
        <c:varyColors val="0"/>
        <c:ser>
          <c:idx val="0"/>
          <c:order val="0"/>
          <c:tx>
            <c:v>In-year balance</c:v>
          </c:tx>
          <c:invertIfNegative val="0"/>
          <c:cat>
            <c:numRef>
              <c:f>'4 summary data'!$B$2:$D$2</c:f>
              <c:numCache>
                <c:formatCode>General</c:formatCode>
                <c:ptCount val="3"/>
                <c:pt idx="0" formatCode="0">
                  <c:v>2024</c:v>
                </c:pt>
                <c:pt idx="1">
                  <c:v>2025</c:v>
                </c:pt>
                <c:pt idx="2">
                  <c:v>2026</c:v>
                </c:pt>
              </c:numCache>
            </c:numRef>
          </c:cat>
          <c:val>
            <c:numRef>
              <c:f>'4 summary data'!$B$39:$D$39</c:f>
              <c:numCache>
                <c:formatCode>"£"#,##0_);[Red]\("£"#,##0\)</c:formatCode>
                <c:ptCount val="3"/>
                <c:pt idx="0">
                  <c:v>7000</c:v>
                </c:pt>
                <c:pt idx="1">
                  <c:v>7000</c:v>
                </c:pt>
                <c:pt idx="2">
                  <c:v>7000</c:v>
                </c:pt>
              </c:numCache>
            </c:numRef>
          </c:val>
          <c:extLst>
            <c:ext xmlns:c16="http://schemas.microsoft.com/office/drawing/2014/chart" uri="{C3380CC4-5D6E-409C-BE32-E72D297353CC}">
              <c16:uniqueId val="{00000000-4725-4FD3-BE51-BB80D96C303A}"/>
            </c:ext>
          </c:extLst>
        </c:ser>
        <c:ser>
          <c:idx val="1"/>
          <c:order val="1"/>
          <c:tx>
            <c:v>Cumulative Balance</c:v>
          </c:tx>
          <c:invertIfNegative val="0"/>
          <c:cat>
            <c:numRef>
              <c:f>'4 summary data'!$B$2:$D$2</c:f>
              <c:numCache>
                <c:formatCode>General</c:formatCode>
                <c:ptCount val="3"/>
                <c:pt idx="0" formatCode="0">
                  <c:v>2024</c:v>
                </c:pt>
                <c:pt idx="1">
                  <c:v>2025</c:v>
                </c:pt>
                <c:pt idx="2">
                  <c:v>2026</c:v>
                </c:pt>
              </c:numCache>
            </c:numRef>
          </c:cat>
          <c:val>
            <c:numRef>
              <c:f>'4 summary data'!$B$41:$D$41</c:f>
              <c:numCache>
                <c:formatCode>"£"#,##0_);[Red]\("£"#,##0\)</c:formatCode>
                <c:ptCount val="3"/>
                <c:pt idx="0">
                  <c:v>7000</c:v>
                </c:pt>
                <c:pt idx="1">
                  <c:v>14000</c:v>
                </c:pt>
                <c:pt idx="2">
                  <c:v>21000</c:v>
                </c:pt>
              </c:numCache>
            </c:numRef>
          </c:val>
          <c:extLst>
            <c:ext xmlns:c16="http://schemas.microsoft.com/office/drawing/2014/chart" uri="{C3380CC4-5D6E-409C-BE32-E72D297353CC}">
              <c16:uniqueId val="{00000001-4725-4FD3-BE51-BB80D96C303A}"/>
            </c:ext>
          </c:extLst>
        </c:ser>
        <c:dLbls>
          <c:showLegendKey val="0"/>
          <c:showVal val="0"/>
          <c:showCatName val="0"/>
          <c:showSerName val="0"/>
          <c:showPercent val="0"/>
          <c:showBubbleSize val="0"/>
        </c:dLbls>
        <c:gapWidth val="150"/>
        <c:axId val="71393664"/>
        <c:axId val="71395200"/>
      </c:barChart>
      <c:catAx>
        <c:axId val="71393664"/>
        <c:scaling>
          <c:orientation val="minMax"/>
        </c:scaling>
        <c:delete val="0"/>
        <c:axPos val="b"/>
        <c:numFmt formatCode="0" sourceLinked="1"/>
        <c:majorTickMark val="out"/>
        <c:minorTickMark val="none"/>
        <c:tickLblPos val="nextTo"/>
        <c:crossAx val="71395200"/>
        <c:crosses val="autoZero"/>
        <c:auto val="1"/>
        <c:lblAlgn val="ctr"/>
        <c:lblOffset val="100"/>
        <c:noMultiLvlLbl val="0"/>
      </c:catAx>
      <c:valAx>
        <c:axId val="71395200"/>
        <c:scaling>
          <c:orientation val="minMax"/>
        </c:scaling>
        <c:delete val="0"/>
        <c:axPos val="l"/>
        <c:majorGridlines/>
        <c:numFmt formatCode="&quot;£&quot;#,##0_);[Red]\(&quot;£&quot;#,##0\)" sourceLinked="1"/>
        <c:majorTickMark val="out"/>
        <c:minorTickMark val="none"/>
        <c:tickLblPos val="nextTo"/>
        <c:crossAx val="713936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Balance</a:t>
            </a:r>
            <a:r>
              <a:rPr lang="en-GB" baseline="0"/>
              <a:t>s as percentage of in-year revenue</a:t>
            </a:r>
            <a:endParaRPr lang="en-GB"/>
          </a:p>
        </c:rich>
      </c:tx>
      <c:overlay val="0"/>
    </c:title>
    <c:autoTitleDeleted val="0"/>
    <c:plotArea>
      <c:layout/>
      <c:barChart>
        <c:barDir val="col"/>
        <c:grouping val="clustered"/>
        <c:varyColors val="0"/>
        <c:ser>
          <c:idx val="0"/>
          <c:order val="0"/>
          <c:tx>
            <c:v>In-year balance</c:v>
          </c:tx>
          <c:invertIfNegative val="0"/>
          <c:cat>
            <c:numRef>
              <c:f>'4 summary data'!$B$2:$D$2</c:f>
              <c:numCache>
                <c:formatCode>General</c:formatCode>
                <c:ptCount val="3"/>
                <c:pt idx="0" formatCode="0">
                  <c:v>2024</c:v>
                </c:pt>
                <c:pt idx="1">
                  <c:v>2025</c:v>
                </c:pt>
                <c:pt idx="2">
                  <c:v>2026</c:v>
                </c:pt>
              </c:numCache>
            </c:numRef>
          </c:cat>
          <c:val>
            <c:numRef>
              <c:f>'4 summary data'!$B$52:$D$52</c:f>
              <c:numCache>
                <c:formatCode>0.00_ ;[Red]\-0.00\ </c:formatCode>
                <c:ptCount val="3"/>
                <c:pt idx="0">
                  <c:v>0.42682926829268292</c:v>
                </c:pt>
                <c:pt idx="1">
                  <c:v>0.42682926829268292</c:v>
                </c:pt>
                <c:pt idx="2">
                  <c:v>0.42682926829268292</c:v>
                </c:pt>
              </c:numCache>
            </c:numRef>
          </c:val>
          <c:extLst>
            <c:ext xmlns:c16="http://schemas.microsoft.com/office/drawing/2014/chart" uri="{C3380CC4-5D6E-409C-BE32-E72D297353CC}">
              <c16:uniqueId val="{00000000-C1B5-4642-84DE-2D820A8187D6}"/>
            </c:ext>
          </c:extLst>
        </c:ser>
        <c:ser>
          <c:idx val="1"/>
          <c:order val="1"/>
          <c:tx>
            <c:v>Cumulative balance</c:v>
          </c:tx>
          <c:invertIfNegative val="0"/>
          <c:cat>
            <c:numRef>
              <c:f>'4 summary data'!$B$2:$D$2</c:f>
              <c:numCache>
                <c:formatCode>General</c:formatCode>
                <c:ptCount val="3"/>
                <c:pt idx="0" formatCode="0">
                  <c:v>2024</c:v>
                </c:pt>
                <c:pt idx="1">
                  <c:v>2025</c:v>
                </c:pt>
                <c:pt idx="2">
                  <c:v>2026</c:v>
                </c:pt>
              </c:numCache>
            </c:numRef>
          </c:cat>
          <c:val>
            <c:numRef>
              <c:f>'4 summary data'!$B$53:$D$53</c:f>
              <c:numCache>
                <c:formatCode>0.00_ ;[Red]\-0.00\ </c:formatCode>
                <c:ptCount val="3"/>
                <c:pt idx="0">
                  <c:v>0.42682926829268292</c:v>
                </c:pt>
                <c:pt idx="1">
                  <c:v>0.85365853658536583</c:v>
                </c:pt>
                <c:pt idx="2">
                  <c:v>1.2804878048780488</c:v>
                </c:pt>
              </c:numCache>
            </c:numRef>
          </c:val>
          <c:extLst>
            <c:ext xmlns:c16="http://schemas.microsoft.com/office/drawing/2014/chart" uri="{C3380CC4-5D6E-409C-BE32-E72D297353CC}">
              <c16:uniqueId val="{00000001-C1B5-4642-84DE-2D820A8187D6}"/>
            </c:ext>
          </c:extLst>
        </c:ser>
        <c:dLbls>
          <c:showLegendKey val="0"/>
          <c:showVal val="0"/>
          <c:showCatName val="0"/>
          <c:showSerName val="0"/>
          <c:showPercent val="0"/>
          <c:showBubbleSize val="0"/>
        </c:dLbls>
        <c:gapWidth val="150"/>
        <c:axId val="71658112"/>
        <c:axId val="71704960"/>
      </c:barChart>
      <c:catAx>
        <c:axId val="71658112"/>
        <c:scaling>
          <c:orientation val="minMax"/>
        </c:scaling>
        <c:delete val="0"/>
        <c:axPos val="b"/>
        <c:numFmt formatCode="0" sourceLinked="1"/>
        <c:majorTickMark val="out"/>
        <c:minorTickMark val="none"/>
        <c:tickLblPos val="nextTo"/>
        <c:crossAx val="71704960"/>
        <c:crosses val="autoZero"/>
        <c:auto val="1"/>
        <c:lblAlgn val="ctr"/>
        <c:lblOffset val="100"/>
        <c:noMultiLvlLbl val="0"/>
      </c:catAx>
      <c:valAx>
        <c:axId val="71704960"/>
        <c:scaling>
          <c:orientation val="minMax"/>
        </c:scaling>
        <c:delete val="0"/>
        <c:axPos val="l"/>
        <c:majorGridlines/>
        <c:title>
          <c:tx>
            <c:rich>
              <a:bodyPr rot="-5400000" vert="horz"/>
              <a:lstStyle/>
              <a:p>
                <a:pPr>
                  <a:defRPr/>
                </a:pPr>
                <a:r>
                  <a:rPr lang="en-US"/>
                  <a:t>Percentage of in-year revenue</a:t>
                </a:r>
              </a:p>
            </c:rich>
          </c:tx>
          <c:overlay val="0"/>
        </c:title>
        <c:numFmt formatCode="0.00_ ;[Red]\-0.00\ " sourceLinked="1"/>
        <c:majorTickMark val="out"/>
        <c:minorTickMark val="none"/>
        <c:tickLblPos val="nextTo"/>
        <c:crossAx val="716581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Roll and tp allocations compared</a:t>
            </a:r>
          </a:p>
        </c:rich>
      </c:tx>
      <c:overlay val="0"/>
    </c:title>
    <c:autoTitleDeleted val="0"/>
    <c:plotArea>
      <c:layout/>
      <c:barChart>
        <c:barDir val="col"/>
        <c:grouping val="clustered"/>
        <c:varyColors val="0"/>
        <c:ser>
          <c:idx val="0"/>
          <c:order val="0"/>
          <c:tx>
            <c:v>Pupils as % of total roll</c:v>
          </c:tx>
          <c:invertIfNegative val="0"/>
          <c:cat>
            <c:strRef>
              <c:f>'13 metrics'!$A$27:$A$33</c:f>
              <c:strCache>
                <c:ptCount val="7"/>
                <c:pt idx="0">
                  <c:v>Reception</c:v>
                </c:pt>
                <c:pt idx="1">
                  <c:v>Year 1</c:v>
                </c:pt>
                <c:pt idx="2">
                  <c:v>Year 2</c:v>
                </c:pt>
                <c:pt idx="3">
                  <c:v>Year 3</c:v>
                </c:pt>
                <c:pt idx="4">
                  <c:v>Year 4</c:v>
                </c:pt>
                <c:pt idx="5">
                  <c:v>Year 5</c:v>
                </c:pt>
                <c:pt idx="6">
                  <c:v>Year 6</c:v>
                </c:pt>
              </c:strCache>
            </c:strRef>
          </c:cat>
          <c:val>
            <c:numRef>
              <c:f>'13 metrics'!$I$27:$I$33</c:f>
              <c:numCache>
                <c:formatCode>0.0</c:formatCode>
                <c:ptCount val="7"/>
                <c:pt idx="0">
                  <c:v>14.634146341463415</c:v>
                </c:pt>
                <c:pt idx="1">
                  <c:v>14.146341463414634</c:v>
                </c:pt>
                <c:pt idx="2">
                  <c:v>13.902439024390244</c:v>
                </c:pt>
                <c:pt idx="3">
                  <c:v>14.634146341463415</c:v>
                </c:pt>
                <c:pt idx="4">
                  <c:v>14.146341463414634</c:v>
                </c:pt>
                <c:pt idx="5">
                  <c:v>13.902439024390244</c:v>
                </c:pt>
                <c:pt idx="6">
                  <c:v>14.634146341463415</c:v>
                </c:pt>
              </c:numCache>
            </c:numRef>
          </c:val>
          <c:extLst>
            <c:ext xmlns:c16="http://schemas.microsoft.com/office/drawing/2014/chart" uri="{C3380CC4-5D6E-409C-BE32-E72D297353CC}">
              <c16:uniqueId val="{00000000-BC63-45F1-8114-2BCCC2E9CD68}"/>
            </c:ext>
          </c:extLst>
        </c:ser>
        <c:ser>
          <c:idx val="1"/>
          <c:order val="1"/>
          <c:tx>
            <c:v>tp allocation as % of tp total</c:v>
          </c:tx>
          <c:invertIfNegative val="0"/>
          <c:cat>
            <c:strRef>
              <c:f>'13 metrics'!$A$27:$A$33</c:f>
              <c:strCache>
                <c:ptCount val="7"/>
                <c:pt idx="0">
                  <c:v>Reception</c:v>
                </c:pt>
                <c:pt idx="1">
                  <c:v>Year 1</c:v>
                </c:pt>
                <c:pt idx="2">
                  <c:v>Year 2</c:v>
                </c:pt>
                <c:pt idx="3">
                  <c:v>Year 3</c:v>
                </c:pt>
                <c:pt idx="4">
                  <c:v>Year 4</c:v>
                </c:pt>
                <c:pt idx="5">
                  <c:v>Year 5</c:v>
                </c:pt>
                <c:pt idx="6">
                  <c:v>Year 6</c:v>
                </c:pt>
              </c:strCache>
            </c:strRef>
          </c:cat>
          <c:val>
            <c:numRef>
              <c:f>'13 metrics'!$J$27:$J$33</c:f>
              <c:numCache>
                <c:formatCode>0.0</c:formatCode>
                <c:ptCount val="7"/>
                <c:pt idx="0">
                  <c:v>13.605442176870747</c:v>
                </c:pt>
                <c:pt idx="1">
                  <c:v>14.285714285714286</c:v>
                </c:pt>
                <c:pt idx="2">
                  <c:v>14.285714285714286</c:v>
                </c:pt>
                <c:pt idx="3">
                  <c:v>14.285714285714286</c:v>
                </c:pt>
                <c:pt idx="4">
                  <c:v>14.285714285714286</c:v>
                </c:pt>
                <c:pt idx="5">
                  <c:v>14.285714285714286</c:v>
                </c:pt>
                <c:pt idx="6">
                  <c:v>14.965986394557824</c:v>
                </c:pt>
              </c:numCache>
            </c:numRef>
          </c:val>
          <c:extLst>
            <c:ext xmlns:c16="http://schemas.microsoft.com/office/drawing/2014/chart" uri="{C3380CC4-5D6E-409C-BE32-E72D297353CC}">
              <c16:uniqueId val="{00000001-BC63-45F1-8114-2BCCC2E9CD68}"/>
            </c:ext>
          </c:extLst>
        </c:ser>
        <c:dLbls>
          <c:showLegendKey val="0"/>
          <c:showVal val="0"/>
          <c:showCatName val="0"/>
          <c:showSerName val="0"/>
          <c:showPercent val="0"/>
          <c:showBubbleSize val="0"/>
        </c:dLbls>
        <c:gapWidth val="150"/>
        <c:axId val="74981760"/>
        <c:axId val="74983296"/>
      </c:barChart>
      <c:catAx>
        <c:axId val="74981760"/>
        <c:scaling>
          <c:orientation val="minMax"/>
        </c:scaling>
        <c:delete val="0"/>
        <c:axPos val="b"/>
        <c:numFmt formatCode="General" sourceLinked="0"/>
        <c:majorTickMark val="out"/>
        <c:minorTickMark val="none"/>
        <c:tickLblPos val="nextTo"/>
        <c:crossAx val="74983296"/>
        <c:crosses val="autoZero"/>
        <c:auto val="1"/>
        <c:lblAlgn val="ctr"/>
        <c:lblOffset val="100"/>
        <c:noMultiLvlLbl val="0"/>
      </c:catAx>
      <c:valAx>
        <c:axId val="74983296"/>
        <c:scaling>
          <c:orientation val="minMax"/>
          <c:min val="0"/>
        </c:scaling>
        <c:delete val="0"/>
        <c:axPos val="l"/>
        <c:majorGridlines/>
        <c:title>
          <c:tx>
            <c:rich>
              <a:bodyPr rot="-5400000" vert="horz"/>
              <a:lstStyle/>
              <a:p>
                <a:pPr>
                  <a:defRPr/>
                </a:pPr>
                <a:r>
                  <a:rPr lang="en-US"/>
                  <a:t>Percentage</a:t>
                </a:r>
              </a:p>
            </c:rich>
          </c:tx>
          <c:overlay val="0"/>
        </c:title>
        <c:numFmt formatCode="0.0" sourceLinked="1"/>
        <c:majorTickMark val="out"/>
        <c:minorTickMark val="none"/>
        <c:tickLblPos val="nextTo"/>
        <c:crossAx val="749817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11112</xdr:colOff>
      <xdr:row>2</xdr:row>
      <xdr:rowOff>11113</xdr:rowOff>
    </xdr:from>
    <xdr:to>
      <xdr:col>12</xdr:col>
      <xdr:colOff>523875</xdr:colOff>
      <xdr:row>19</xdr:row>
      <xdr:rowOff>11112</xdr:rowOff>
    </xdr:to>
    <xdr:graphicFrame macro="">
      <xdr:nvGraphicFramePr>
        <xdr:cNvPr id="2" name="Chart 1" descr="A bar chart showing amounts from £5,000 to £25,000 on the vertical axis and years from 2018 to 2020 on the horizontal axis. There are two bars, one showing in-year balance and one cumulative balance, which will vary from school to school.">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311150</xdr:colOff>
      <xdr:row>20</xdr:row>
      <xdr:rowOff>158750</xdr:rowOff>
    </xdr:from>
    <xdr:to>
      <xdr:col>12</xdr:col>
      <xdr:colOff>511175</xdr:colOff>
      <xdr:row>38</xdr:row>
      <xdr:rowOff>4762</xdr:rowOff>
    </xdr:to>
    <xdr:graphicFrame macro="">
      <xdr:nvGraphicFramePr>
        <xdr:cNvPr id="3" name="Chart 2" descr="A bar chart showing percentage of in-year revenue from 0% to 140% on the vertical axis and years from 2018 to 2020 on the horizontal axis. There are two bars, one showing in-year balance and one cumulative balance, which will vary from school to school.">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342899</xdr:colOff>
      <xdr:row>11</xdr:row>
      <xdr:rowOff>147637</xdr:rowOff>
    </xdr:from>
    <xdr:to>
      <xdr:col>9</xdr:col>
      <xdr:colOff>333374</xdr:colOff>
      <xdr:row>23</xdr:row>
      <xdr:rowOff>57150</xdr:rowOff>
    </xdr:to>
    <xdr:graphicFrame macro="">
      <xdr:nvGraphicFramePr>
        <xdr:cNvPr id="3" name="Chart 2" descr="A bar chart showing percentages from 0 to 20 on the vertical axis and year groups from Reception to Year 6 on the horizontal axis. There are two bars, one showing pupils as a percentage of total roll and teacher period allocation as a percentage of total teacher periods.">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I29"/>
  <sheetViews>
    <sheetView showGridLines="0" tabSelected="1" zoomScale="75" zoomScaleNormal="75" workbookViewId="0"/>
  </sheetViews>
  <sheetFormatPr defaultColWidth="0" defaultRowHeight="14.5" zeroHeight="1" x14ac:dyDescent="0.35"/>
  <cols>
    <col min="1" max="1" width="161" customWidth="1"/>
    <col min="2" max="34" width="9" customWidth="1"/>
    <col min="35" max="35" width="9.1796875" customWidth="1"/>
    <col min="36" max="16384" width="9" hidden="1"/>
  </cols>
  <sheetData>
    <row r="1" spans="1:2" ht="71.25" customHeight="1" x14ac:dyDescent="0.35">
      <c r="A1" s="41" t="s">
        <v>0</v>
      </c>
    </row>
    <row r="2" spans="1:2" ht="87" x14ac:dyDescent="0.35">
      <c r="A2" s="42" t="s">
        <v>1</v>
      </c>
      <c r="B2" s="19"/>
    </row>
    <row r="3" spans="1:2" ht="87" x14ac:dyDescent="0.35">
      <c r="A3" s="43" t="s">
        <v>2</v>
      </c>
    </row>
    <row r="4" spans="1:2" ht="48" customHeight="1" x14ac:dyDescent="0.35">
      <c r="A4" s="42" t="s">
        <v>3</v>
      </c>
      <c r="B4" s="19"/>
    </row>
    <row r="5" spans="1:2" ht="29" x14ac:dyDescent="0.35">
      <c r="A5" s="44" t="s">
        <v>4</v>
      </c>
    </row>
    <row r="6" spans="1:2" x14ac:dyDescent="0.35">
      <c r="B6" s="19"/>
    </row>
    <row r="7" spans="1:2" x14ac:dyDescent="0.35"/>
    <row r="8" spans="1:2" x14ac:dyDescent="0.35">
      <c r="B8" s="19"/>
    </row>
    <row r="9" spans="1:2" x14ac:dyDescent="0.35"/>
    <row r="10" spans="1:2" x14ac:dyDescent="0.35">
      <c r="B10" s="19"/>
    </row>
    <row r="11" spans="1:2" x14ac:dyDescent="0.35"/>
    <row r="12" spans="1:2" x14ac:dyDescent="0.35">
      <c r="B12" s="19"/>
    </row>
    <row r="13" spans="1:2" x14ac:dyDescent="0.35"/>
    <row r="14" spans="1:2" x14ac:dyDescent="0.35">
      <c r="B14" s="20"/>
    </row>
    <row r="15" spans="1:2" x14ac:dyDescent="0.35"/>
    <row r="16" spans="1:2" x14ac:dyDescent="0.35">
      <c r="B16" s="19"/>
    </row>
    <row r="17" spans="2:2" x14ac:dyDescent="0.35"/>
    <row r="18" spans="2:2" x14ac:dyDescent="0.35">
      <c r="B18" s="19"/>
    </row>
    <row r="19" spans="2:2" x14ac:dyDescent="0.35"/>
    <row r="20" spans="2:2" x14ac:dyDescent="0.35">
      <c r="B20" s="19"/>
    </row>
    <row r="21" spans="2:2" x14ac:dyDescent="0.35"/>
    <row r="22" spans="2:2" x14ac:dyDescent="0.35">
      <c r="B22" s="19"/>
    </row>
    <row r="23" spans="2:2" x14ac:dyDescent="0.35"/>
    <row r="24" spans="2:2" x14ac:dyDescent="0.35">
      <c r="B24" s="19"/>
    </row>
    <row r="25" spans="2:2" x14ac:dyDescent="0.35"/>
    <row r="26" spans="2:2" x14ac:dyDescent="0.35">
      <c r="B26" s="19"/>
    </row>
    <row r="27" spans="2:2" x14ac:dyDescent="0.35">
      <c r="B27" s="21"/>
    </row>
    <row r="28" spans="2:2" x14ac:dyDescent="0.35"/>
    <row r="29" spans="2:2" x14ac:dyDescent="0.35"/>
  </sheetData>
  <sheetProtection algorithmName="SHA-512" hashValue="/buI5CBo1ObyDk/m9dcUC7NLalxt5hdDS8gUTlOvsC1+x6aWaxcl7XwQL78kYsuS8++oxUvo6y9bJaXhfeXB1g==" saltValue="bsbHUBt0IcmhM9/85AlhoQ==" spinCount="100000" sheet="1" selectLockedCells="1" selectUnlockedCell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P40"/>
  <sheetViews>
    <sheetView showGridLines="0" zoomScale="75" zoomScaleNormal="75" workbookViewId="0"/>
  </sheetViews>
  <sheetFormatPr defaultColWidth="9.1796875" defaultRowHeight="14.5" x14ac:dyDescent="0.35"/>
  <cols>
    <col min="1" max="1" width="53.54296875" style="1" customWidth="1"/>
    <col min="2" max="2" width="11.1796875" style="1" customWidth="1"/>
    <col min="3" max="3" width="9.1796875" style="1"/>
    <col min="4" max="4" width="9.7265625" style="1" customWidth="1"/>
    <col min="5" max="5" width="8.1796875" style="1" customWidth="1"/>
    <col min="6" max="7" width="8.81640625" style="1" customWidth="1"/>
    <col min="8" max="8" width="11.81640625" style="1" customWidth="1"/>
    <col min="9" max="10" width="9.1796875" style="1"/>
    <col min="11" max="11" width="12.26953125" style="1" customWidth="1"/>
    <col min="12" max="12" width="8" style="1" customWidth="1"/>
    <col min="13" max="14" width="8.26953125" style="1" customWidth="1"/>
    <col min="15" max="15" width="10.1796875" style="1" customWidth="1"/>
    <col min="16" max="16384" width="9.1796875" style="1"/>
  </cols>
  <sheetData>
    <row r="1" spans="1:16" x14ac:dyDescent="0.35">
      <c r="A1" s="280" t="s">
        <v>274</v>
      </c>
      <c r="B1" s="204"/>
      <c r="C1" s="204"/>
      <c r="D1" s="204"/>
      <c r="E1" s="204"/>
      <c r="F1" s="204"/>
      <c r="G1" s="204"/>
      <c r="H1" s="204"/>
      <c r="I1" s="204"/>
      <c r="J1" s="204"/>
      <c r="K1" s="204"/>
      <c r="L1" s="204"/>
      <c r="M1" s="204"/>
      <c r="N1" s="204"/>
      <c r="O1" s="204"/>
      <c r="P1" s="205"/>
    </row>
    <row r="2" spans="1:16" x14ac:dyDescent="0.35">
      <c r="A2" s="281" t="s">
        <v>275</v>
      </c>
      <c r="B2" s="54"/>
      <c r="C2" s="54"/>
      <c r="D2" s="54"/>
      <c r="E2" s="54"/>
      <c r="F2" s="54"/>
      <c r="G2" s="54"/>
      <c r="H2" s="54"/>
      <c r="I2" s="54"/>
      <c r="J2" s="54"/>
      <c r="K2" s="54"/>
      <c r="L2" s="54"/>
      <c r="M2" s="54"/>
      <c r="N2" s="54"/>
      <c r="O2" s="54"/>
      <c r="P2" s="55"/>
    </row>
    <row r="3" spans="1:16" x14ac:dyDescent="0.35">
      <c r="A3" s="281" t="s">
        <v>276</v>
      </c>
      <c r="B3" s="54"/>
      <c r="C3" s="54"/>
      <c r="D3" s="54"/>
      <c r="E3" s="54"/>
      <c r="F3" s="54"/>
      <c r="G3" s="54"/>
      <c r="H3" s="54"/>
      <c r="I3" s="54"/>
      <c r="J3" s="54"/>
      <c r="K3" s="54"/>
      <c r="L3" s="54"/>
      <c r="M3" s="54"/>
      <c r="N3" s="54"/>
      <c r="O3" s="54"/>
      <c r="P3" s="55"/>
    </row>
    <row r="4" spans="1:16" x14ac:dyDescent="0.35">
      <c r="A4" s="282" t="s">
        <v>277</v>
      </c>
      <c r="B4" s="278"/>
      <c r="C4" s="278"/>
      <c r="D4" s="278"/>
      <c r="E4" s="278"/>
      <c r="F4" s="278"/>
      <c r="G4" s="278"/>
      <c r="H4" s="278"/>
      <c r="I4" s="278"/>
      <c r="J4" s="278"/>
      <c r="K4" s="278"/>
      <c r="L4" s="278"/>
      <c r="M4" s="278"/>
      <c r="N4" s="278"/>
      <c r="O4" s="278"/>
      <c r="P4" s="279"/>
    </row>
    <row r="5" spans="1:16" x14ac:dyDescent="0.35">
      <c r="A5" s="19"/>
    </row>
    <row r="6" spans="1:16" ht="15" thickBot="1" x14ac:dyDescent="0.4"/>
    <row r="7" spans="1:16" ht="21" x14ac:dyDescent="0.5">
      <c r="A7" s="309" t="s">
        <v>278</v>
      </c>
      <c r="B7" s="311">
        <v>10</v>
      </c>
      <c r="C7" s="300"/>
      <c r="D7" s="312" t="s">
        <v>279</v>
      </c>
      <c r="E7" s="297" t="s">
        <v>280</v>
      </c>
      <c r="F7" s="286"/>
      <c r="G7" s="287"/>
      <c r="H7" s="285" t="s">
        <v>281</v>
      </c>
      <c r="I7" s="286"/>
      <c r="J7" s="287"/>
      <c r="K7" s="285" t="s">
        <v>282</v>
      </c>
      <c r="L7" s="286"/>
      <c r="M7" s="286"/>
      <c r="N7" s="286"/>
      <c r="O7" s="287"/>
    </row>
    <row r="8" spans="1:16" ht="43.5" x14ac:dyDescent="0.35">
      <c r="A8" s="310" t="s">
        <v>283</v>
      </c>
      <c r="B8" s="294" t="s">
        <v>284</v>
      </c>
      <c r="C8" s="265" t="s">
        <v>231</v>
      </c>
      <c r="D8" s="289" t="s">
        <v>285</v>
      </c>
      <c r="E8" s="298" t="s">
        <v>239</v>
      </c>
      <c r="F8" s="265" t="s">
        <v>286</v>
      </c>
      <c r="G8" s="292" t="s">
        <v>241</v>
      </c>
      <c r="H8" s="288" t="s">
        <v>287</v>
      </c>
      <c r="I8" s="284" t="s">
        <v>288</v>
      </c>
      <c r="J8" s="292" t="s">
        <v>289</v>
      </c>
      <c r="K8" s="288" t="s">
        <v>290</v>
      </c>
      <c r="L8" s="154" t="s">
        <v>291</v>
      </c>
      <c r="M8" s="154" t="s">
        <v>292</v>
      </c>
      <c r="N8" s="154" t="s">
        <v>293</v>
      </c>
      <c r="O8" s="289" t="s">
        <v>294</v>
      </c>
    </row>
    <row r="9" spans="1:16" ht="26.25" customHeight="1" x14ac:dyDescent="0.35">
      <c r="A9" s="320" t="s">
        <v>295</v>
      </c>
      <c r="B9" s="314"/>
      <c r="C9" s="115"/>
      <c r="D9" s="315"/>
      <c r="E9" s="316"/>
      <c r="F9" s="115"/>
      <c r="G9" s="315"/>
      <c r="H9" s="314"/>
      <c r="I9" s="115"/>
      <c r="J9" s="315"/>
      <c r="K9" s="314"/>
      <c r="L9" s="115"/>
      <c r="M9" s="115"/>
      <c r="N9" s="115"/>
      <c r="O9" s="315"/>
    </row>
    <row r="10" spans="1:16" ht="17.149999999999999" customHeight="1" x14ac:dyDescent="0.35">
      <c r="A10" s="317" t="s">
        <v>245</v>
      </c>
      <c r="B10" s="290">
        <f t="shared" ref="B10:B20" si="0">C10</f>
        <v>0</v>
      </c>
      <c r="C10" s="6">
        <v>0</v>
      </c>
      <c r="D10" s="296">
        <v>0</v>
      </c>
      <c r="E10" s="299">
        <v>0</v>
      </c>
      <c r="F10" s="6">
        <v>0</v>
      </c>
      <c r="G10" s="296">
        <v>0</v>
      </c>
      <c r="H10" s="290">
        <f>IF(C10=0,0,$B$7)</f>
        <v>0</v>
      </c>
      <c r="I10" s="7">
        <f>SUM(D10:G10)</f>
        <v>0</v>
      </c>
      <c r="J10" s="325" t="str">
        <f>IF(D10=0,"n/a",E10/D10)</f>
        <v>n/a</v>
      </c>
      <c r="K10" s="290">
        <f>D10*B10</f>
        <v>0</v>
      </c>
      <c r="L10" s="7">
        <f>E10*B10</f>
        <v>0</v>
      </c>
      <c r="M10" s="7">
        <f>F10*B10</f>
        <v>0</v>
      </c>
      <c r="N10" s="7">
        <f>G10*B10</f>
        <v>0</v>
      </c>
      <c r="O10" s="291">
        <f>C10*H10</f>
        <v>0</v>
      </c>
    </row>
    <row r="11" spans="1:16" ht="17.149999999999999" customHeight="1" x14ac:dyDescent="0.35">
      <c r="A11" s="317" t="s">
        <v>296</v>
      </c>
      <c r="B11" s="290">
        <f t="shared" si="0"/>
        <v>0</v>
      </c>
      <c r="C11" s="6">
        <v>0</v>
      </c>
      <c r="D11" s="296">
        <v>0</v>
      </c>
      <c r="E11" s="299">
        <v>0</v>
      </c>
      <c r="F11" s="6">
        <v>0</v>
      </c>
      <c r="G11" s="296">
        <v>0</v>
      </c>
      <c r="H11" s="290">
        <f t="shared" ref="H11:H22" si="1">IF(C11=0,0,$B$7)</f>
        <v>0</v>
      </c>
      <c r="I11" s="7">
        <f t="shared" ref="I11:I32" si="2">SUM(D11:G11)</f>
        <v>0</v>
      </c>
      <c r="J11" s="325" t="str">
        <f t="shared" ref="J11:J32" si="3">IF(D11=0,"n/a",E11/D11)</f>
        <v>n/a</v>
      </c>
      <c r="K11" s="290">
        <f t="shared" ref="K11:K32" si="4">D11*B11</f>
        <v>0</v>
      </c>
      <c r="L11" s="7">
        <f t="shared" ref="L11:L22" si="5">E11*B11</f>
        <v>0</v>
      </c>
      <c r="M11" s="7">
        <f t="shared" ref="M11:M22" si="6">F11*B11</f>
        <v>0</v>
      </c>
      <c r="N11" s="7">
        <f t="shared" ref="N11:N22" si="7">G11*B11</f>
        <v>0</v>
      </c>
      <c r="O11" s="291">
        <f t="shared" ref="O11:O32" si="8">C11*H11</f>
        <v>0</v>
      </c>
    </row>
    <row r="12" spans="1:16" ht="17.149999999999999" customHeight="1" x14ac:dyDescent="0.35">
      <c r="A12" s="317" t="s">
        <v>297</v>
      </c>
      <c r="B12" s="290">
        <f t="shared" si="0"/>
        <v>0</v>
      </c>
      <c r="C12" s="6">
        <v>0</v>
      </c>
      <c r="D12" s="296">
        <v>0</v>
      </c>
      <c r="E12" s="299">
        <v>0</v>
      </c>
      <c r="F12" s="6">
        <v>0</v>
      </c>
      <c r="G12" s="296">
        <v>0</v>
      </c>
      <c r="H12" s="290">
        <f t="shared" si="1"/>
        <v>0</v>
      </c>
      <c r="I12" s="7">
        <f t="shared" si="2"/>
        <v>0</v>
      </c>
      <c r="J12" s="325" t="str">
        <f t="shared" si="3"/>
        <v>n/a</v>
      </c>
      <c r="K12" s="290">
        <f t="shared" si="4"/>
        <v>0</v>
      </c>
      <c r="L12" s="7">
        <f t="shared" si="5"/>
        <v>0</v>
      </c>
      <c r="M12" s="7">
        <f t="shared" si="6"/>
        <v>0</v>
      </c>
      <c r="N12" s="7">
        <f t="shared" si="7"/>
        <v>0</v>
      </c>
      <c r="O12" s="291">
        <f t="shared" si="8"/>
        <v>0</v>
      </c>
    </row>
    <row r="13" spans="1:16" ht="17.149999999999999" customHeight="1" x14ac:dyDescent="0.35">
      <c r="A13" s="317" t="s">
        <v>298</v>
      </c>
      <c r="B13" s="290">
        <f t="shared" si="0"/>
        <v>0</v>
      </c>
      <c r="C13" s="6">
        <v>0</v>
      </c>
      <c r="D13" s="296">
        <v>0</v>
      </c>
      <c r="E13" s="299">
        <v>0</v>
      </c>
      <c r="F13" s="6">
        <v>0</v>
      </c>
      <c r="G13" s="296">
        <v>0</v>
      </c>
      <c r="H13" s="290">
        <f t="shared" si="1"/>
        <v>0</v>
      </c>
      <c r="I13" s="7">
        <f t="shared" si="2"/>
        <v>0</v>
      </c>
      <c r="J13" s="325" t="str">
        <f t="shared" si="3"/>
        <v>n/a</v>
      </c>
      <c r="K13" s="290">
        <f t="shared" si="4"/>
        <v>0</v>
      </c>
      <c r="L13" s="7">
        <f t="shared" si="5"/>
        <v>0</v>
      </c>
      <c r="M13" s="7">
        <f t="shared" si="6"/>
        <v>0</v>
      </c>
      <c r="N13" s="7">
        <f t="shared" si="7"/>
        <v>0</v>
      </c>
      <c r="O13" s="291">
        <f t="shared" si="8"/>
        <v>0</v>
      </c>
    </row>
    <row r="14" spans="1:16" ht="17.149999999999999" customHeight="1" x14ac:dyDescent="0.35">
      <c r="A14" s="317" t="s">
        <v>299</v>
      </c>
      <c r="B14" s="290">
        <f t="shared" si="0"/>
        <v>0</v>
      </c>
      <c r="C14" s="6">
        <v>0</v>
      </c>
      <c r="D14" s="296">
        <v>0</v>
      </c>
      <c r="E14" s="299">
        <v>0</v>
      </c>
      <c r="F14" s="6">
        <v>0</v>
      </c>
      <c r="G14" s="296">
        <v>0</v>
      </c>
      <c r="H14" s="290">
        <f t="shared" si="1"/>
        <v>0</v>
      </c>
      <c r="I14" s="7">
        <f t="shared" si="2"/>
        <v>0</v>
      </c>
      <c r="J14" s="325" t="str">
        <f t="shared" si="3"/>
        <v>n/a</v>
      </c>
      <c r="K14" s="290">
        <f t="shared" si="4"/>
        <v>0</v>
      </c>
      <c r="L14" s="7">
        <f t="shared" si="5"/>
        <v>0</v>
      </c>
      <c r="M14" s="7">
        <f t="shared" si="6"/>
        <v>0</v>
      </c>
      <c r="N14" s="7">
        <f t="shared" si="7"/>
        <v>0</v>
      </c>
      <c r="O14" s="291">
        <f t="shared" si="8"/>
        <v>0</v>
      </c>
    </row>
    <row r="15" spans="1:16" ht="17.149999999999999" customHeight="1" x14ac:dyDescent="0.35">
      <c r="A15" s="317" t="s">
        <v>300</v>
      </c>
      <c r="B15" s="290">
        <f t="shared" si="0"/>
        <v>0</v>
      </c>
      <c r="C15" s="6">
        <v>0</v>
      </c>
      <c r="D15" s="296">
        <v>0</v>
      </c>
      <c r="E15" s="299">
        <v>0</v>
      </c>
      <c r="F15" s="6">
        <v>0</v>
      </c>
      <c r="G15" s="296">
        <v>0</v>
      </c>
      <c r="H15" s="290">
        <f t="shared" si="1"/>
        <v>0</v>
      </c>
      <c r="I15" s="7">
        <f t="shared" si="2"/>
        <v>0</v>
      </c>
      <c r="J15" s="325" t="str">
        <f t="shared" si="3"/>
        <v>n/a</v>
      </c>
      <c r="K15" s="290">
        <f t="shared" si="4"/>
        <v>0</v>
      </c>
      <c r="L15" s="7">
        <f t="shared" si="5"/>
        <v>0</v>
      </c>
      <c r="M15" s="7">
        <f t="shared" si="6"/>
        <v>0</v>
      </c>
      <c r="N15" s="7">
        <f t="shared" si="7"/>
        <v>0</v>
      </c>
      <c r="O15" s="291">
        <f t="shared" si="8"/>
        <v>0</v>
      </c>
    </row>
    <row r="16" spans="1:16" ht="17.149999999999999" customHeight="1" x14ac:dyDescent="0.35">
      <c r="A16" s="317" t="s">
        <v>300</v>
      </c>
      <c r="B16" s="290">
        <f t="shared" si="0"/>
        <v>0</v>
      </c>
      <c r="C16" s="6">
        <v>0</v>
      </c>
      <c r="D16" s="296">
        <v>0</v>
      </c>
      <c r="E16" s="299">
        <v>0</v>
      </c>
      <c r="F16" s="6">
        <v>0</v>
      </c>
      <c r="G16" s="296">
        <v>0</v>
      </c>
      <c r="H16" s="290">
        <f t="shared" si="1"/>
        <v>0</v>
      </c>
      <c r="I16" s="7">
        <f t="shared" si="2"/>
        <v>0</v>
      </c>
      <c r="J16" s="325" t="str">
        <f t="shared" si="3"/>
        <v>n/a</v>
      </c>
      <c r="K16" s="290">
        <f t="shared" si="4"/>
        <v>0</v>
      </c>
      <c r="L16" s="7">
        <f t="shared" si="5"/>
        <v>0</v>
      </c>
      <c r="M16" s="7">
        <f t="shared" si="6"/>
        <v>0</v>
      </c>
      <c r="N16" s="7">
        <f t="shared" si="7"/>
        <v>0</v>
      </c>
      <c r="O16" s="291">
        <f t="shared" si="8"/>
        <v>0</v>
      </c>
    </row>
    <row r="17" spans="1:15" ht="17.149999999999999" customHeight="1" x14ac:dyDescent="0.35">
      <c r="A17" s="317" t="s">
        <v>300</v>
      </c>
      <c r="B17" s="290">
        <f t="shared" si="0"/>
        <v>0</v>
      </c>
      <c r="C17" s="6">
        <v>0</v>
      </c>
      <c r="D17" s="296">
        <v>0</v>
      </c>
      <c r="E17" s="299">
        <v>0</v>
      </c>
      <c r="F17" s="6">
        <v>0</v>
      </c>
      <c r="G17" s="296">
        <v>0</v>
      </c>
      <c r="H17" s="290">
        <f t="shared" si="1"/>
        <v>0</v>
      </c>
      <c r="I17" s="7">
        <f t="shared" si="2"/>
        <v>0</v>
      </c>
      <c r="J17" s="325" t="str">
        <f t="shared" si="3"/>
        <v>n/a</v>
      </c>
      <c r="K17" s="290">
        <f t="shared" si="4"/>
        <v>0</v>
      </c>
      <c r="L17" s="7">
        <f t="shared" si="5"/>
        <v>0</v>
      </c>
      <c r="M17" s="7">
        <f t="shared" si="6"/>
        <v>0</v>
      </c>
      <c r="N17" s="7">
        <f t="shared" si="7"/>
        <v>0</v>
      </c>
      <c r="O17" s="291">
        <f t="shared" si="8"/>
        <v>0</v>
      </c>
    </row>
    <row r="18" spans="1:15" ht="17.149999999999999" customHeight="1" x14ac:dyDescent="0.35">
      <c r="A18" s="317" t="s">
        <v>300</v>
      </c>
      <c r="B18" s="290">
        <f t="shared" si="0"/>
        <v>0</v>
      </c>
      <c r="C18" s="6">
        <v>0</v>
      </c>
      <c r="D18" s="296">
        <v>0</v>
      </c>
      <c r="E18" s="299">
        <v>0</v>
      </c>
      <c r="F18" s="6">
        <v>0</v>
      </c>
      <c r="G18" s="296">
        <v>0</v>
      </c>
      <c r="H18" s="290">
        <f t="shared" si="1"/>
        <v>0</v>
      </c>
      <c r="I18" s="7">
        <f t="shared" si="2"/>
        <v>0</v>
      </c>
      <c r="J18" s="325" t="str">
        <f t="shared" si="3"/>
        <v>n/a</v>
      </c>
      <c r="K18" s="290">
        <f t="shared" si="4"/>
        <v>0</v>
      </c>
      <c r="L18" s="7">
        <f t="shared" si="5"/>
        <v>0</v>
      </c>
      <c r="M18" s="7">
        <f t="shared" si="6"/>
        <v>0</v>
      </c>
      <c r="N18" s="7">
        <f t="shared" si="7"/>
        <v>0</v>
      </c>
      <c r="O18" s="291">
        <f t="shared" si="8"/>
        <v>0</v>
      </c>
    </row>
    <row r="19" spans="1:15" ht="17.149999999999999" customHeight="1" x14ac:dyDescent="0.35">
      <c r="A19" s="317" t="s">
        <v>300</v>
      </c>
      <c r="B19" s="290">
        <f t="shared" si="0"/>
        <v>0</v>
      </c>
      <c r="C19" s="6">
        <v>0</v>
      </c>
      <c r="D19" s="296">
        <v>0</v>
      </c>
      <c r="E19" s="299">
        <v>0</v>
      </c>
      <c r="F19" s="6">
        <v>0</v>
      </c>
      <c r="G19" s="296">
        <v>0</v>
      </c>
      <c r="H19" s="290">
        <f t="shared" si="1"/>
        <v>0</v>
      </c>
      <c r="I19" s="7">
        <f t="shared" si="2"/>
        <v>0</v>
      </c>
      <c r="J19" s="325" t="str">
        <f t="shared" si="3"/>
        <v>n/a</v>
      </c>
      <c r="K19" s="290">
        <f t="shared" si="4"/>
        <v>0</v>
      </c>
      <c r="L19" s="7">
        <f t="shared" si="5"/>
        <v>0</v>
      </c>
      <c r="M19" s="7">
        <f t="shared" si="6"/>
        <v>0</v>
      </c>
      <c r="N19" s="7">
        <f t="shared" si="7"/>
        <v>0</v>
      </c>
      <c r="O19" s="291">
        <f t="shared" si="8"/>
        <v>0</v>
      </c>
    </row>
    <row r="20" spans="1:15" ht="17.149999999999999" customHeight="1" x14ac:dyDescent="0.35">
      <c r="A20" s="317" t="s">
        <v>300</v>
      </c>
      <c r="B20" s="290">
        <f t="shared" si="0"/>
        <v>0</v>
      </c>
      <c r="C20" s="6">
        <v>0</v>
      </c>
      <c r="D20" s="296">
        <v>0</v>
      </c>
      <c r="E20" s="299">
        <v>0</v>
      </c>
      <c r="F20" s="6">
        <v>0</v>
      </c>
      <c r="G20" s="296">
        <v>0</v>
      </c>
      <c r="H20" s="290">
        <f t="shared" si="1"/>
        <v>0</v>
      </c>
      <c r="I20" s="7">
        <f t="shared" si="2"/>
        <v>0</v>
      </c>
      <c r="J20" s="325" t="str">
        <f t="shared" si="3"/>
        <v>n/a</v>
      </c>
      <c r="K20" s="290">
        <f t="shared" si="4"/>
        <v>0</v>
      </c>
      <c r="L20" s="7">
        <f t="shared" si="5"/>
        <v>0</v>
      </c>
      <c r="M20" s="7">
        <f t="shared" si="6"/>
        <v>0</v>
      </c>
      <c r="N20" s="7">
        <f t="shared" si="7"/>
        <v>0</v>
      </c>
      <c r="O20" s="291">
        <f t="shared" si="8"/>
        <v>0</v>
      </c>
    </row>
    <row r="21" spans="1:15" ht="17.149999999999999" customHeight="1" x14ac:dyDescent="0.35">
      <c r="A21" s="318" t="s">
        <v>301</v>
      </c>
      <c r="B21" s="290">
        <f>C21</f>
        <v>0</v>
      </c>
      <c r="C21" s="6">
        <v>0</v>
      </c>
      <c r="D21" s="296">
        <v>0</v>
      </c>
      <c r="E21" s="299">
        <v>0</v>
      </c>
      <c r="F21" s="6">
        <v>0</v>
      </c>
      <c r="G21" s="296">
        <v>0</v>
      </c>
      <c r="H21" s="290">
        <f t="shared" si="1"/>
        <v>0</v>
      </c>
      <c r="I21" s="7">
        <f t="shared" si="2"/>
        <v>0</v>
      </c>
      <c r="J21" s="325" t="str">
        <f t="shared" si="3"/>
        <v>n/a</v>
      </c>
      <c r="K21" s="290">
        <f t="shared" si="4"/>
        <v>0</v>
      </c>
      <c r="L21" s="7">
        <f t="shared" si="5"/>
        <v>0</v>
      </c>
      <c r="M21" s="7">
        <f t="shared" si="6"/>
        <v>0</v>
      </c>
      <c r="N21" s="7">
        <f t="shared" si="7"/>
        <v>0</v>
      </c>
      <c r="O21" s="291">
        <f t="shared" si="8"/>
        <v>0</v>
      </c>
    </row>
    <row r="22" spans="1:15" ht="17.149999999999999" customHeight="1" x14ac:dyDescent="0.35">
      <c r="A22" s="318" t="s">
        <v>302</v>
      </c>
      <c r="B22" s="290">
        <f>C22</f>
        <v>0</v>
      </c>
      <c r="C22" s="6">
        <v>0</v>
      </c>
      <c r="D22" s="296">
        <v>0</v>
      </c>
      <c r="E22" s="299">
        <v>0</v>
      </c>
      <c r="F22" s="6">
        <v>0</v>
      </c>
      <c r="G22" s="296">
        <v>0</v>
      </c>
      <c r="H22" s="290">
        <f t="shared" si="1"/>
        <v>0</v>
      </c>
      <c r="I22" s="7">
        <f t="shared" si="2"/>
        <v>0</v>
      </c>
      <c r="J22" s="325" t="str">
        <f t="shared" si="3"/>
        <v>n/a</v>
      </c>
      <c r="K22" s="290">
        <f t="shared" si="4"/>
        <v>0</v>
      </c>
      <c r="L22" s="7">
        <f t="shared" si="5"/>
        <v>0</v>
      </c>
      <c r="M22" s="7">
        <f t="shared" si="6"/>
        <v>0</v>
      </c>
      <c r="N22" s="7">
        <f t="shared" si="7"/>
        <v>0</v>
      </c>
      <c r="O22" s="291">
        <f t="shared" si="8"/>
        <v>0</v>
      </c>
    </row>
    <row r="23" spans="1:15" ht="28.5" customHeight="1" x14ac:dyDescent="0.35">
      <c r="A23" s="320" t="s">
        <v>303</v>
      </c>
      <c r="B23" s="314"/>
      <c r="C23" s="115"/>
      <c r="D23" s="315"/>
      <c r="E23" s="316"/>
      <c r="F23" s="115"/>
      <c r="G23" s="315"/>
      <c r="H23" s="314"/>
      <c r="I23" s="115"/>
      <c r="J23" s="326"/>
      <c r="K23" s="314"/>
      <c r="L23" s="115"/>
      <c r="M23" s="115"/>
      <c r="N23" s="115"/>
      <c r="O23" s="315"/>
    </row>
    <row r="24" spans="1:15" ht="17.149999999999999" customHeight="1" x14ac:dyDescent="0.35">
      <c r="A24" s="318" t="s">
        <v>304</v>
      </c>
      <c r="B24" s="295">
        <v>0</v>
      </c>
      <c r="C24" s="7">
        <f>B24*0.9</f>
        <v>0</v>
      </c>
      <c r="D24" s="296">
        <v>0</v>
      </c>
      <c r="E24" s="299">
        <v>0</v>
      </c>
      <c r="F24" s="6">
        <v>0</v>
      </c>
      <c r="G24" s="296">
        <v>0</v>
      </c>
      <c r="H24" s="293">
        <f>IF(B24=0,0,ROUNDDOWN(0.9*$B$7,0))</f>
        <v>0</v>
      </c>
      <c r="I24" s="8">
        <f t="shared" si="2"/>
        <v>0</v>
      </c>
      <c r="J24" s="325" t="str">
        <f t="shared" si="3"/>
        <v>n/a</v>
      </c>
      <c r="K24" s="290">
        <f t="shared" si="4"/>
        <v>0</v>
      </c>
      <c r="L24" s="7">
        <f t="shared" ref="L24:L32" si="9">E24*B24</f>
        <v>0</v>
      </c>
      <c r="M24" s="7">
        <f t="shared" ref="M24:M32" si="10">F24*B24</f>
        <v>0</v>
      </c>
      <c r="N24" s="7">
        <f t="shared" ref="N24:N32" si="11">G24*B24</f>
        <v>0</v>
      </c>
      <c r="O24" s="291">
        <f t="shared" si="8"/>
        <v>0</v>
      </c>
    </row>
    <row r="25" spans="1:15" ht="17.149999999999999" customHeight="1" x14ac:dyDescent="0.35">
      <c r="A25" s="318" t="s">
        <v>305</v>
      </c>
      <c r="B25" s="295">
        <v>0</v>
      </c>
      <c r="C25" s="7">
        <f>B25*0.8</f>
        <v>0</v>
      </c>
      <c r="D25" s="296">
        <v>0</v>
      </c>
      <c r="E25" s="299">
        <v>0</v>
      </c>
      <c r="F25" s="6">
        <v>0</v>
      </c>
      <c r="G25" s="296">
        <v>0</v>
      </c>
      <c r="H25" s="293">
        <f>IF(B25=0,0,ROUNDDOWN(0.8*$B$7,0))</f>
        <v>0</v>
      </c>
      <c r="I25" s="8">
        <f t="shared" si="2"/>
        <v>0</v>
      </c>
      <c r="J25" s="325" t="str">
        <f t="shared" si="3"/>
        <v>n/a</v>
      </c>
      <c r="K25" s="290">
        <f t="shared" si="4"/>
        <v>0</v>
      </c>
      <c r="L25" s="7">
        <f t="shared" si="9"/>
        <v>0</v>
      </c>
      <c r="M25" s="7">
        <f t="shared" si="10"/>
        <v>0</v>
      </c>
      <c r="N25" s="7">
        <f t="shared" si="11"/>
        <v>0</v>
      </c>
      <c r="O25" s="291">
        <f t="shared" si="8"/>
        <v>0</v>
      </c>
    </row>
    <row r="26" spans="1:15" ht="17.149999999999999" customHeight="1" x14ac:dyDescent="0.35">
      <c r="A26" s="318" t="s">
        <v>306</v>
      </c>
      <c r="B26" s="295">
        <v>0</v>
      </c>
      <c r="C26" s="7">
        <f>B26*0.7</f>
        <v>0</v>
      </c>
      <c r="D26" s="296">
        <v>0</v>
      </c>
      <c r="E26" s="299">
        <v>0</v>
      </c>
      <c r="F26" s="6">
        <v>0</v>
      </c>
      <c r="G26" s="296">
        <v>0</v>
      </c>
      <c r="H26" s="293">
        <f>IF(B26=0,0,ROUNDDOWN(0.7*$B$7,0))</f>
        <v>0</v>
      </c>
      <c r="I26" s="8">
        <f t="shared" si="2"/>
        <v>0</v>
      </c>
      <c r="J26" s="325" t="str">
        <f t="shared" si="3"/>
        <v>n/a</v>
      </c>
      <c r="K26" s="290">
        <f t="shared" si="4"/>
        <v>0</v>
      </c>
      <c r="L26" s="7">
        <f t="shared" si="9"/>
        <v>0</v>
      </c>
      <c r="M26" s="7">
        <f t="shared" si="10"/>
        <v>0</v>
      </c>
      <c r="N26" s="7">
        <f t="shared" si="11"/>
        <v>0</v>
      </c>
      <c r="O26" s="291">
        <f t="shared" si="8"/>
        <v>0</v>
      </c>
    </row>
    <row r="27" spans="1:15" ht="17.149999999999999" customHeight="1" x14ac:dyDescent="0.35">
      <c r="A27" s="318" t="s">
        <v>307</v>
      </c>
      <c r="B27" s="295">
        <v>0</v>
      </c>
      <c r="C27" s="7">
        <f>B27*0.6</f>
        <v>0</v>
      </c>
      <c r="D27" s="296">
        <v>0</v>
      </c>
      <c r="E27" s="299">
        <v>0</v>
      </c>
      <c r="F27" s="6">
        <v>0</v>
      </c>
      <c r="G27" s="296">
        <v>0</v>
      </c>
      <c r="H27" s="293">
        <f>IF(B27=0,0,ROUNDDOWN(0.6*$B$7,0))</f>
        <v>0</v>
      </c>
      <c r="I27" s="8">
        <f t="shared" si="2"/>
        <v>0</v>
      </c>
      <c r="J27" s="325" t="str">
        <f t="shared" si="3"/>
        <v>n/a</v>
      </c>
      <c r="K27" s="290">
        <f t="shared" si="4"/>
        <v>0</v>
      </c>
      <c r="L27" s="7">
        <f t="shared" si="9"/>
        <v>0</v>
      </c>
      <c r="M27" s="7">
        <f t="shared" si="10"/>
        <v>0</v>
      </c>
      <c r="N27" s="7">
        <f t="shared" si="11"/>
        <v>0</v>
      </c>
      <c r="O27" s="291">
        <f t="shared" si="8"/>
        <v>0</v>
      </c>
    </row>
    <row r="28" spans="1:15" ht="17.149999999999999" customHeight="1" x14ac:dyDescent="0.35">
      <c r="A28" s="318" t="s">
        <v>308</v>
      </c>
      <c r="B28" s="295">
        <v>0</v>
      </c>
      <c r="C28" s="7">
        <f>B28*0.5</f>
        <v>0</v>
      </c>
      <c r="D28" s="296">
        <v>0</v>
      </c>
      <c r="E28" s="299">
        <v>0</v>
      </c>
      <c r="F28" s="6">
        <v>0</v>
      </c>
      <c r="G28" s="296">
        <v>0</v>
      </c>
      <c r="H28" s="293">
        <f>IF(B28=0,0,ROUNDDOWN(0.5*$B$7,0))</f>
        <v>0</v>
      </c>
      <c r="I28" s="8">
        <f t="shared" si="2"/>
        <v>0</v>
      </c>
      <c r="J28" s="325" t="str">
        <f t="shared" si="3"/>
        <v>n/a</v>
      </c>
      <c r="K28" s="290">
        <f t="shared" si="4"/>
        <v>0</v>
      </c>
      <c r="L28" s="7">
        <f t="shared" si="9"/>
        <v>0</v>
      </c>
      <c r="M28" s="7">
        <f t="shared" si="10"/>
        <v>0</v>
      </c>
      <c r="N28" s="7">
        <f t="shared" si="11"/>
        <v>0</v>
      </c>
      <c r="O28" s="291">
        <f t="shared" si="8"/>
        <v>0</v>
      </c>
    </row>
    <row r="29" spans="1:15" ht="17.149999999999999" customHeight="1" x14ac:dyDescent="0.35">
      <c r="A29" s="318" t="s">
        <v>309</v>
      </c>
      <c r="B29" s="295">
        <v>0</v>
      </c>
      <c r="C29" s="7">
        <f>B29*0.4</f>
        <v>0</v>
      </c>
      <c r="D29" s="296">
        <v>0</v>
      </c>
      <c r="E29" s="299">
        <v>0</v>
      </c>
      <c r="F29" s="6">
        <v>0</v>
      </c>
      <c r="G29" s="296">
        <v>0</v>
      </c>
      <c r="H29" s="293">
        <f>IF(B29=0,0,ROUNDDOWN(0.4*$B$7,0))</f>
        <v>0</v>
      </c>
      <c r="I29" s="8">
        <f t="shared" si="2"/>
        <v>0</v>
      </c>
      <c r="J29" s="325" t="str">
        <f t="shared" si="3"/>
        <v>n/a</v>
      </c>
      <c r="K29" s="290">
        <f t="shared" si="4"/>
        <v>0</v>
      </c>
      <c r="L29" s="7">
        <f t="shared" si="9"/>
        <v>0</v>
      </c>
      <c r="M29" s="7">
        <f t="shared" si="10"/>
        <v>0</v>
      </c>
      <c r="N29" s="7">
        <f t="shared" si="11"/>
        <v>0</v>
      </c>
      <c r="O29" s="291">
        <f t="shared" si="8"/>
        <v>0</v>
      </c>
    </row>
    <row r="30" spans="1:15" ht="17.149999999999999" customHeight="1" x14ac:dyDescent="0.35">
      <c r="A30" s="318" t="s">
        <v>310</v>
      </c>
      <c r="B30" s="295">
        <v>0</v>
      </c>
      <c r="C30" s="7">
        <f>B30*0.3</f>
        <v>0</v>
      </c>
      <c r="D30" s="296">
        <v>0</v>
      </c>
      <c r="E30" s="299">
        <v>0</v>
      </c>
      <c r="F30" s="6">
        <v>0</v>
      </c>
      <c r="G30" s="296">
        <v>0</v>
      </c>
      <c r="H30" s="293">
        <f>IF(B30=0,0,ROUNDDOWN(0.3*$B$7,0))</f>
        <v>0</v>
      </c>
      <c r="I30" s="8">
        <f t="shared" si="2"/>
        <v>0</v>
      </c>
      <c r="J30" s="325" t="str">
        <f t="shared" si="3"/>
        <v>n/a</v>
      </c>
      <c r="K30" s="290">
        <f t="shared" si="4"/>
        <v>0</v>
      </c>
      <c r="L30" s="7">
        <f t="shared" si="9"/>
        <v>0</v>
      </c>
      <c r="M30" s="7">
        <f t="shared" si="10"/>
        <v>0</v>
      </c>
      <c r="N30" s="7">
        <f t="shared" si="11"/>
        <v>0</v>
      </c>
      <c r="O30" s="291">
        <f t="shared" si="8"/>
        <v>0</v>
      </c>
    </row>
    <row r="31" spans="1:15" ht="17.149999999999999" customHeight="1" x14ac:dyDescent="0.35">
      <c r="A31" s="318" t="s">
        <v>311</v>
      </c>
      <c r="B31" s="295">
        <v>0</v>
      </c>
      <c r="C31" s="7">
        <f>B31*0.2</f>
        <v>0</v>
      </c>
      <c r="D31" s="296">
        <v>0</v>
      </c>
      <c r="E31" s="299">
        <v>0</v>
      </c>
      <c r="F31" s="6">
        <v>0</v>
      </c>
      <c r="G31" s="296">
        <v>0</v>
      </c>
      <c r="H31" s="293">
        <f>IF(B31=0,0,ROUNDDOWN(0.2*$B$7,0))</f>
        <v>0</v>
      </c>
      <c r="I31" s="8">
        <f t="shared" si="2"/>
        <v>0</v>
      </c>
      <c r="J31" s="325" t="str">
        <f t="shared" si="3"/>
        <v>n/a</v>
      </c>
      <c r="K31" s="290">
        <f t="shared" si="4"/>
        <v>0</v>
      </c>
      <c r="L31" s="7">
        <f t="shared" si="9"/>
        <v>0</v>
      </c>
      <c r="M31" s="7">
        <f t="shared" si="10"/>
        <v>0</v>
      </c>
      <c r="N31" s="7">
        <f t="shared" si="11"/>
        <v>0</v>
      </c>
      <c r="O31" s="291">
        <f t="shared" si="8"/>
        <v>0</v>
      </c>
    </row>
    <row r="32" spans="1:15" ht="17.149999999999999" customHeight="1" thickBot="1" x14ac:dyDescent="0.4">
      <c r="A32" s="319" t="s">
        <v>312</v>
      </c>
      <c r="B32" s="313">
        <v>0</v>
      </c>
      <c r="C32" s="303">
        <f>B32*0.1</f>
        <v>0</v>
      </c>
      <c r="D32" s="305">
        <v>0</v>
      </c>
      <c r="E32" s="304">
        <v>0</v>
      </c>
      <c r="F32" s="302">
        <v>0</v>
      </c>
      <c r="G32" s="305">
        <v>0</v>
      </c>
      <c r="H32" s="306">
        <f>IF(B32=0,0,ROUNDDOWN(0.1*$B$7,0))</f>
        <v>0</v>
      </c>
      <c r="I32" s="307">
        <f t="shared" si="2"/>
        <v>0</v>
      </c>
      <c r="J32" s="327" t="str">
        <f t="shared" si="3"/>
        <v>n/a</v>
      </c>
      <c r="K32" s="301">
        <f t="shared" si="4"/>
        <v>0</v>
      </c>
      <c r="L32" s="303">
        <f t="shared" si="9"/>
        <v>0</v>
      </c>
      <c r="M32" s="303">
        <f t="shared" si="10"/>
        <v>0</v>
      </c>
      <c r="N32" s="303">
        <f t="shared" si="11"/>
        <v>0</v>
      </c>
      <c r="O32" s="308">
        <f t="shared" si="8"/>
        <v>0</v>
      </c>
    </row>
    <row r="33" spans="1:15" ht="17.149999999999999" customHeight="1" thickBot="1" x14ac:dyDescent="0.5">
      <c r="A33" s="343" t="s">
        <v>207</v>
      </c>
      <c r="B33" s="337">
        <f>SUM(B24:B32)+SUM(B10:B22)</f>
        <v>0</v>
      </c>
      <c r="C33" s="338">
        <f>SUM(C24:C32)+SUM(C10:C22)</f>
        <v>0</v>
      </c>
      <c r="D33" s="321"/>
      <c r="E33" s="322"/>
      <c r="F33" s="323"/>
      <c r="G33" s="321"/>
      <c r="H33" s="324"/>
      <c r="I33" s="323"/>
      <c r="J33" s="328"/>
      <c r="K33" s="339">
        <f>SUM(K10:K22)+SUM(K24:K32)</f>
        <v>0</v>
      </c>
      <c r="L33" s="340">
        <f t="shared" ref="L33:O33" si="12">SUM(L10:L22)+SUM(L24:L32)</f>
        <v>0</v>
      </c>
      <c r="M33" s="340">
        <f t="shared" si="12"/>
        <v>0</v>
      </c>
      <c r="N33" s="340">
        <f t="shared" si="12"/>
        <v>0</v>
      </c>
      <c r="O33" s="341">
        <f t="shared" si="12"/>
        <v>0</v>
      </c>
    </row>
    <row r="34" spans="1:15" ht="17.149999999999999" customHeight="1" x14ac:dyDescent="0.35">
      <c r="A34" s="342" t="s">
        <v>212</v>
      </c>
      <c r="B34" s="329">
        <f>IF(C33=0,0,K33/C33)</f>
        <v>0</v>
      </c>
    </row>
    <row r="35" spans="1:15" ht="17.149999999999999" customHeight="1" x14ac:dyDescent="0.35">
      <c r="A35" s="331" t="s">
        <v>313</v>
      </c>
      <c r="B35" s="330">
        <f>IF(B7=0,"n/a",B34/B7)</f>
        <v>0</v>
      </c>
    </row>
    <row r="36" spans="1:15" ht="17.149999999999999" customHeight="1" x14ac:dyDescent="0.35">
      <c r="A36" s="335" t="s">
        <v>314</v>
      </c>
      <c r="B36" s="336"/>
    </row>
    <row r="37" spans="1:15" ht="17.149999999999999" customHeight="1" x14ac:dyDescent="0.35">
      <c r="A37" s="331" t="s">
        <v>315</v>
      </c>
      <c r="B37" s="332">
        <f>IF(O33=0,0,K33/O33)</f>
        <v>0</v>
      </c>
    </row>
    <row r="38" spans="1:15" ht="17.149999999999999" customHeight="1" x14ac:dyDescent="0.35">
      <c r="A38" s="331" t="s">
        <v>316</v>
      </c>
      <c r="B38" s="332">
        <f>IF(O33=0,0,L33/O33)</f>
        <v>0</v>
      </c>
    </row>
    <row r="39" spans="1:15" ht="17.149999999999999" customHeight="1" x14ac:dyDescent="0.35">
      <c r="A39" s="331" t="s">
        <v>317</v>
      </c>
      <c r="B39" s="332">
        <f>IF(O33=0,0,M33/O33)</f>
        <v>0</v>
      </c>
    </row>
    <row r="40" spans="1:15" ht="17.149999999999999" customHeight="1" thickBot="1" x14ac:dyDescent="0.4">
      <c r="A40" s="334" t="s">
        <v>318</v>
      </c>
      <c r="B40" s="333">
        <f>IF(O33=0,0,N33/O33)</f>
        <v>0</v>
      </c>
    </row>
  </sheetData>
  <sheetProtection algorithmName="SHA-512" hashValue="z93MGbTkDeO91+jGsHqYfgZhWJXLL9c0sfNxRGk1RTlIEp7qAUAZPBYnwQS8BQFMkJRFrcSbiX635E56tQCnMg==" saltValue="MSmh8epbJOTbw0G33goZDA==" spinCount="100000" sheet="1" objects="1" scenarios="1"/>
  <conditionalFormatting sqref="C33">
    <cfRule type="expression" dxfId="2" priority="10">
      <formula>$C$33&lt;&gt;#REF!</formula>
    </cfRule>
  </conditionalFormatting>
  <conditionalFormatting sqref="I10:I22">
    <cfRule type="expression" dxfId="1" priority="2">
      <formula>$H10&lt;&gt;$I10</formula>
    </cfRule>
  </conditionalFormatting>
  <conditionalFormatting sqref="I24:I32">
    <cfRule type="expression" dxfId="0" priority="1">
      <formula>$H24&lt;&gt;$I24</formula>
    </cfRule>
  </conditionalFormatting>
  <pageMargins left="0.7" right="0.7" top="0.75" bottom="0.75" header="0.3" footer="0.3"/>
  <pageSetup paperSize="9" orientation="portrait" horizontalDpi="4294967294" verticalDpi="0" r:id="rId1"/>
  <ignoredErrors>
    <ignoredError sqref="I10:I2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sheetPr>
  <dimension ref="A1:J23"/>
  <sheetViews>
    <sheetView showGridLines="0" zoomScale="75" zoomScaleNormal="75" workbookViewId="0">
      <selection activeCell="A20" sqref="A20:C20"/>
    </sheetView>
  </sheetViews>
  <sheetFormatPr defaultRowHeight="14.5" x14ac:dyDescent="0.35"/>
  <cols>
    <col min="1" max="1" width="71.453125" customWidth="1"/>
    <col min="2" max="2" width="9.1796875" style="349"/>
    <col min="3" max="3" width="70.453125" customWidth="1"/>
    <col min="4" max="10" width="9.1796875" style="345"/>
  </cols>
  <sheetData>
    <row r="1" spans="1:5" x14ac:dyDescent="0.35">
      <c r="A1" s="351" t="s">
        <v>319</v>
      </c>
      <c r="B1" s="350"/>
      <c r="C1" s="346"/>
    </row>
    <row r="2" spans="1:5" x14ac:dyDescent="0.35">
      <c r="A2" s="63" t="s">
        <v>183</v>
      </c>
      <c r="B2" s="347">
        <v>410</v>
      </c>
      <c r="C2" s="344" t="s">
        <v>320</v>
      </c>
    </row>
    <row r="3" spans="1:5" x14ac:dyDescent="0.35">
      <c r="A3" s="63" t="s">
        <v>321</v>
      </c>
      <c r="B3" s="347">
        <v>133</v>
      </c>
      <c r="C3" s="344" t="s">
        <v>320</v>
      </c>
    </row>
    <row r="4" spans="1:5" x14ac:dyDescent="0.35">
      <c r="A4" s="63" t="s">
        <v>322</v>
      </c>
      <c r="B4" s="347">
        <v>10</v>
      </c>
      <c r="C4" s="344" t="s">
        <v>320</v>
      </c>
    </row>
    <row r="5" spans="1:5" x14ac:dyDescent="0.35">
      <c r="A5" s="63" t="s">
        <v>323</v>
      </c>
      <c r="B5" s="348">
        <f>B3/B4</f>
        <v>13.3</v>
      </c>
      <c r="C5" s="93" t="s">
        <v>324</v>
      </c>
    </row>
    <row r="6" spans="1:5" x14ac:dyDescent="0.35">
      <c r="A6" s="63" t="s">
        <v>325</v>
      </c>
      <c r="B6" s="348">
        <f>B2/B5</f>
        <v>30.82706766917293</v>
      </c>
      <c r="C6" s="93" t="s">
        <v>326</v>
      </c>
    </row>
    <row r="7" spans="1:5" x14ac:dyDescent="0.35">
      <c r="C7" s="344"/>
    </row>
    <row r="8" spans="1:5" x14ac:dyDescent="0.35">
      <c r="A8" s="353" t="s">
        <v>327</v>
      </c>
      <c r="B8" s="352"/>
      <c r="C8" s="346"/>
    </row>
    <row r="9" spans="1:5" x14ac:dyDescent="0.35">
      <c r="A9" s="63" t="s">
        <v>183</v>
      </c>
      <c r="B9" s="347">
        <v>410</v>
      </c>
      <c r="C9" s="344" t="s">
        <v>320</v>
      </c>
      <c r="E9" s="345" t="s">
        <v>328</v>
      </c>
    </row>
    <row r="10" spans="1:5" x14ac:dyDescent="0.35">
      <c r="A10" s="63" t="s">
        <v>321</v>
      </c>
      <c r="B10" s="347">
        <v>133</v>
      </c>
      <c r="C10" s="344" t="s">
        <v>320</v>
      </c>
    </row>
    <row r="11" spans="1:5" x14ac:dyDescent="0.35">
      <c r="A11" s="63" t="s">
        <v>329</v>
      </c>
      <c r="B11" s="347">
        <v>29</v>
      </c>
      <c r="C11" s="344" t="s">
        <v>320</v>
      </c>
    </row>
    <row r="12" spans="1:5" x14ac:dyDescent="0.35">
      <c r="A12" s="63" t="s">
        <v>330</v>
      </c>
      <c r="B12" s="348">
        <f>B10+B11</f>
        <v>162</v>
      </c>
      <c r="C12" s="344" t="s">
        <v>331</v>
      </c>
    </row>
    <row r="13" spans="1:5" x14ac:dyDescent="0.35">
      <c r="A13" s="63" t="s">
        <v>322</v>
      </c>
      <c r="B13" s="347">
        <v>10</v>
      </c>
      <c r="C13" s="344" t="s">
        <v>320</v>
      </c>
    </row>
    <row r="14" spans="1:5" x14ac:dyDescent="0.35">
      <c r="A14" s="63" t="s">
        <v>323</v>
      </c>
      <c r="B14" s="348">
        <f>B10/B13</f>
        <v>13.3</v>
      </c>
      <c r="C14" s="93" t="s">
        <v>332</v>
      </c>
    </row>
    <row r="15" spans="1:5" x14ac:dyDescent="0.35">
      <c r="A15" s="63" t="s">
        <v>325</v>
      </c>
      <c r="B15" s="348">
        <f>B9/B14</f>
        <v>30.82706766917293</v>
      </c>
      <c r="C15" s="93" t="s">
        <v>333</v>
      </c>
    </row>
    <row r="16" spans="1:5" x14ac:dyDescent="0.35">
      <c r="A16" s="63" t="s">
        <v>334</v>
      </c>
      <c r="B16" s="348">
        <f>B9*B13/B12</f>
        <v>25.308641975308642</v>
      </c>
      <c r="C16" s="93" t="s">
        <v>335</v>
      </c>
    </row>
    <row r="18" spans="1:3" ht="35.25" customHeight="1" x14ac:dyDescent="0.35">
      <c r="A18" s="428" t="s">
        <v>336</v>
      </c>
      <c r="B18" s="429"/>
      <c r="C18" s="430"/>
    </row>
    <row r="19" spans="1:3" x14ac:dyDescent="0.35">
      <c r="A19" s="271" t="s">
        <v>337</v>
      </c>
      <c r="B19" s="354"/>
      <c r="C19" s="355"/>
    </row>
    <row r="20" spans="1:3" ht="45" customHeight="1" x14ac:dyDescent="0.35">
      <c r="A20" s="431" t="s">
        <v>338</v>
      </c>
      <c r="B20" s="432"/>
      <c r="C20" s="433"/>
    </row>
    <row r="21" spans="1:3" ht="33" customHeight="1" x14ac:dyDescent="0.35">
      <c r="A21" s="431" t="s">
        <v>339</v>
      </c>
      <c r="B21" s="432"/>
      <c r="C21" s="433"/>
    </row>
    <row r="22" spans="1:3" ht="17.25" customHeight="1" x14ac:dyDescent="0.35">
      <c r="A22" s="438" t="s">
        <v>340</v>
      </c>
      <c r="B22" s="439"/>
      <c r="C22" s="440"/>
    </row>
    <row r="23" spans="1:3" ht="36.75" customHeight="1" x14ac:dyDescent="0.35">
      <c r="A23" s="435" t="s">
        <v>341</v>
      </c>
      <c r="B23" s="436"/>
      <c r="C23" s="437"/>
    </row>
  </sheetData>
  <sheetProtection algorithmName="SHA-512" hashValue="Ksuj2BAmzTbuyG7FJejx2ioVESvPCRmVTxokGrRHnWTbmL6ggDnbA7N2Wp9w5R8+IUWbF6oF1XdtLLpdc+A/+A==" saltValue="ya1s4XDOcB9vh/YsZxbizA==" spinCount="100000" sheet="1" objects="1" scenarios="1"/>
  <mergeCells count="5">
    <mergeCell ref="A18:C18"/>
    <mergeCell ref="A20:C20"/>
    <mergeCell ref="A21:C21"/>
    <mergeCell ref="A22:C22"/>
    <mergeCell ref="A23:C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
  <sheetViews>
    <sheetView showGridLines="0" zoomScale="75" zoomScaleNormal="75" workbookViewId="0"/>
  </sheetViews>
  <sheetFormatPr defaultColWidth="9.1796875" defaultRowHeight="14.5" x14ac:dyDescent="0.35"/>
  <cols>
    <col min="1" max="1" width="164.26953125" style="1" customWidth="1"/>
    <col min="2" max="2" width="11.81640625" style="1" customWidth="1"/>
    <col min="3" max="3" width="9.1796875" style="1"/>
    <col min="4" max="4" width="10.7265625" style="1" customWidth="1"/>
    <col min="5" max="5" width="10.1796875" style="1" customWidth="1"/>
    <col min="6" max="6" width="10" style="1" customWidth="1"/>
    <col min="7" max="10" width="9.1796875" style="1"/>
    <col min="11" max="11" width="11" style="1" customWidth="1"/>
    <col min="12" max="14" width="9.1796875" style="1"/>
    <col min="15" max="15" width="11.54296875" style="1" customWidth="1"/>
    <col min="16" max="16384" width="9.1796875" style="1"/>
  </cols>
  <sheetData>
    <row r="1" spans="1:1" ht="269.25" customHeight="1" x14ac:dyDescent="0.35">
      <c r="A1" s="356" t="s">
        <v>342</v>
      </c>
    </row>
  </sheetData>
  <sheetProtection algorithmName="SHA-512" hashValue="vHrXIBScfGRjsWCQsNgGu2dnsnt3LLUzpGeA+TrlLS5K6nSToCTqu4sPGnuRKk+RFiRkLoojUt5Oxfy2tEuBbQ==" saltValue="Ypg4lETdXcqKLwQa0836Fg==" spinCount="100000" sheet="1" objects="1" scenarios="1"/>
  <pageMargins left="0.7" right="0.7" top="0.75" bottom="0.75" header="0.3" footer="0.3"/>
  <pageSetup paperSize="9" orientation="portrait"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1:Q35"/>
  <sheetViews>
    <sheetView showGridLines="0" zoomScale="75" zoomScaleNormal="75" workbookViewId="0">
      <selection activeCell="A9" sqref="A9:Q9"/>
    </sheetView>
  </sheetViews>
  <sheetFormatPr defaultColWidth="9.1796875" defaultRowHeight="14.5" x14ac:dyDescent="0.35"/>
  <cols>
    <col min="1" max="1" width="7.1796875" style="1" customWidth="1"/>
    <col min="2" max="6" width="9.1796875" style="1"/>
    <col min="7" max="7" width="10.54296875" style="1" customWidth="1"/>
    <col min="8" max="11" width="9.1796875" style="1"/>
    <col min="12" max="12" width="13.1796875" style="1" customWidth="1"/>
    <col min="13" max="15" width="9.1796875" style="1"/>
    <col min="16" max="16" width="13" style="1" customWidth="1"/>
    <col min="17" max="17" width="15.54296875" style="1" customWidth="1"/>
    <col min="18" max="16384" width="9.1796875" style="1"/>
  </cols>
  <sheetData>
    <row r="1" spans="1:17" x14ac:dyDescent="0.35">
      <c r="A1" s="276" t="s">
        <v>343</v>
      </c>
      <c r="B1" s="204"/>
      <c r="C1" s="204"/>
      <c r="D1" s="204"/>
      <c r="E1" s="204"/>
      <c r="F1" s="204"/>
      <c r="G1" s="204"/>
      <c r="H1" s="204"/>
      <c r="I1" s="204"/>
      <c r="J1" s="204"/>
      <c r="K1" s="204"/>
      <c r="L1" s="204"/>
      <c r="M1" s="204"/>
      <c r="N1" s="204"/>
      <c r="O1" s="204"/>
      <c r="P1" s="204"/>
      <c r="Q1" s="205"/>
    </row>
    <row r="2" spans="1:17" x14ac:dyDescent="0.35">
      <c r="A2" s="271" t="s">
        <v>344</v>
      </c>
      <c r="B2" s="54"/>
      <c r="C2" s="54"/>
      <c r="D2" s="54"/>
      <c r="E2" s="54"/>
      <c r="F2" s="54"/>
      <c r="G2" s="54"/>
      <c r="H2" s="54"/>
      <c r="I2" s="54"/>
      <c r="J2" s="54"/>
      <c r="K2" s="54"/>
      <c r="L2" s="54"/>
      <c r="M2" s="54"/>
      <c r="N2" s="54"/>
      <c r="O2" s="54"/>
      <c r="P2" s="54"/>
      <c r="Q2" s="55"/>
    </row>
    <row r="3" spans="1:17" ht="28.5" customHeight="1" x14ac:dyDescent="0.35">
      <c r="A3" s="431" t="s">
        <v>345</v>
      </c>
      <c r="B3" s="432"/>
      <c r="C3" s="432"/>
      <c r="D3" s="432"/>
      <c r="E3" s="432"/>
      <c r="F3" s="432"/>
      <c r="G3" s="432"/>
      <c r="H3" s="432"/>
      <c r="I3" s="432"/>
      <c r="J3" s="432"/>
      <c r="K3" s="432"/>
      <c r="L3" s="432"/>
      <c r="M3" s="432"/>
      <c r="N3" s="432"/>
      <c r="O3" s="432"/>
      <c r="P3" s="432"/>
      <c r="Q3" s="433"/>
    </row>
    <row r="4" spans="1:17" ht="32.25" customHeight="1" x14ac:dyDescent="0.35">
      <c r="A4" s="431" t="s">
        <v>346</v>
      </c>
      <c r="B4" s="432"/>
      <c r="C4" s="432"/>
      <c r="D4" s="432"/>
      <c r="E4" s="432"/>
      <c r="F4" s="432"/>
      <c r="G4" s="432"/>
      <c r="H4" s="432"/>
      <c r="I4" s="432"/>
      <c r="J4" s="432"/>
      <c r="K4" s="432"/>
      <c r="L4" s="432"/>
      <c r="M4" s="432"/>
      <c r="N4" s="432"/>
      <c r="O4" s="432"/>
      <c r="P4" s="432"/>
      <c r="Q4" s="433"/>
    </row>
    <row r="5" spans="1:17" x14ac:dyDescent="0.35">
      <c r="A5" s="53"/>
      <c r="B5" s="54"/>
      <c r="C5" s="54"/>
      <c r="D5" s="54"/>
      <c r="E5" s="54"/>
      <c r="F5" s="54"/>
      <c r="G5" s="54"/>
      <c r="H5" s="54"/>
      <c r="I5" s="54"/>
      <c r="J5" s="54"/>
      <c r="K5" s="54"/>
      <c r="L5" s="54"/>
      <c r="M5" s="54"/>
      <c r="N5" s="54"/>
      <c r="O5" s="54"/>
      <c r="P5" s="54"/>
      <c r="Q5" s="55"/>
    </row>
    <row r="6" spans="1:17" x14ac:dyDescent="0.35">
      <c r="A6" s="53"/>
      <c r="B6" s="54" t="s">
        <v>347</v>
      </c>
      <c r="C6" s="54"/>
      <c r="D6" s="54"/>
      <c r="E6" s="54"/>
      <c r="F6" s="54"/>
      <c r="G6" s="54"/>
      <c r="H6" s="54"/>
      <c r="I6" s="54"/>
      <c r="J6" s="54"/>
      <c r="K6" s="54"/>
      <c r="L6" s="54"/>
      <c r="M6" s="54"/>
      <c r="N6" s="54"/>
      <c r="O6" s="54"/>
      <c r="P6" s="54"/>
      <c r="Q6" s="55"/>
    </row>
    <row r="7" spans="1:17" x14ac:dyDescent="0.35">
      <c r="A7" s="53"/>
      <c r="B7" s="54"/>
      <c r="C7" s="54"/>
      <c r="D7" s="54"/>
      <c r="E7" s="54"/>
      <c r="F7" s="54"/>
      <c r="G7" s="54"/>
      <c r="H7" s="54"/>
      <c r="I7" s="54"/>
      <c r="J7" s="54"/>
      <c r="K7" s="54"/>
      <c r="L7" s="54"/>
      <c r="M7" s="54"/>
      <c r="N7" s="54"/>
      <c r="O7" s="54"/>
      <c r="P7" s="54"/>
      <c r="Q7" s="55"/>
    </row>
    <row r="8" spans="1:17" x14ac:dyDescent="0.35">
      <c r="A8" s="272" t="s">
        <v>348</v>
      </c>
      <c r="B8" s="54"/>
      <c r="C8" s="54"/>
      <c r="D8" s="54"/>
      <c r="E8" s="54"/>
      <c r="F8" s="54"/>
      <c r="G8" s="54"/>
      <c r="H8" s="54"/>
      <c r="I8" s="54"/>
      <c r="J8" s="54"/>
      <c r="K8" s="54"/>
      <c r="L8" s="54"/>
      <c r="M8" s="54"/>
      <c r="N8" s="54"/>
      <c r="O8" s="54"/>
      <c r="P8" s="54"/>
      <c r="Q8" s="55"/>
    </row>
    <row r="9" spans="1:17" ht="30" customHeight="1" x14ac:dyDescent="0.35">
      <c r="A9" s="431" t="s">
        <v>349</v>
      </c>
      <c r="B9" s="432"/>
      <c r="C9" s="432"/>
      <c r="D9" s="432"/>
      <c r="E9" s="432"/>
      <c r="F9" s="432"/>
      <c r="G9" s="432"/>
      <c r="H9" s="432"/>
      <c r="I9" s="432"/>
      <c r="J9" s="432"/>
      <c r="K9" s="432"/>
      <c r="L9" s="432"/>
      <c r="M9" s="432"/>
      <c r="N9" s="432"/>
      <c r="O9" s="432"/>
      <c r="P9" s="432"/>
      <c r="Q9" s="433"/>
    </row>
    <row r="10" spans="1:17" x14ac:dyDescent="0.35">
      <c r="A10" s="277" t="s">
        <v>350</v>
      </c>
      <c r="B10" s="278"/>
      <c r="C10" s="278"/>
      <c r="D10" s="278"/>
      <c r="E10" s="278"/>
      <c r="F10" s="278"/>
      <c r="G10" s="278"/>
      <c r="H10" s="278"/>
      <c r="I10" s="278"/>
      <c r="J10" s="278"/>
      <c r="K10" s="278"/>
      <c r="L10" s="278"/>
      <c r="M10" s="278"/>
      <c r="N10" s="278"/>
      <c r="O10" s="278"/>
      <c r="P10" s="278"/>
      <c r="Q10" s="279"/>
    </row>
    <row r="11" spans="1:17" s="62" customFormat="1" x14ac:dyDescent="0.35">
      <c r="A11" s="358"/>
      <c r="B11" s="61"/>
      <c r="C11" s="61"/>
      <c r="D11" s="61"/>
      <c r="E11" s="61"/>
      <c r="F11" s="61"/>
      <c r="G11" s="61"/>
      <c r="H11" s="61"/>
      <c r="I11" s="61"/>
      <c r="J11" s="61"/>
      <c r="K11" s="61"/>
      <c r="L11" s="61"/>
      <c r="M11" s="61"/>
      <c r="N11" s="61"/>
      <c r="O11" s="61"/>
      <c r="P11" s="61"/>
      <c r="Q11" s="203"/>
    </row>
    <row r="12" spans="1:17" ht="26.25" customHeight="1" x14ac:dyDescent="0.35">
      <c r="A12" s="359" t="s">
        <v>351</v>
      </c>
      <c r="B12" s="206"/>
      <c r="C12" s="206"/>
      <c r="D12" s="206"/>
      <c r="E12" s="206"/>
      <c r="F12" s="206"/>
      <c r="G12" s="206"/>
      <c r="H12" s="206"/>
      <c r="I12" s="206"/>
      <c r="J12" s="206"/>
      <c r="K12" s="206"/>
      <c r="L12" s="206"/>
      <c r="M12" s="206"/>
      <c r="N12" s="206"/>
      <c r="O12" s="206"/>
      <c r="P12" s="206"/>
      <c r="Q12" s="207"/>
    </row>
    <row r="15" spans="1:17" x14ac:dyDescent="0.35">
      <c r="B15" s="75" t="s">
        <v>352</v>
      </c>
      <c r="C15" s="361"/>
      <c r="D15" s="361"/>
      <c r="E15" s="361"/>
      <c r="F15" s="361"/>
      <c r="G15" s="361"/>
      <c r="H15" s="361"/>
      <c r="I15" s="361"/>
      <c r="J15" s="361"/>
      <c r="K15" s="362"/>
      <c r="L15" s="68">
        <v>44000</v>
      </c>
    </row>
    <row r="16" spans="1:17" x14ac:dyDescent="0.35">
      <c r="B16" s="75" t="s">
        <v>353</v>
      </c>
      <c r="C16" s="361"/>
      <c r="D16" s="361"/>
      <c r="E16" s="361"/>
      <c r="F16" s="361"/>
      <c r="G16" s="361"/>
      <c r="H16" s="361"/>
      <c r="I16" s="361"/>
      <c r="J16" s="361"/>
      <c r="K16" s="362"/>
      <c r="L16" s="68">
        <v>1640000</v>
      </c>
    </row>
    <row r="17" spans="2:17" x14ac:dyDescent="0.35">
      <c r="B17" s="75" t="s">
        <v>354</v>
      </c>
      <c r="C17" s="361"/>
      <c r="D17" s="361"/>
      <c r="E17" s="361"/>
      <c r="F17" s="361"/>
      <c r="G17" s="361"/>
      <c r="H17" s="361"/>
      <c r="I17" s="361"/>
      <c r="J17" s="361"/>
      <c r="K17" s="362"/>
      <c r="L17" s="68">
        <v>892000</v>
      </c>
    </row>
    <row r="18" spans="2:17" x14ac:dyDescent="0.35">
      <c r="B18" s="75" t="s">
        <v>355</v>
      </c>
      <c r="C18" s="361"/>
      <c r="D18" s="361"/>
      <c r="E18" s="361"/>
      <c r="F18" s="361"/>
      <c r="G18" s="361"/>
      <c r="H18" s="361"/>
      <c r="I18" s="361"/>
      <c r="J18" s="361"/>
      <c r="K18" s="362"/>
      <c r="L18" s="363">
        <f>(L16-L17)/L16</f>
        <v>0.45609756097560977</v>
      </c>
    </row>
    <row r="19" spans="2:17" x14ac:dyDescent="0.35">
      <c r="B19" s="75" t="s">
        <v>356</v>
      </c>
      <c r="C19" s="361"/>
      <c r="D19" s="361"/>
      <c r="E19" s="361"/>
      <c r="F19" s="361"/>
      <c r="G19" s="361"/>
      <c r="H19" s="361"/>
      <c r="I19" s="361"/>
      <c r="J19" s="361"/>
      <c r="K19" s="362"/>
      <c r="L19" s="364">
        <v>10</v>
      </c>
    </row>
    <row r="20" spans="2:17" x14ac:dyDescent="0.35">
      <c r="B20" s="75" t="s">
        <v>357</v>
      </c>
      <c r="C20" s="361"/>
      <c r="D20" s="361"/>
      <c r="E20" s="361"/>
      <c r="F20" s="361"/>
      <c r="G20" s="361"/>
      <c r="H20" s="361"/>
      <c r="I20" s="361"/>
      <c r="J20" s="361"/>
      <c r="K20" s="362"/>
      <c r="L20" s="365">
        <v>0.79</v>
      </c>
    </row>
    <row r="21" spans="2:17" x14ac:dyDescent="0.35">
      <c r="B21" s="75" t="s">
        <v>183</v>
      </c>
      <c r="C21" s="361"/>
      <c r="D21" s="361"/>
      <c r="E21" s="361"/>
      <c r="F21" s="361"/>
      <c r="G21" s="361"/>
      <c r="H21" s="361"/>
      <c r="I21" s="361"/>
      <c r="J21" s="361"/>
      <c r="K21" s="362"/>
      <c r="L21" s="7">
        <v>410</v>
      </c>
    </row>
    <row r="22" spans="2:17" x14ac:dyDescent="0.35">
      <c r="B22" s="75" t="s">
        <v>358</v>
      </c>
      <c r="C22" s="361"/>
      <c r="D22" s="361"/>
      <c r="E22" s="361"/>
      <c r="F22" s="361"/>
      <c r="G22" s="361"/>
      <c r="H22" s="361"/>
      <c r="I22" s="361"/>
      <c r="J22" s="361"/>
      <c r="K22" s="362"/>
      <c r="L22" s="363">
        <f>(L20*L19*L18*L16/L21)/L15</f>
        <v>0.32756097560975617</v>
      </c>
    </row>
    <row r="23" spans="2:17" x14ac:dyDescent="0.35">
      <c r="B23" s="75" t="s">
        <v>359</v>
      </c>
      <c r="C23" s="361"/>
      <c r="D23" s="361"/>
      <c r="E23" s="361"/>
      <c r="F23" s="361"/>
      <c r="G23" s="361"/>
      <c r="H23" s="361"/>
      <c r="I23" s="361"/>
      <c r="J23" s="361"/>
      <c r="K23" s="362"/>
      <c r="L23" s="68">
        <f>L16/G35</f>
        <v>12211.466865227099</v>
      </c>
    </row>
    <row r="24" spans="2:17" s="16" customFormat="1" ht="30" customHeight="1" x14ac:dyDescent="0.35">
      <c r="B24" s="372" t="s">
        <v>360</v>
      </c>
      <c r="C24" s="366"/>
      <c r="D24" s="367"/>
      <c r="E24" s="283" t="s">
        <v>205</v>
      </c>
      <c r="F24" s="283" t="s">
        <v>361</v>
      </c>
      <c r="G24" s="283" t="s">
        <v>362</v>
      </c>
      <c r="H24" s="368" t="s">
        <v>363</v>
      </c>
      <c r="I24" s="368"/>
      <c r="J24" s="368"/>
      <c r="K24" s="368"/>
      <c r="L24" s="368"/>
      <c r="M24" s="368"/>
      <c r="N24" s="368"/>
      <c r="O24" s="368"/>
      <c r="P24" s="283" t="s">
        <v>364</v>
      </c>
      <c r="Q24" s="283" t="s">
        <v>365</v>
      </c>
    </row>
    <row r="25" spans="2:17" x14ac:dyDescent="0.35">
      <c r="B25" s="75" t="s">
        <v>106</v>
      </c>
      <c r="C25" s="361"/>
      <c r="D25" s="362"/>
      <c r="E25" s="93">
        <v>60</v>
      </c>
      <c r="F25" s="369">
        <f>E25*$L$22</f>
        <v>19.653658536585368</v>
      </c>
      <c r="G25" s="93">
        <v>18</v>
      </c>
      <c r="H25" s="75" t="s">
        <v>366</v>
      </c>
      <c r="I25" s="361"/>
      <c r="J25" s="361"/>
      <c r="K25" s="361"/>
      <c r="L25" s="361"/>
      <c r="M25" s="361"/>
      <c r="N25" s="361"/>
      <c r="O25" s="362"/>
      <c r="P25" s="68">
        <f>(G25-F25)*$L$23</f>
        <v>-20193.596425912157</v>
      </c>
      <c r="Q25" s="275">
        <f>P25/$L$16</f>
        <v>-1.2313168552385461E-2</v>
      </c>
    </row>
    <row r="26" spans="2:17" x14ac:dyDescent="0.35">
      <c r="B26" s="75" t="s">
        <v>107</v>
      </c>
      <c r="C26" s="361"/>
      <c r="D26" s="362"/>
      <c r="E26" s="93">
        <v>58</v>
      </c>
      <c r="F26" s="369">
        <f t="shared" ref="F26:F35" si="0">E26*$L$22</f>
        <v>18.998536585365859</v>
      </c>
      <c r="G26" s="93">
        <v>18</v>
      </c>
      <c r="H26" s="75" t="s">
        <v>366</v>
      </c>
      <c r="I26" s="361"/>
      <c r="J26" s="361"/>
      <c r="K26" s="361"/>
      <c r="L26" s="361"/>
      <c r="M26" s="361"/>
      <c r="N26" s="361"/>
      <c r="O26" s="362"/>
      <c r="P26" s="68">
        <f t="shared" ref="P26:P34" si="1">(G26-F26)*$L$23</f>
        <v>-12193.596425912192</v>
      </c>
      <c r="Q26" s="275">
        <f t="shared" ref="Q26:Q34" si="2">P26/$L$16</f>
        <v>-7.4351197718976782E-3</v>
      </c>
    </row>
    <row r="27" spans="2:17" x14ac:dyDescent="0.35">
      <c r="B27" s="75" t="s">
        <v>108</v>
      </c>
      <c r="C27" s="361"/>
      <c r="D27" s="362"/>
      <c r="E27" s="93">
        <v>57</v>
      </c>
      <c r="F27" s="369">
        <f t="shared" si="0"/>
        <v>18.670975609756102</v>
      </c>
      <c r="G27" s="93">
        <v>18</v>
      </c>
      <c r="H27" s="75" t="s">
        <v>366</v>
      </c>
      <c r="I27" s="361"/>
      <c r="J27" s="361"/>
      <c r="K27" s="361"/>
      <c r="L27" s="361"/>
      <c r="M27" s="361"/>
      <c r="N27" s="361"/>
      <c r="O27" s="362"/>
      <c r="P27" s="68">
        <f t="shared" si="1"/>
        <v>-8193.5964259121884</v>
      </c>
      <c r="Q27" s="275">
        <f t="shared" si="2"/>
        <v>-4.9960953816537736E-3</v>
      </c>
    </row>
    <row r="28" spans="2:17" x14ac:dyDescent="0.35">
      <c r="B28" s="75" t="s">
        <v>109</v>
      </c>
      <c r="C28" s="361"/>
      <c r="D28" s="362"/>
      <c r="E28" s="93">
        <v>60</v>
      </c>
      <c r="F28" s="369">
        <f t="shared" si="0"/>
        <v>19.653658536585368</v>
      </c>
      <c r="G28" s="93">
        <v>18</v>
      </c>
      <c r="H28" s="75" t="s">
        <v>366</v>
      </c>
      <c r="I28" s="361"/>
      <c r="J28" s="361"/>
      <c r="K28" s="361"/>
      <c r="L28" s="361"/>
      <c r="M28" s="361"/>
      <c r="N28" s="361"/>
      <c r="O28" s="362"/>
      <c r="P28" s="68">
        <f t="shared" si="1"/>
        <v>-20193.596425912157</v>
      </c>
      <c r="Q28" s="275">
        <f t="shared" si="2"/>
        <v>-1.2313168552385461E-2</v>
      </c>
    </row>
    <row r="29" spans="2:17" x14ac:dyDescent="0.35">
      <c r="B29" s="75" t="s">
        <v>110</v>
      </c>
      <c r="C29" s="361"/>
      <c r="D29" s="362"/>
      <c r="E29" s="93">
        <v>58</v>
      </c>
      <c r="F29" s="369">
        <f t="shared" si="0"/>
        <v>18.998536585365859</v>
      </c>
      <c r="G29" s="93">
        <v>18</v>
      </c>
      <c r="H29" s="75" t="s">
        <v>366</v>
      </c>
      <c r="I29" s="361"/>
      <c r="J29" s="361"/>
      <c r="K29" s="361"/>
      <c r="L29" s="361"/>
      <c r="M29" s="361"/>
      <c r="N29" s="361"/>
      <c r="O29" s="362"/>
      <c r="P29" s="68">
        <f t="shared" si="1"/>
        <v>-12193.596425912192</v>
      </c>
      <c r="Q29" s="275">
        <f t="shared" si="2"/>
        <v>-7.4351197718976782E-3</v>
      </c>
    </row>
    <row r="30" spans="2:17" x14ac:dyDescent="0.35">
      <c r="B30" s="75" t="s">
        <v>111</v>
      </c>
      <c r="C30" s="361"/>
      <c r="D30" s="362"/>
      <c r="E30" s="93">
        <v>57</v>
      </c>
      <c r="F30" s="369">
        <f t="shared" si="0"/>
        <v>18.670975609756102</v>
      </c>
      <c r="G30" s="93">
        <v>18</v>
      </c>
      <c r="H30" s="75" t="s">
        <v>366</v>
      </c>
      <c r="I30" s="361"/>
      <c r="J30" s="361"/>
      <c r="K30" s="361"/>
      <c r="L30" s="361"/>
      <c r="M30" s="361"/>
      <c r="N30" s="361"/>
      <c r="O30" s="362"/>
      <c r="P30" s="68">
        <f t="shared" si="1"/>
        <v>-8193.5964259121884</v>
      </c>
      <c r="Q30" s="275">
        <f t="shared" si="2"/>
        <v>-4.9960953816537736E-3</v>
      </c>
    </row>
    <row r="31" spans="2:17" x14ac:dyDescent="0.35">
      <c r="B31" s="75" t="s">
        <v>112</v>
      </c>
      <c r="C31" s="361"/>
      <c r="D31" s="362"/>
      <c r="E31" s="93">
        <v>60</v>
      </c>
      <c r="F31" s="369">
        <f t="shared" si="0"/>
        <v>19.653658536585368</v>
      </c>
      <c r="G31" s="93">
        <v>18</v>
      </c>
      <c r="H31" s="75" t="s">
        <v>366</v>
      </c>
      <c r="I31" s="361"/>
      <c r="J31" s="361"/>
      <c r="K31" s="361"/>
      <c r="L31" s="361"/>
      <c r="M31" s="361"/>
      <c r="N31" s="361"/>
      <c r="O31" s="362"/>
      <c r="P31" s="68">
        <f t="shared" si="1"/>
        <v>-20193.596425912157</v>
      </c>
      <c r="Q31" s="275">
        <f t="shared" si="2"/>
        <v>-1.2313168552385461E-2</v>
      </c>
    </row>
    <row r="32" spans="2:17" x14ac:dyDescent="0.35">
      <c r="B32" s="75" t="s">
        <v>367</v>
      </c>
      <c r="C32" s="361"/>
      <c r="D32" s="362"/>
      <c r="E32" s="93">
        <v>0</v>
      </c>
      <c r="F32" s="369">
        <f t="shared" si="0"/>
        <v>0</v>
      </c>
      <c r="G32" s="93">
        <v>5</v>
      </c>
      <c r="H32" s="75" t="s">
        <v>368</v>
      </c>
      <c r="I32" s="361"/>
      <c r="J32" s="361"/>
      <c r="K32" s="361"/>
      <c r="L32" s="361"/>
      <c r="M32" s="361"/>
      <c r="N32" s="361"/>
      <c r="O32" s="362"/>
      <c r="P32" s="68">
        <f t="shared" si="1"/>
        <v>61057.334326135497</v>
      </c>
      <c r="Q32" s="275">
        <f t="shared" si="2"/>
        <v>3.7230081906180178E-2</v>
      </c>
    </row>
    <row r="33" spans="2:17" x14ac:dyDescent="0.35">
      <c r="B33" s="75" t="s">
        <v>369</v>
      </c>
      <c r="C33" s="361"/>
      <c r="D33" s="362"/>
      <c r="E33" s="93">
        <v>0</v>
      </c>
      <c r="F33" s="369">
        <f t="shared" si="0"/>
        <v>0</v>
      </c>
      <c r="G33" s="93">
        <v>2</v>
      </c>
      <c r="H33" s="75" t="s">
        <v>370</v>
      </c>
      <c r="I33" s="361"/>
      <c r="J33" s="361"/>
      <c r="K33" s="361"/>
      <c r="L33" s="361"/>
      <c r="M33" s="361"/>
      <c r="N33" s="361"/>
      <c r="O33" s="362"/>
      <c r="P33" s="68">
        <f t="shared" si="1"/>
        <v>24422.933730454199</v>
      </c>
      <c r="Q33" s="275">
        <f t="shared" si="2"/>
        <v>1.4892032762472073E-2</v>
      </c>
    </row>
    <row r="34" spans="2:17" x14ac:dyDescent="0.35">
      <c r="B34" s="360" t="s">
        <v>371</v>
      </c>
      <c r="C34" s="370"/>
      <c r="D34" s="231"/>
      <c r="E34" s="93">
        <v>0</v>
      </c>
      <c r="F34" s="369">
        <f t="shared" si="0"/>
        <v>0</v>
      </c>
      <c r="G34" s="371">
        <f>F35-SUM(G25:G33)</f>
        <v>1.3000000000000398</v>
      </c>
      <c r="H34" s="75" t="s">
        <v>372</v>
      </c>
      <c r="I34" s="361"/>
      <c r="J34" s="361"/>
      <c r="K34" s="361"/>
      <c r="L34" s="361"/>
      <c r="M34" s="361"/>
      <c r="N34" s="361"/>
      <c r="O34" s="362"/>
      <c r="P34" s="68">
        <f t="shared" si="1"/>
        <v>15874.906924795716</v>
      </c>
      <c r="Q34" s="275">
        <f t="shared" si="2"/>
        <v>9.6798212956071446E-3</v>
      </c>
    </row>
    <row r="35" spans="2:17" x14ac:dyDescent="0.35">
      <c r="E35" s="5">
        <f>SUM(E25:E34)</f>
        <v>410</v>
      </c>
      <c r="F35" s="10">
        <f t="shared" si="0"/>
        <v>134.30000000000004</v>
      </c>
      <c r="G35" s="5">
        <f>SUM(G25:G34)</f>
        <v>134.30000000000004</v>
      </c>
    </row>
  </sheetData>
  <sheetProtection algorithmName="SHA-512" hashValue="8qM0iYlSg6GY3PRrK3kBswauqnqK4iA8p2wpOWTjuYdWl6dOV8HtOsbb11hrp3QjE3PkYGfvyc3hd/TrQtlt9w==" saltValue="VrHvBtRiG5P/tr2IlI4wGQ==" spinCount="100000" sheet="1" objects="1" scenarios="1"/>
  <mergeCells count="3">
    <mergeCell ref="A3:Q3"/>
    <mergeCell ref="A4:Q4"/>
    <mergeCell ref="A9:Q9"/>
  </mergeCells>
  <pageMargins left="0.7" right="0.7" top="0.75" bottom="0.75" header="0.3" footer="0.3"/>
  <ignoredErrors>
    <ignoredError sqref="F3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O38"/>
  <sheetViews>
    <sheetView showGridLines="0" zoomScale="75" zoomScaleNormal="75" workbookViewId="0"/>
  </sheetViews>
  <sheetFormatPr defaultColWidth="9.1796875" defaultRowHeight="14.5" x14ac:dyDescent="0.35"/>
  <cols>
    <col min="1" max="1" width="35.7265625" style="1" customWidth="1"/>
    <col min="2" max="3" width="10" style="1" customWidth="1"/>
    <col min="4" max="4" width="12.54296875" style="1" customWidth="1"/>
    <col min="5" max="5" width="10" style="1" customWidth="1"/>
    <col min="6" max="6" width="12.453125" style="1" customWidth="1"/>
    <col min="7" max="7" width="14.54296875" style="1" customWidth="1"/>
    <col min="8" max="8" width="17.26953125" style="1" customWidth="1"/>
    <col min="9" max="10" width="11.81640625" style="1" customWidth="1"/>
    <col min="11" max="11" width="12.7265625" style="1" customWidth="1"/>
    <col min="12" max="12" width="11.7265625" style="1" customWidth="1"/>
    <col min="13" max="16384" width="9.1796875" style="1"/>
  </cols>
  <sheetData>
    <row r="1" spans="1:15" x14ac:dyDescent="0.35">
      <c r="A1" s="276" t="s">
        <v>373</v>
      </c>
      <c r="B1" s="204"/>
      <c r="C1" s="204"/>
      <c r="D1" s="204"/>
      <c r="E1" s="204"/>
      <c r="F1" s="204"/>
      <c r="G1" s="204"/>
      <c r="H1" s="204"/>
      <c r="I1" s="204"/>
      <c r="J1" s="204"/>
      <c r="K1" s="204"/>
      <c r="L1" s="204"/>
      <c r="M1" s="204"/>
      <c r="N1" s="204"/>
      <c r="O1" s="205"/>
    </row>
    <row r="2" spans="1:15" x14ac:dyDescent="0.35">
      <c r="A2" s="271" t="s">
        <v>374</v>
      </c>
      <c r="B2" s="54"/>
      <c r="C2" s="54"/>
      <c r="D2" s="54"/>
      <c r="E2" s="54"/>
      <c r="F2" s="54"/>
      <c r="G2" s="54"/>
      <c r="H2" s="54"/>
      <c r="I2" s="54"/>
      <c r="J2" s="54"/>
      <c r="K2" s="54"/>
      <c r="L2" s="54"/>
      <c r="M2" s="54"/>
      <c r="N2" s="54"/>
      <c r="O2" s="55"/>
    </row>
    <row r="3" spans="1:15" x14ac:dyDescent="0.35">
      <c r="A3" s="271" t="s">
        <v>375</v>
      </c>
      <c r="B3" s="54"/>
      <c r="C3" s="54"/>
      <c r="D3" s="54"/>
      <c r="E3" s="54"/>
      <c r="F3" s="54"/>
      <c r="G3" s="54"/>
      <c r="H3" s="54"/>
      <c r="I3" s="54"/>
      <c r="J3" s="54"/>
      <c r="K3" s="54"/>
      <c r="L3" s="54"/>
      <c r="M3" s="54"/>
      <c r="N3" s="54"/>
      <c r="O3" s="55"/>
    </row>
    <row r="4" spans="1:15" x14ac:dyDescent="0.35">
      <c r="A4" s="271" t="s">
        <v>376</v>
      </c>
      <c r="B4" s="54"/>
      <c r="C4" s="54"/>
      <c r="D4" s="54"/>
      <c r="E4" s="54"/>
      <c r="F4" s="54"/>
      <c r="G4" s="54"/>
      <c r="H4" s="54"/>
      <c r="I4" s="54"/>
      <c r="J4" s="54"/>
      <c r="K4" s="54"/>
      <c r="L4" s="54"/>
      <c r="M4" s="54"/>
      <c r="N4" s="54"/>
      <c r="O4" s="55"/>
    </row>
    <row r="5" spans="1:15" x14ac:dyDescent="0.35">
      <c r="A5" s="271" t="s">
        <v>377</v>
      </c>
      <c r="B5" s="54"/>
      <c r="C5" s="54"/>
      <c r="D5" s="54"/>
      <c r="E5" s="54"/>
      <c r="F5" s="54"/>
      <c r="G5" s="54"/>
      <c r="H5" s="54"/>
      <c r="I5" s="54"/>
      <c r="J5" s="54"/>
      <c r="K5" s="54"/>
      <c r="L5" s="54"/>
      <c r="M5" s="54"/>
      <c r="N5" s="54"/>
      <c r="O5" s="55"/>
    </row>
    <row r="6" spans="1:15" x14ac:dyDescent="0.35">
      <c r="A6" s="271" t="s">
        <v>378</v>
      </c>
      <c r="B6" s="54"/>
      <c r="C6" s="54"/>
      <c r="D6" s="54"/>
      <c r="E6" s="54"/>
      <c r="F6" s="54"/>
      <c r="G6" s="54"/>
      <c r="H6" s="54"/>
      <c r="I6" s="54"/>
      <c r="J6" s="54"/>
      <c r="K6" s="54"/>
      <c r="L6" s="54"/>
      <c r="M6" s="54"/>
      <c r="N6" s="54"/>
      <c r="O6" s="55"/>
    </row>
    <row r="7" spans="1:15" x14ac:dyDescent="0.35">
      <c r="A7" s="271" t="s">
        <v>379</v>
      </c>
      <c r="B7" s="54"/>
      <c r="C7" s="54"/>
      <c r="D7" s="54"/>
      <c r="E7" s="54"/>
      <c r="F7" s="54"/>
      <c r="G7" s="54"/>
      <c r="H7" s="54"/>
      <c r="I7" s="54"/>
      <c r="J7" s="54"/>
      <c r="K7" s="54"/>
      <c r="L7" s="54"/>
      <c r="M7" s="54"/>
      <c r="N7" s="54"/>
      <c r="O7" s="55"/>
    </row>
    <row r="8" spans="1:15" x14ac:dyDescent="0.35">
      <c r="A8" s="271" t="s">
        <v>380</v>
      </c>
      <c r="B8" s="54"/>
      <c r="C8" s="54"/>
      <c r="D8" s="54"/>
      <c r="E8" s="54"/>
      <c r="F8" s="54"/>
      <c r="G8" s="54"/>
      <c r="H8" s="54"/>
      <c r="I8" s="54"/>
      <c r="J8" s="54"/>
      <c r="K8" s="54"/>
      <c r="L8" s="54"/>
      <c r="M8" s="54"/>
      <c r="N8" s="54"/>
      <c r="O8" s="55"/>
    </row>
    <row r="9" spans="1:15" x14ac:dyDescent="0.35">
      <c r="A9" s="357" t="s">
        <v>381</v>
      </c>
      <c r="B9" s="278"/>
      <c r="C9" s="278"/>
      <c r="D9" s="278"/>
      <c r="E9" s="278"/>
      <c r="F9" s="278"/>
      <c r="G9" s="278"/>
      <c r="H9" s="278"/>
      <c r="I9" s="278"/>
      <c r="J9" s="278"/>
      <c r="K9" s="278"/>
      <c r="L9" s="278"/>
      <c r="M9" s="278"/>
      <c r="N9" s="278"/>
      <c r="O9" s="279"/>
    </row>
    <row r="12" spans="1:15" x14ac:dyDescent="0.35">
      <c r="A12" s="75" t="s">
        <v>382</v>
      </c>
      <c r="B12" s="361"/>
      <c r="C12" s="362" t="s">
        <v>320</v>
      </c>
      <c r="D12" s="3">
        <v>18</v>
      </c>
    </row>
    <row r="13" spans="1:15" x14ac:dyDescent="0.35">
      <c r="A13" s="75" t="s">
        <v>383</v>
      </c>
      <c r="B13" s="361"/>
      <c r="C13" s="362" t="s">
        <v>320</v>
      </c>
      <c r="D13" s="9">
        <v>748000</v>
      </c>
    </row>
    <row r="14" spans="1:15" x14ac:dyDescent="0.35">
      <c r="A14" s="75" t="s">
        <v>384</v>
      </c>
      <c r="B14" s="361"/>
      <c r="C14" s="362" t="s">
        <v>320</v>
      </c>
      <c r="D14" s="9">
        <v>1633000</v>
      </c>
    </row>
    <row r="15" spans="1:15" x14ac:dyDescent="0.35">
      <c r="A15" s="75" t="s">
        <v>385</v>
      </c>
      <c r="B15" s="361"/>
      <c r="C15" s="362"/>
      <c r="D15" s="373">
        <f>D13/D12</f>
        <v>41555.555555555555</v>
      </c>
    </row>
    <row r="16" spans="1:15" x14ac:dyDescent="0.35">
      <c r="A16" s="75" t="s">
        <v>356</v>
      </c>
      <c r="B16" s="361"/>
      <c r="C16" s="362" t="s">
        <v>320</v>
      </c>
      <c r="D16" s="2">
        <v>10</v>
      </c>
    </row>
    <row r="17" spans="1:12" x14ac:dyDescent="0.35">
      <c r="A17" s="75" t="s">
        <v>386</v>
      </c>
      <c r="B17" s="361"/>
      <c r="C17" s="362"/>
      <c r="D17" s="7">
        <f>SUM(C27:C33)+SUM(C35:C37)</f>
        <v>147</v>
      </c>
    </row>
    <row r="18" spans="1:12" x14ac:dyDescent="0.35">
      <c r="A18" s="75" t="s">
        <v>387</v>
      </c>
      <c r="B18" s="361"/>
      <c r="C18" s="362"/>
      <c r="D18" s="64">
        <f>D13/D17</f>
        <v>5088.4353741496598</v>
      </c>
    </row>
    <row r="19" spans="1:12" x14ac:dyDescent="0.35">
      <c r="A19" s="75" t="s">
        <v>388</v>
      </c>
      <c r="B19" s="361"/>
      <c r="C19" s="362"/>
      <c r="D19" s="64">
        <f>D14/D17</f>
        <v>11108.843537414967</v>
      </c>
    </row>
    <row r="20" spans="1:12" x14ac:dyDescent="0.35">
      <c r="A20" s="75" t="s">
        <v>212</v>
      </c>
      <c r="B20" s="361"/>
      <c r="C20" s="362"/>
      <c r="D20" s="70">
        <f>D17/D12</f>
        <v>8.1666666666666661</v>
      </c>
    </row>
    <row r="21" spans="1:12" x14ac:dyDescent="0.35">
      <c r="A21" s="75" t="s">
        <v>357</v>
      </c>
      <c r="B21" s="361"/>
      <c r="C21" s="362"/>
      <c r="D21" s="73">
        <f>D20/D16</f>
        <v>0.81666666666666665</v>
      </c>
    </row>
    <row r="22" spans="1:12" x14ac:dyDescent="0.35">
      <c r="A22" s="75" t="s">
        <v>183</v>
      </c>
      <c r="B22" s="361"/>
      <c r="C22" s="362"/>
      <c r="D22" s="374">
        <f>SUM(B27:B33)</f>
        <v>410</v>
      </c>
    </row>
    <row r="23" spans="1:12" x14ac:dyDescent="0.35">
      <c r="A23" s="75" t="s">
        <v>389</v>
      </c>
      <c r="B23" s="361"/>
      <c r="C23" s="362"/>
      <c r="D23" s="72">
        <f>D22*D16/D17</f>
        <v>27.891156462585034</v>
      </c>
    </row>
    <row r="24" spans="1:12" x14ac:dyDescent="0.35">
      <c r="A24" s="75" t="s">
        <v>390</v>
      </c>
      <c r="B24" s="361"/>
      <c r="C24" s="362"/>
      <c r="D24" s="72">
        <f>D22/D12</f>
        <v>22.777777777777779</v>
      </c>
    </row>
    <row r="25" spans="1:12" x14ac:dyDescent="0.35">
      <c r="A25" s="75" t="s">
        <v>391</v>
      </c>
      <c r="B25" s="361"/>
      <c r="C25" s="362"/>
      <c r="D25" s="374">
        <f>SUM(B27:B31)</f>
        <v>293</v>
      </c>
    </row>
    <row r="26" spans="1:12" ht="72.5" x14ac:dyDescent="0.35">
      <c r="A26" s="154" t="s">
        <v>182</v>
      </c>
      <c r="B26" s="154" t="s">
        <v>183</v>
      </c>
      <c r="C26" s="154" t="s">
        <v>392</v>
      </c>
      <c r="D26" s="154" t="s">
        <v>393</v>
      </c>
      <c r="E26" s="154" t="s">
        <v>394</v>
      </c>
      <c r="F26" s="154" t="s">
        <v>395</v>
      </c>
      <c r="G26" s="154" t="s">
        <v>396</v>
      </c>
      <c r="H26" s="154" t="s">
        <v>397</v>
      </c>
      <c r="I26" s="154" t="s">
        <v>398</v>
      </c>
      <c r="J26" s="154" t="s">
        <v>399</v>
      </c>
      <c r="K26" s="154" t="s">
        <v>400</v>
      </c>
      <c r="L26" s="154" t="s">
        <v>401</v>
      </c>
    </row>
    <row r="27" spans="1:12" x14ac:dyDescent="0.35">
      <c r="A27" s="93" t="s">
        <v>106</v>
      </c>
      <c r="B27" s="374">
        <v>60</v>
      </c>
      <c r="C27" s="2">
        <v>20</v>
      </c>
      <c r="D27" s="374">
        <f>C27</f>
        <v>20</v>
      </c>
      <c r="E27" s="375">
        <f>B27*$D$16/D27</f>
        <v>30</v>
      </c>
      <c r="F27" s="375">
        <f>D27/$D$20</f>
        <v>2.4489795918367347</v>
      </c>
      <c r="G27" s="373">
        <f>D27*$D$18</f>
        <v>101768.7074829932</v>
      </c>
      <c r="H27" s="64">
        <f>D27*$D$19</f>
        <v>222176.87074829935</v>
      </c>
      <c r="I27" s="70">
        <f>100* B27/$D$22</f>
        <v>14.634146341463415</v>
      </c>
      <c r="J27" s="70">
        <f>100*D27/$D$17</f>
        <v>13.605442176870747</v>
      </c>
      <c r="K27" s="70">
        <f>100*G27/$D$13</f>
        <v>13.605442176870747</v>
      </c>
      <c r="L27" s="70">
        <f>100*H27/$D$14</f>
        <v>13.605442176870751</v>
      </c>
    </row>
    <row r="28" spans="1:12" x14ac:dyDescent="0.35">
      <c r="A28" s="93" t="s">
        <v>107</v>
      </c>
      <c r="B28" s="374">
        <v>58</v>
      </c>
      <c r="C28" s="2">
        <v>20</v>
      </c>
      <c r="D28" s="374">
        <f>(C28+ROUNDDOWN((SUM($C$35:$C$37)/6),0))</f>
        <v>21</v>
      </c>
      <c r="E28" s="375">
        <f t="shared" ref="E28:E33" si="0">B28*$D$16/D28</f>
        <v>27.61904761904762</v>
      </c>
      <c r="F28" s="375">
        <f t="shared" ref="F28:F33" si="1">D28/$D$20</f>
        <v>2.5714285714285716</v>
      </c>
      <c r="G28" s="373">
        <f t="shared" ref="G28:G33" si="2">D28*$D$18</f>
        <v>106857.14285714286</v>
      </c>
      <c r="H28" s="64">
        <f t="shared" ref="H28:H33" si="3">D28*$D$19</f>
        <v>233285.71428571429</v>
      </c>
      <c r="I28" s="70">
        <f t="shared" ref="I28:I33" si="4">100* B28/$D$22</f>
        <v>14.146341463414634</v>
      </c>
      <c r="J28" s="70">
        <f t="shared" ref="J28:J33" si="5">100*D28/$D$17</f>
        <v>14.285714285714286</v>
      </c>
      <c r="K28" s="70">
        <f t="shared" ref="K28:K33" si="6">100*G28/$D$13</f>
        <v>14.285714285714285</v>
      </c>
      <c r="L28" s="70">
        <f t="shared" ref="L28:L33" si="7">100*H28/$D$14</f>
        <v>14.285714285714286</v>
      </c>
    </row>
    <row r="29" spans="1:12" x14ac:dyDescent="0.35">
      <c r="A29" s="93" t="s">
        <v>108</v>
      </c>
      <c r="B29" s="374">
        <v>57</v>
      </c>
      <c r="C29" s="2">
        <v>20</v>
      </c>
      <c r="D29" s="374">
        <f t="shared" ref="D29:D32" si="8">(C29+ROUNDDOWN((SUM($C$35:$C$37)/6),0))</f>
        <v>21</v>
      </c>
      <c r="E29" s="375">
        <f t="shared" si="0"/>
        <v>27.142857142857142</v>
      </c>
      <c r="F29" s="375">
        <f t="shared" si="1"/>
        <v>2.5714285714285716</v>
      </c>
      <c r="G29" s="373">
        <f t="shared" si="2"/>
        <v>106857.14285714286</v>
      </c>
      <c r="H29" s="64">
        <f t="shared" si="3"/>
        <v>233285.71428571429</v>
      </c>
      <c r="I29" s="70">
        <f t="shared" si="4"/>
        <v>13.902439024390244</v>
      </c>
      <c r="J29" s="70">
        <f t="shared" si="5"/>
        <v>14.285714285714286</v>
      </c>
      <c r="K29" s="70">
        <f t="shared" si="6"/>
        <v>14.285714285714285</v>
      </c>
      <c r="L29" s="70">
        <f t="shared" si="7"/>
        <v>14.285714285714286</v>
      </c>
    </row>
    <row r="30" spans="1:12" x14ac:dyDescent="0.35">
      <c r="A30" s="93" t="s">
        <v>109</v>
      </c>
      <c r="B30" s="374">
        <v>60</v>
      </c>
      <c r="C30" s="2">
        <v>20</v>
      </c>
      <c r="D30" s="374">
        <f t="shared" si="8"/>
        <v>21</v>
      </c>
      <c r="E30" s="375">
        <f t="shared" si="0"/>
        <v>28.571428571428573</v>
      </c>
      <c r="F30" s="375">
        <f t="shared" si="1"/>
        <v>2.5714285714285716</v>
      </c>
      <c r="G30" s="373">
        <f t="shared" si="2"/>
        <v>106857.14285714286</v>
      </c>
      <c r="H30" s="64">
        <f t="shared" si="3"/>
        <v>233285.71428571429</v>
      </c>
      <c r="I30" s="70">
        <f t="shared" si="4"/>
        <v>14.634146341463415</v>
      </c>
      <c r="J30" s="70">
        <f t="shared" si="5"/>
        <v>14.285714285714286</v>
      </c>
      <c r="K30" s="70">
        <f t="shared" si="6"/>
        <v>14.285714285714285</v>
      </c>
      <c r="L30" s="70">
        <f t="shared" si="7"/>
        <v>14.285714285714286</v>
      </c>
    </row>
    <row r="31" spans="1:12" x14ac:dyDescent="0.35">
      <c r="A31" s="93" t="s">
        <v>110</v>
      </c>
      <c r="B31" s="374">
        <v>58</v>
      </c>
      <c r="C31" s="2">
        <v>20</v>
      </c>
      <c r="D31" s="374">
        <f t="shared" si="8"/>
        <v>21</v>
      </c>
      <c r="E31" s="375">
        <f t="shared" si="0"/>
        <v>27.61904761904762</v>
      </c>
      <c r="F31" s="375">
        <f t="shared" si="1"/>
        <v>2.5714285714285716</v>
      </c>
      <c r="G31" s="373">
        <f t="shared" si="2"/>
        <v>106857.14285714286</v>
      </c>
      <c r="H31" s="64">
        <f t="shared" si="3"/>
        <v>233285.71428571429</v>
      </c>
      <c r="I31" s="70">
        <f t="shared" si="4"/>
        <v>14.146341463414634</v>
      </c>
      <c r="J31" s="70">
        <f t="shared" si="5"/>
        <v>14.285714285714286</v>
      </c>
      <c r="K31" s="70">
        <f t="shared" si="6"/>
        <v>14.285714285714285</v>
      </c>
      <c r="L31" s="70">
        <f t="shared" si="7"/>
        <v>14.285714285714286</v>
      </c>
    </row>
    <row r="32" spans="1:12" x14ac:dyDescent="0.35">
      <c r="A32" s="93" t="s">
        <v>111</v>
      </c>
      <c r="B32" s="374">
        <v>57</v>
      </c>
      <c r="C32" s="2">
        <v>20</v>
      </c>
      <c r="D32" s="374">
        <f t="shared" si="8"/>
        <v>21</v>
      </c>
      <c r="E32" s="375">
        <f t="shared" si="0"/>
        <v>27.142857142857142</v>
      </c>
      <c r="F32" s="375">
        <f t="shared" si="1"/>
        <v>2.5714285714285716</v>
      </c>
      <c r="G32" s="373">
        <f t="shared" si="2"/>
        <v>106857.14285714286</v>
      </c>
      <c r="H32" s="64">
        <f t="shared" si="3"/>
        <v>233285.71428571429</v>
      </c>
      <c r="I32" s="70">
        <f t="shared" si="4"/>
        <v>13.902439024390244</v>
      </c>
      <c r="J32" s="70">
        <f t="shared" si="5"/>
        <v>14.285714285714286</v>
      </c>
      <c r="K32" s="70">
        <f t="shared" si="6"/>
        <v>14.285714285714285</v>
      </c>
      <c r="L32" s="70">
        <f t="shared" si="7"/>
        <v>14.285714285714286</v>
      </c>
    </row>
    <row r="33" spans="1:12" x14ac:dyDescent="0.35">
      <c r="A33" s="93" t="s">
        <v>112</v>
      </c>
      <c r="B33" s="374">
        <v>60</v>
      </c>
      <c r="C33" s="2">
        <v>20</v>
      </c>
      <c r="D33" s="374">
        <f>D17-SUM(D27:D32)</f>
        <v>22</v>
      </c>
      <c r="E33" s="375">
        <f t="shared" si="0"/>
        <v>27.272727272727273</v>
      </c>
      <c r="F33" s="375">
        <f t="shared" si="1"/>
        <v>2.6938775510204085</v>
      </c>
      <c r="G33" s="373">
        <f t="shared" si="2"/>
        <v>111945.57823129251</v>
      </c>
      <c r="H33" s="64">
        <f t="shared" si="3"/>
        <v>244394.55782312926</v>
      </c>
      <c r="I33" s="70">
        <f t="shared" si="4"/>
        <v>14.634146341463415</v>
      </c>
      <c r="J33" s="70">
        <f t="shared" si="5"/>
        <v>14.965986394557824</v>
      </c>
      <c r="K33" s="70">
        <f t="shared" si="6"/>
        <v>14.965986394557824</v>
      </c>
      <c r="L33" s="70">
        <f t="shared" si="7"/>
        <v>14.965986394557824</v>
      </c>
    </row>
    <row r="34" spans="1:12" x14ac:dyDescent="0.35">
      <c r="A34" s="174" t="s">
        <v>402</v>
      </c>
      <c r="B34" s="175"/>
      <c r="C34" s="176"/>
    </row>
    <row r="35" spans="1:12" x14ac:dyDescent="0.35">
      <c r="A35" s="93" t="s">
        <v>197</v>
      </c>
      <c r="B35" s="93" t="s">
        <v>198</v>
      </c>
      <c r="C35" s="2">
        <v>5</v>
      </c>
    </row>
    <row r="36" spans="1:12" x14ac:dyDescent="0.35">
      <c r="A36" s="93" t="s">
        <v>200</v>
      </c>
      <c r="B36" s="93" t="s">
        <v>198</v>
      </c>
      <c r="C36" s="2">
        <v>2</v>
      </c>
    </row>
    <row r="37" spans="1:12" x14ac:dyDescent="0.35">
      <c r="A37" s="93" t="s">
        <v>202</v>
      </c>
      <c r="B37" s="93" t="s">
        <v>198</v>
      </c>
      <c r="C37" s="2">
        <v>0</v>
      </c>
    </row>
    <row r="38" spans="1:12" x14ac:dyDescent="0.35">
      <c r="D38" s="17"/>
    </row>
  </sheetData>
  <sheetProtection algorithmName="SHA-512" hashValue="uy8P4WKBR6OE3zXxTEleUxa5wNHWEkEHmwKgzQq7CFIYsjt1qzL2/8mu6vPXy9hMHRCKKMkYdWtUtuEl8oy4Gw==" saltValue="/LWvBuUCv/exb043pNDv8g==" spinCount="100000" sheet="1" objects="1" scenarios="1"/>
  <pageMargins left="0.7" right="0.7" top="0.75" bottom="0.75" header="0.3" footer="0.3"/>
  <pageSetup paperSize="9" orientation="portrait" horizontalDpi="4294967294" verticalDpi="0" r:id="rId1"/>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AF27"/>
  <sheetViews>
    <sheetView showGridLines="0" zoomScale="75" zoomScaleNormal="75" workbookViewId="0"/>
  </sheetViews>
  <sheetFormatPr defaultColWidth="0" defaultRowHeight="14.5" zeroHeight="1" x14ac:dyDescent="0.35"/>
  <cols>
    <col min="1" max="1" width="199.7265625" style="50" customWidth="1"/>
    <col min="2" max="26" width="9" customWidth="1"/>
    <col min="27" max="32" width="0" hidden="1" customWidth="1"/>
    <col min="33" max="16384" width="9" hidden="1"/>
  </cols>
  <sheetData>
    <row r="1" spans="1:1" ht="235.5" customHeight="1" x14ac:dyDescent="0.35">
      <c r="A1" s="47" t="s">
        <v>5</v>
      </c>
    </row>
    <row r="2" spans="1:1" ht="128.25" customHeight="1" x14ac:dyDescent="0.35">
      <c r="A2" s="48" t="s">
        <v>6</v>
      </c>
    </row>
    <row r="3" spans="1:1" ht="51.75" customHeight="1" x14ac:dyDescent="0.35">
      <c r="A3" s="48" t="s">
        <v>7</v>
      </c>
    </row>
    <row r="4" spans="1:1" ht="49.5" customHeight="1" x14ac:dyDescent="0.35">
      <c r="A4" s="48" t="s">
        <v>8</v>
      </c>
    </row>
    <row r="5" spans="1:1" ht="49.5" customHeight="1" x14ac:dyDescent="0.35">
      <c r="A5" s="46" t="s">
        <v>9</v>
      </c>
    </row>
    <row r="6" spans="1:1" ht="43.5" x14ac:dyDescent="0.35">
      <c r="A6" s="114" t="s">
        <v>10</v>
      </c>
    </row>
    <row r="7" spans="1:1" x14ac:dyDescent="0.35">
      <c r="A7" s="49"/>
    </row>
    <row r="8" spans="1:1" x14ac:dyDescent="0.35">
      <c r="A8" s="49"/>
    </row>
    <row r="9" spans="1:1" x14ac:dyDescent="0.35"/>
    <row r="10" spans="1:1" x14ac:dyDescent="0.35"/>
    <row r="11" spans="1:1" x14ac:dyDescent="0.35"/>
    <row r="12" spans="1:1" x14ac:dyDescent="0.35"/>
    <row r="13" spans="1:1" x14ac:dyDescent="0.35"/>
    <row r="14" spans="1:1" x14ac:dyDescent="0.35"/>
    <row r="15" spans="1:1" x14ac:dyDescent="0.35"/>
    <row r="16" spans="1:1"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sheetData>
  <sheetProtection algorithmName="SHA-512" hashValue="VmL3PZtofFZx+Of6CTJxrLK6YdczvtrklVY8duWPfw04mUyAMJp/X0SXBNwI1W8BdrZw7xhdmy7U527a7HK++g==" saltValue="yP/hlpX5QxNcYYDqMCkh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H64"/>
  <sheetViews>
    <sheetView showGridLines="0" topLeftCell="A2" zoomScale="75" zoomScaleNormal="75" workbookViewId="0">
      <selection activeCell="A2" sqref="A2:F2"/>
    </sheetView>
  </sheetViews>
  <sheetFormatPr defaultColWidth="9.1796875" defaultRowHeight="14.5" x14ac:dyDescent="0.35"/>
  <cols>
    <col min="1" max="1" width="147.81640625" style="1" customWidth="1"/>
    <col min="2" max="2" width="17.7265625" style="1" customWidth="1"/>
    <col min="3" max="3" width="16.81640625" style="1" customWidth="1"/>
    <col min="4" max="4" width="14.453125" style="52" customWidth="1"/>
    <col min="5" max="5" width="15.54296875" style="1" customWidth="1"/>
    <col min="6" max="6" width="16.1796875" style="1" customWidth="1"/>
    <col min="7" max="7" width="91.26953125" style="1" customWidth="1"/>
    <col min="8" max="16384" width="9.1796875" style="1"/>
  </cols>
  <sheetData>
    <row r="1" spans="1:7" hidden="1" x14ac:dyDescent="0.35"/>
    <row r="2" spans="1:7" x14ac:dyDescent="0.35">
      <c r="A2" s="384" t="s">
        <v>11</v>
      </c>
      <c r="B2" s="385"/>
      <c r="C2" s="385"/>
      <c r="D2" s="385"/>
      <c r="E2" s="385"/>
      <c r="F2" s="385"/>
      <c r="G2" s="111"/>
    </row>
    <row r="3" spans="1:7" x14ac:dyDescent="0.35">
      <c r="A3" s="53"/>
      <c r="B3" s="54"/>
      <c r="C3" s="54"/>
      <c r="D3" s="82"/>
      <c r="E3" s="54"/>
      <c r="F3" s="55"/>
      <c r="G3" s="62"/>
    </row>
    <row r="4" spans="1:7" s="52" customFormat="1" ht="36" customHeight="1" x14ac:dyDescent="0.35">
      <c r="A4" s="378" t="s">
        <v>12</v>
      </c>
      <c r="B4" s="379"/>
      <c r="C4" s="379"/>
      <c r="D4" s="379"/>
      <c r="E4" s="379"/>
      <c r="F4" s="380"/>
      <c r="G4" s="106"/>
    </row>
    <row r="5" spans="1:7" x14ac:dyDescent="0.35">
      <c r="A5" s="56" t="s">
        <v>13</v>
      </c>
      <c r="B5" s="54"/>
      <c r="C5" s="54"/>
      <c r="D5" s="82"/>
      <c r="E5" s="54"/>
      <c r="F5" s="55"/>
      <c r="G5" s="62"/>
    </row>
    <row r="6" spans="1:7" x14ac:dyDescent="0.35">
      <c r="A6" s="53"/>
      <c r="B6" s="54"/>
      <c r="C6" s="54"/>
      <c r="D6" s="82"/>
      <c r="E6" s="54"/>
      <c r="F6" s="55"/>
      <c r="G6" s="62"/>
    </row>
    <row r="7" spans="1:7" s="16" customFormat="1" ht="30" customHeight="1" x14ac:dyDescent="0.35">
      <c r="A7" s="378" t="s">
        <v>14</v>
      </c>
      <c r="B7" s="379"/>
      <c r="C7" s="379"/>
      <c r="D7" s="379"/>
      <c r="E7" s="379"/>
      <c r="F7" s="380"/>
      <c r="G7" s="106"/>
    </row>
    <row r="8" spans="1:7" x14ac:dyDescent="0.35">
      <c r="A8" s="381" t="s">
        <v>15</v>
      </c>
      <c r="B8" s="382"/>
      <c r="C8" s="382"/>
      <c r="D8" s="382"/>
      <c r="E8" s="382"/>
      <c r="F8" s="383"/>
      <c r="G8" s="62"/>
    </row>
    <row r="9" spans="1:7" x14ac:dyDescent="0.35">
      <c r="A9" s="53"/>
      <c r="B9" s="54"/>
      <c r="C9" s="54"/>
      <c r="D9" s="82"/>
      <c r="E9" s="54"/>
      <c r="F9" s="55"/>
      <c r="G9" s="62"/>
    </row>
    <row r="10" spans="1:7" ht="30" customHeight="1" x14ac:dyDescent="0.35">
      <c r="A10" s="378" t="s">
        <v>16</v>
      </c>
      <c r="B10" s="379"/>
      <c r="C10" s="379"/>
      <c r="D10" s="379"/>
      <c r="E10" s="379"/>
      <c r="F10" s="380"/>
      <c r="G10" s="107"/>
    </row>
    <row r="11" spans="1:7" x14ac:dyDescent="0.35">
      <c r="A11" s="103"/>
      <c r="B11" s="104"/>
      <c r="C11" s="104"/>
      <c r="D11" s="104"/>
      <c r="E11" s="104"/>
      <c r="F11" s="105"/>
      <c r="G11" s="107"/>
    </row>
    <row r="12" spans="1:7" x14ac:dyDescent="0.35">
      <c r="A12" s="108"/>
      <c r="B12" s="109"/>
      <c r="C12" s="108"/>
      <c r="D12" s="110"/>
      <c r="E12" s="108"/>
      <c r="F12" s="112"/>
    </row>
    <row r="13" spans="1:7" ht="18" customHeight="1" x14ac:dyDescent="0.35">
      <c r="A13" s="76" t="s">
        <v>17</v>
      </c>
      <c r="B13" s="77"/>
      <c r="C13" s="77"/>
      <c r="D13" s="83"/>
      <c r="E13" s="77"/>
      <c r="F13" s="77" t="s">
        <v>18</v>
      </c>
      <c r="G13" s="101"/>
    </row>
    <row r="14" spans="1:7" ht="18" customHeight="1" x14ac:dyDescent="0.35">
      <c r="A14" s="63" t="s">
        <v>19</v>
      </c>
      <c r="B14" s="13">
        <v>1640000</v>
      </c>
      <c r="C14" s="74" t="s">
        <v>20</v>
      </c>
      <c r="D14" s="84"/>
      <c r="E14" s="23"/>
      <c r="F14" s="23"/>
      <c r="G14" s="24"/>
    </row>
    <row r="15" spans="1:7" ht="18" customHeight="1" x14ac:dyDescent="0.35">
      <c r="A15" s="63" t="s">
        <v>21</v>
      </c>
      <c r="B15" s="13">
        <v>748000</v>
      </c>
      <c r="C15" s="74" t="s">
        <v>20</v>
      </c>
      <c r="D15" s="84"/>
      <c r="E15" s="23"/>
      <c r="F15" s="23"/>
      <c r="G15" s="24"/>
    </row>
    <row r="16" spans="1:7" ht="18" customHeight="1" x14ac:dyDescent="0.35">
      <c r="A16" s="63" t="s">
        <v>22</v>
      </c>
      <c r="B16" s="13">
        <v>885000</v>
      </c>
      <c r="C16" s="74" t="s">
        <v>20</v>
      </c>
      <c r="D16" s="84"/>
      <c r="E16" s="23"/>
      <c r="F16" s="23"/>
      <c r="G16" s="24"/>
    </row>
    <row r="17" spans="1:7" ht="18" customHeight="1" x14ac:dyDescent="0.35">
      <c r="A17" s="63" t="s">
        <v>23</v>
      </c>
      <c r="B17" s="64">
        <f>B14-(B15+B16)</f>
        <v>7000</v>
      </c>
      <c r="C17" s="75" t="s">
        <v>24</v>
      </c>
      <c r="D17" s="85" t="s">
        <v>25</v>
      </c>
      <c r="E17" s="66"/>
      <c r="F17" s="66"/>
      <c r="G17" s="67"/>
    </row>
    <row r="18" spans="1:7" ht="18" customHeight="1" x14ac:dyDescent="0.35">
      <c r="A18" s="63" t="s">
        <v>26</v>
      </c>
      <c r="B18" s="13">
        <v>0</v>
      </c>
      <c r="C18" s="74" t="s">
        <v>20</v>
      </c>
      <c r="D18" s="84" t="s">
        <v>27</v>
      </c>
      <c r="E18" s="23"/>
      <c r="F18" s="23"/>
      <c r="G18" s="24"/>
    </row>
    <row r="19" spans="1:7" ht="18" customHeight="1" x14ac:dyDescent="0.35">
      <c r="A19" s="63" t="s">
        <v>28</v>
      </c>
      <c r="B19" s="68">
        <f>B18+B17</f>
        <v>7000</v>
      </c>
      <c r="C19" s="75" t="s">
        <v>24</v>
      </c>
      <c r="D19" s="85" t="s">
        <v>29</v>
      </c>
      <c r="E19" s="66"/>
      <c r="F19" s="66"/>
      <c r="G19" s="67"/>
    </row>
    <row r="20" spans="1:7" ht="18" customHeight="1" x14ac:dyDescent="0.35">
      <c r="A20" s="63" t="s">
        <v>30</v>
      </c>
      <c r="B20" s="12">
        <v>17</v>
      </c>
      <c r="C20" s="74" t="s">
        <v>20</v>
      </c>
      <c r="D20" s="84"/>
      <c r="E20" s="23"/>
      <c r="F20" s="23"/>
      <c r="G20" s="24"/>
    </row>
    <row r="21" spans="1:7" ht="18" customHeight="1" x14ac:dyDescent="0.35">
      <c r="A21" s="63" t="s">
        <v>31</v>
      </c>
      <c r="B21" s="68">
        <f>B15/B20</f>
        <v>44000</v>
      </c>
      <c r="C21" s="75" t="s">
        <v>24</v>
      </c>
      <c r="D21" s="85" t="s">
        <v>32</v>
      </c>
      <c r="E21" s="66"/>
      <c r="F21" s="66"/>
      <c r="G21" s="67"/>
    </row>
    <row r="22" spans="1:7" s="62" customFormat="1" ht="24" customHeight="1" x14ac:dyDescent="0.35">
      <c r="A22" s="61"/>
      <c r="B22" s="61"/>
      <c r="C22" s="61"/>
      <c r="D22" s="86"/>
      <c r="E22" s="61"/>
      <c r="F22" s="61"/>
      <c r="G22" s="61"/>
    </row>
    <row r="23" spans="1:7" ht="18" customHeight="1" x14ac:dyDescent="0.35">
      <c r="A23" s="76" t="s">
        <v>33</v>
      </c>
      <c r="B23" s="77"/>
      <c r="C23" s="77"/>
      <c r="D23" s="83"/>
      <c r="E23" s="77"/>
      <c r="F23" s="98" t="s">
        <v>18</v>
      </c>
      <c r="G23" s="101"/>
    </row>
    <row r="24" spans="1:7" ht="18" customHeight="1" x14ac:dyDescent="0.35">
      <c r="A24" s="63" t="s">
        <v>34</v>
      </c>
      <c r="B24" s="13">
        <v>1670000</v>
      </c>
      <c r="C24" s="74" t="s">
        <v>20</v>
      </c>
      <c r="D24" s="84"/>
      <c r="E24" s="23"/>
      <c r="F24" s="23"/>
      <c r="G24" s="24"/>
    </row>
    <row r="25" spans="1:7" ht="18" customHeight="1" x14ac:dyDescent="0.35">
      <c r="A25" s="63" t="s">
        <v>35</v>
      </c>
      <c r="B25" s="69">
        <f>(B24-B14)/B14</f>
        <v>1.8292682926829267E-2</v>
      </c>
      <c r="C25" s="75" t="s">
        <v>24</v>
      </c>
      <c r="D25" s="75" t="s">
        <v>36</v>
      </c>
      <c r="E25" s="66"/>
      <c r="F25" s="66"/>
      <c r="G25" s="67"/>
    </row>
    <row r="26" spans="1:7" ht="18" customHeight="1" x14ac:dyDescent="0.35">
      <c r="A26" s="63" t="s">
        <v>37</v>
      </c>
      <c r="B26" s="13">
        <v>860000</v>
      </c>
      <c r="C26" s="74" t="s">
        <v>20</v>
      </c>
      <c r="D26" s="84"/>
      <c r="E26" s="23"/>
      <c r="F26" s="23"/>
      <c r="G26" s="24"/>
    </row>
    <row r="27" spans="1:7" ht="18" customHeight="1" x14ac:dyDescent="0.35">
      <c r="A27" s="63" t="s">
        <v>38</v>
      </c>
      <c r="B27" s="69">
        <f>(B26-B16)/B16</f>
        <v>-2.8248587570621469E-2</v>
      </c>
      <c r="C27" s="75" t="s">
        <v>24</v>
      </c>
      <c r="D27" s="85" t="s">
        <v>39</v>
      </c>
      <c r="E27" s="66"/>
      <c r="F27" s="66"/>
      <c r="G27" s="67"/>
    </row>
    <row r="28" spans="1:7" ht="18" customHeight="1" x14ac:dyDescent="0.35">
      <c r="A28" s="63" t="s">
        <v>40</v>
      </c>
      <c r="B28" s="64">
        <f>B24-B26</f>
        <v>810000</v>
      </c>
      <c r="C28" s="75" t="s">
        <v>24</v>
      </c>
      <c r="D28" s="85" t="s">
        <v>41</v>
      </c>
      <c r="E28" s="66"/>
      <c r="F28" s="66"/>
      <c r="G28" s="67"/>
    </row>
    <row r="29" spans="1:7" ht="18" customHeight="1" x14ac:dyDescent="0.35">
      <c r="A29" s="63" t="s">
        <v>42</v>
      </c>
      <c r="B29" s="68">
        <f>B21</f>
        <v>44000</v>
      </c>
      <c r="C29" s="75" t="s">
        <v>24</v>
      </c>
      <c r="D29" s="85" t="s">
        <v>43</v>
      </c>
      <c r="E29" s="66"/>
      <c r="F29" s="66"/>
      <c r="G29" s="67"/>
    </row>
    <row r="30" spans="1:7" ht="18" customHeight="1" x14ac:dyDescent="0.35">
      <c r="A30" s="63" t="s">
        <v>44</v>
      </c>
      <c r="B30" s="12">
        <v>2</v>
      </c>
      <c r="C30" s="74" t="s">
        <v>20</v>
      </c>
      <c r="D30" s="84"/>
      <c r="E30" s="23"/>
      <c r="F30" s="23"/>
      <c r="G30" s="24"/>
    </row>
    <row r="31" spans="1:7" ht="18" customHeight="1" x14ac:dyDescent="0.35">
      <c r="A31" s="63" t="s">
        <v>45</v>
      </c>
      <c r="B31" s="68">
        <f>B29*(1+(B30/100))</f>
        <v>44880</v>
      </c>
      <c r="C31" s="75" t="s">
        <v>24</v>
      </c>
      <c r="D31" s="85" t="s">
        <v>46</v>
      </c>
      <c r="E31" s="66"/>
      <c r="F31" s="66"/>
      <c r="G31" s="67"/>
    </row>
    <row r="32" spans="1:7" ht="18" customHeight="1" x14ac:dyDescent="0.35">
      <c r="A32" s="63" t="s">
        <v>47</v>
      </c>
      <c r="B32" s="70">
        <f>(ROUNDDOWN(B28/B31,1))</f>
        <v>18</v>
      </c>
      <c r="C32" s="75" t="s">
        <v>24</v>
      </c>
      <c r="D32" s="85" t="s">
        <v>48</v>
      </c>
      <c r="E32" s="66"/>
      <c r="F32" s="66"/>
      <c r="G32" s="67"/>
    </row>
    <row r="33" spans="1:7" ht="18" customHeight="1" x14ac:dyDescent="0.35">
      <c r="A33" s="63" t="s">
        <v>49</v>
      </c>
      <c r="B33" s="68">
        <f>B19</f>
        <v>7000</v>
      </c>
      <c r="C33" s="75" t="s">
        <v>24</v>
      </c>
      <c r="D33" s="75" t="s">
        <v>50</v>
      </c>
      <c r="E33" s="66"/>
      <c r="F33" s="66"/>
      <c r="G33" s="67"/>
    </row>
    <row r="34" spans="1:7" ht="30" customHeight="1" x14ac:dyDescent="0.35">
      <c r="A34" s="94" t="s">
        <v>51</v>
      </c>
      <c r="B34" s="71">
        <f>B33/B31</f>
        <v>0.15597147950089127</v>
      </c>
      <c r="C34" s="75" t="s">
        <v>24</v>
      </c>
      <c r="D34" s="85" t="s">
        <v>52</v>
      </c>
      <c r="E34" s="66"/>
      <c r="F34" s="66"/>
      <c r="G34" s="67"/>
    </row>
    <row r="35" spans="1:7" ht="18" customHeight="1" x14ac:dyDescent="0.35">
      <c r="A35" s="63" t="s">
        <v>53</v>
      </c>
      <c r="B35" s="70">
        <f>B32+B34</f>
        <v>18.155971479500892</v>
      </c>
      <c r="C35" s="75" t="s">
        <v>24</v>
      </c>
      <c r="D35" s="85" t="s">
        <v>54</v>
      </c>
      <c r="E35" s="66"/>
      <c r="F35" s="66"/>
      <c r="G35" s="67"/>
    </row>
    <row r="36" spans="1:7" ht="18" customHeight="1" x14ac:dyDescent="0.35">
      <c r="A36" s="63" t="s">
        <v>55</v>
      </c>
      <c r="B36" s="12">
        <v>18</v>
      </c>
      <c r="C36" s="74" t="s">
        <v>20</v>
      </c>
      <c r="D36" s="87"/>
      <c r="E36" s="23"/>
      <c r="F36" s="23"/>
      <c r="G36" s="24"/>
    </row>
    <row r="37" spans="1:7" s="62" customFormat="1" ht="27.75" customHeight="1" x14ac:dyDescent="0.35">
      <c r="A37" s="61"/>
      <c r="B37" s="61"/>
      <c r="C37" s="61"/>
      <c r="D37" s="86"/>
      <c r="E37" s="61"/>
      <c r="F37" s="61"/>
      <c r="G37" s="61"/>
    </row>
    <row r="38" spans="1:7" ht="18" customHeight="1" x14ac:dyDescent="0.35">
      <c r="A38" s="76" t="s">
        <v>56</v>
      </c>
      <c r="B38" s="77"/>
      <c r="C38" s="77"/>
      <c r="D38" s="83"/>
      <c r="E38" s="77"/>
      <c r="F38" s="98" t="s">
        <v>18</v>
      </c>
      <c r="G38" s="78"/>
    </row>
    <row r="39" spans="1:7" ht="18" customHeight="1" x14ac:dyDescent="0.35">
      <c r="A39" s="63" t="s">
        <v>57</v>
      </c>
      <c r="B39" s="14">
        <v>132</v>
      </c>
      <c r="C39" s="74" t="s">
        <v>20</v>
      </c>
      <c r="D39" s="84"/>
      <c r="E39" s="23"/>
      <c r="F39" s="23"/>
      <c r="G39" s="24"/>
    </row>
    <row r="40" spans="1:7" ht="18" customHeight="1" x14ac:dyDescent="0.35">
      <c r="A40" s="63" t="s">
        <v>58</v>
      </c>
      <c r="B40" s="14">
        <v>10</v>
      </c>
      <c r="C40" s="74" t="s">
        <v>20</v>
      </c>
      <c r="D40" s="84"/>
      <c r="E40" s="23"/>
      <c r="F40" s="23"/>
      <c r="G40" s="24"/>
    </row>
    <row r="41" spans="1:7" ht="18" customHeight="1" x14ac:dyDescent="0.35">
      <c r="A41" s="63" t="s">
        <v>59</v>
      </c>
      <c r="B41" s="70">
        <f>B20</f>
        <v>17</v>
      </c>
      <c r="C41" s="75" t="s">
        <v>24</v>
      </c>
      <c r="D41" s="75" t="s">
        <v>60</v>
      </c>
      <c r="E41" s="66"/>
      <c r="F41" s="66"/>
      <c r="G41" s="67"/>
    </row>
    <row r="42" spans="1:7" ht="18" customHeight="1" x14ac:dyDescent="0.35">
      <c r="A42" s="63" t="s">
        <v>61</v>
      </c>
      <c r="B42" s="72">
        <f>B39/B41</f>
        <v>7.7647058823529411</v>
      </c>
      <c r="C42" s="75" t="s">
        <v>24</v>
      </c>
      <c r="D42" s="85" t="s">
        <v>62</v>
      </c>
      <c r="E42" s="66"/>
      <c r="F42" s="66"/>
      <c r="G42" s="67"/>
    </row>
    <row r="43" spans="1:7" ht="18" customHeight="1" x14ac:dyDescent="0.35">
      <c r="A43" s="63" t="s">
        <v>63</v>
      </c>
      <c r="B43" s="73">
        <f>B42/B40</f>
        <v>0.77647058823529413</v>
      </c>
      <c r="C43" s="75" t="s">
        <v>24</v>
      </c>
      <c r="D43" s="85" t="s">
        <v>64</v>
      </c>
      <c r="E43" s="66"/>
      <c r="F43" s="66"/>
      <c r="G43" s="67"/>
    </row>
    <row r="44" spans="1:7" ht="18" customHeight="1" x14ac:dyDescent="0.35">
      <c r="A44" s="63" t="s">
        <v>65</v>
      </c>
      <c r="B44" s="14">
        <v>410</v>
      </c>
      <c r="C44" s="74" t="s">
        <v>20</v>
      </c>
      <c r="D44" s="84"/>
      <c r="E44" s="23"/>
      <c r="F44" s="23"/>
      <c r="G44" s="24"/>
    </row>
    <row r="45" spans="1:7" ht="18" customHeight="1" x14ac:dyDescent="0.35">
      <c r="A45" s="63" t="s">
        <v>66</v>
      </c>
      <c r="B45" s="72">
        <f>B44*B40/B39</f>
        <v>31.060606060606062</v>
      </c>
      <c r="C45" s="75" t="s">
        <v>24</v>
      </c>
      <c r="D45" s="85" t="s">
        <v>67</v>
      </c>
      <c r="E45" s="66"/>
      <c r="F45" s="66"/>
      <c r="G45" s="67"/>
    </row>
    <row r="46" spans="1:7" ht="18" customHeight="1" x14ac:dyDescent="0.35">
      <c r="A46" s="63" t="s">
        <v>68</v>
      </c>
      <c r="B46" s="72">
        <f>B44/B41</f>
        <v>24.117647058823529</v>
      </c>
      <c r="C46" s="75" t="s">
        <v>69</v>
      </c>
      <c r="D46" s="85" t="s">
        <v>70</v>
      </c>
      <c r="E46" s="66"/>
      <c r="F46" s="66"/>
      <c r="G46" s="67"/>
    </row>
    <row r="47" spans="1:7" s="62" customFormat="1" ht="27" customHeight="1" x14ac:dyDescent="0.35">
      <c r="A47" s="61"/>
      <c r="B47" s="61"/>
      <c r="C47" s="61"/>
      <c r="D47" s="86"/>
      <c r="E47" s="61"/>
      <c r="F47" s="61"/>
      <c r="G47" s="61"/>
    </row>
    <row r="48" spans="1:7" ht="18" customHeight="1" x14ac:dyDescent="0.35">
      <c r="A48" s="76" t="s">
        <v>71</v>
      </c>
      <c r="B48" s="77"/>
      <c r="C48" s="99"/>
      <c r="D48" s="83"/>
      <c r="E48" s="77"/>
      <c r="F48" s="77" t="s">
        <v>18</v>
      </c>
      <c r="G48" s="101"/>
    </row>
    <row r="49" spans="1:8" ht="18" customHeight="1" x14ac:dyDescent="0.35">
      <c r="A49" s="63" t="s">
        <v>72</v>
      </c>
      <c r="B49" s="14">
        <v>410</v>
      </c>
      <c r="C49" s="74" t="s">
        <v>20</v>
      </c>
      <c r="D49" s="87"/>
      <c r="E49" s="23"/>
      <c r="F49" s="23"/>
      <c r="G49" s="24"/>
    </row>
    <row r="50" spans="1:8" ht="18" customHeight="1" x14ac:dyDescent="0.35">
      <c r="A50" s="63" t="s">
        <v>73</v>
      </c>
      <c r="B50" s="15">
        <v>0.78</v>
      </c>
      <c r="C50" s="74" t="s">
        <v>20</v>
      </c>
      <c r="D50" s="87"/>
      <c r="E50" s="23"/>
      <c r="F50" s="23"/>
      <c r="G50" s="24"/>
    </row>
    <row r="51" spans="1:8" ht="18" customHeight="1" x14ac:dyDescent="0.35">
      <c r="A51" s="63" t="s">
        <v>74</v>
      </c>
      <c r="B51" s="14">
        <v>10</v>
      </c>
      <c r="C51" s="74" t="s">
        <v>20</v>
      </c>
      <c r="D51" s="87"/>
      <c r="E51" s="23"/>
      <c r="F51" s="23"/>
      <c r="G51" s="24"/>
    </row>
    <row r="52" spans="1:8" ht="18" customHeight="1" x14ac:dyDescent="0.35">
      <c r="A52" s="63" t="s">
        <v>75</v>
      </c>
      <c r="B52" s="72">
        <f>B50*B51</f>
        <v>7.8000000000000007</v>
      </c>
      <c r="C52" s="75" t="s">
        <v>24</v>
      </c>
      <c r="D52" s="85" t="s">
        <v>76</v>
      </c>
      <c r="E52" s="66"/>
      <c r="F52" s="66"/>
      <c r="G52" s="67"/>
    </row>
    <row r="53" spans="1:8" s="62" customFormat="1" ht="26.25" customHeight="1" x14ac:dyDescent="0.35">
      <c r="A53" s="61"/>
      <c r="B53" s="61"/>
      <c r="C53" s="61"/>
      <c r="D53" s="86"/>
      <c r="E53" s="61"/>
      <c r="F53" s="61"/>
      <c r="G53" s="61"/>
    </row>
    <row r="54" spans="1:8" ht="18" customHeight="1" x14ac:dyDescent="0.35">
      <c r="A54" s="76" t="s">
        <v>77</v>
      </c>
      <c r="B54" s="77"/>
      <c r="C54" s="77"/>
      <c r="D54" s="83"/>
      <c r="E54" s="77"/>
      <c r="F54" s="79" t="s">
        <v>18</v>
      </c>
      <c r="G54" s="102"/>
      <c r="H54" s="97"/>
    </row>
    <row r="55" spans="1:8" ht="36.75" customHeight="1" x14ac:dyDescent="0.35">
      <c r="A55" s="58"/>
      <c r="B55" s="59" t="s">
        <v>78</v>
      </c>
      <c r="C55" s="59" t="s">
        <v>79</v>
      </c>
      <c r="D55" s="88" t="s">
        <v>80</v>
      </c>
      <c r="E55" s="59" t="s">
        <v>81</v>
      </c>
      <c r="F55" s="60"/>
      <c r="G55" s="80"/>
      <c r="H55" s="95"/>
    </row>
    <row r="56" spans="1:8" ht="18" customHeight="1" x14ac:dyDescent="0.35">
      <c r="A56" s="63" t="s">
        <v>82</v>
      </c>
      <c r="B56" s="70">
        <f>B32</f>
        <v>18</v>
      </c>
      <c r="C56" s="70">
        <f>B35</f>
        <v>18.155971479500892</v>
      </c>
      <c r="D56" s="89">
        <f>B36</f>
        <v>18</v>
      </c>
      <c r="E56" s="12">
        <v>17.5</v>
      </c>
      <c r="F56" s="81" t="s">
        <v>83</v>
      </c>
      <c r="G56" s="81"/>
      <c r="H56" s="96"/>
    </row>
    <row r="57" spans="1:8" ht="18" customHeight="1" x14ac:dyDescent="0.35">
      <c r="A57" s="63" t="s">
        <v>84</v>
      </c>
      <c r="B57" s="72">
        <f>$B$49/B56</f>
        <v>22.777777777777779</v>
      </c>
      <c r="C57" s="72">
        <f t="shared" ref="C57:E57" si="0">$B$49/C56</f>
        <v>22.582102007756124</v>
      </c>
      <c r="D57" s="90">
        <f t="shared" si="0"/>
        <v>22.777777777777779</v>
      </c>
      <c r="E57" s="72">
        <f t="shared" si="0"/>
        <v>23.428571428571427</v>
      </c>
      <c r="F57" s="81" t="s">
        <v>24</v>
      </c>
      <c r="G57" s="81" t="s">
        <v>85</v>
      </c>
      <c r="H57" s="96"/>
    </row>
    <row r="58" spans="1:8" ht="18" customHeight="1" x14ac:dyDescent="0.35">
      <c r="A58" s="63" t="s">
        <v>86</v>
      </c>
      <c r="B58" s="72">
        <f>B57/$B$50</f>
        <v>29.202279202279204</v>
      </c>
      <c r="C58" s="72">
        <f t="shared" ref="C58:E58" si="1">C57/$B$50</f>
        <v>28.951412830456569</v>
      </c>
      <c r="D58" s="90">
        <f t="shared" si="1"/>
        <v>29.202279202279204</v>
      </c>
      <c r="E58" s="72">
        <f t="shared" si="1"/>
        <v>30.036630036630033</v>
      </c>
      <c r="F58" s="81" t="s">
        <v>24</v>
      </c>
      <c r="G58" s="81" t="s">
        <v>87</v>
      </c>
      <c r="H58" s="96"/>
    </row>
    <row r="59" spans="1:8" ht="18" customHeight="1" x14ac:dyDescent="0.35">
      <c r="A59" s="63" t="s">
        <v>88</v>
      </c>
      <c r="B59" s="7">
        <f>ROUNDDOWN($B49*$B$51/B58,0)</f>
        <v>140</v>
      </c>
      <c r="C59" s="7">
        <f>ROUNDDOWN($B49*$B$51/C58,0)</f>
        <v>141</v>
      </c>
      <c r="D59" s="91">
        <f>ROUNDDOWN($B49*$B$51/D58,0)</f>
        <v>140</v>
      </c>
      <c r="E59" s="7">
        <f>ROUNDDOWN($B49*$B$51/E58,0)</f>
        <v>136</v>
      </c>
      <c r="F59" s="81" t="s">
        <v>24</v>
      </c>
      <c r="G59" s="81" t="s">
        <v>89</v>
      </c>
      <c r="H59" s="96"/>
    </row>
    <row r="60" spans="1:8" ht="18" customHeight="1" x14ac:dyDescent="0.35">
      <c r="A60" s="63" t="s">
        <v>90</v>
      </c>
      <c r="B60" s="68">
        <f>($B$32-B56)*$B$31</f>
        <v>0</v>
      </c>
      <c r="C60" s="68">
        <f t="shared" ref="C60:E60" si="2">($B$32-C56)*$B$31</f>
        <v>-7000.0000000000109</v>
      </c>
      <c r="D60" s="92">
        <f t="shared" si="2"/>
        <v>0</v>
      </c>
      <c r="E60" s="68">
        <f t="shared" si="2"/>
        <v>22440</v>
      </c>
      <c r="F60" s="81" t="s">
        <v>24</v>
      </c>
      <c r="G60" s="81" t="s">
        <v>91</v>
      </c>
      <c r="H60" s="96"/>
    </row>
    <row r="61" spans="1:8" ht="18" customHeight="1" x14ac:dyDescent="0.35">
      <c r="A61" s="63" t="s">
        <v>92</v>
      </c>
      <c r="B61" s="68">
        <f>($B$35-B56)*$B$31</f>
        <v>7000.0000000000109</v>
      </c>
      <c r="C61" s="68">
        <f>($B$35-C56)*$B$31</f>
        <v>0</v>
      </c>
      <c r="D61" s="92">
        <f>($B$35-D56)*$B$31</f>
        <v>7000.0000000000109</v>
      </c>
      <c r="E61" s="68">
        <f>($B$35-E56)*$B$31</f>
        <v>29440.000000000011</v>
      </c>
      <c r="F61" s="81" t="s">
        <v>24</v>
      </c>
      <c r="G61" s="81" t="s">
        <v>93</v>
      </c>
      <c r="H61" s="96"/>
    </row>
    <row r="62" spans="1:8" ht="18" customHeight="1" x14ac:dyDescent="0.35"/>
    <row r="63" spans="1:8" ht="18" customHeight="1" x14ac:dyDescent="0.35"/>
    <row r="64" spans="1:8" ht="18" customHeight="1" x14ac:dyDescent="0.35"/>
  </sheetData>
  <sheetProtection algorithmName="SHA-512" hashValue="Hg4aLFgFfSU6taI1TJzHfus9Xe8XgfwBsFgSz65yMztNJ7Y9jw2GuxgRXICnLfX7YzFA7S/BsyBGxA9lTO4DmQ==" saltValue="tr+MdZIxHuidEwsuJRaPjQ==" spinCount="100000" sheet="1" objects="1" scenarios="1"/>
  <mergeCells count="5">
    <mergeCell ref="A4:F4"/>
    <mergeCell ref="A7:F7"/>
    <mergeCell ref="A8:F8"/>
    <mergeCell ref="A10:F10"/>
    <mergeCell ref="A2:F2"/>
  </mergeCells>
  <pageMargins left="0.7" right="0.7" top="0.75" bottom="0.75" header="0.3" footer="0.3"/>
  <pageSetup paperSize="9" orientation="portrait" horizont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A1:O11"/>
  <sheetViews>
    <sheetView showGridLines="0" zoomScale="75" zoomScaleNormal="75" workbookViewId="0"/>
  </sheetViews>
  <sheetFormatPr defaultRowHeight="14.5" x14ac:dyDescent="0.35"/>
  <cols>
    <col min="1" max="1" width="177.7265625" style="50" customWidth="1"/>
  </cols>
  <sheetData>
    <row r="1" spans="1:15" x14ac:dyDescent="0.35">
      <c r="A1" s="113" t="s">
        <v>94</v>
      </c>
      <c r="B1" s="45"/>
      <c r="C1" s="45"/>
      <c r="D1" s="45"/>
      <c r="E1" s="45"/>
      <c r="F1" s="45"/>
      <c r="G1" s="45"/>
      <c r="H1" s="45"/>
      <c r="I1" s="45"/>
      <c r="J1" s="45"/>
      <c r="K1" s="45"/>
      <c r="L1" s="45"/>
      <c r="M1" s="45"/>
      <c r="N1" s="45"/>
      <c r="O1" s="45"/>
    </row>
    <row r="2" spans="1:15" ht="92.25" customHeight="1" x14ac:dyDescent="0.35">
      <c r="A2" s="48" t="s">
        <v>95</v>
      </c>
      <c r="B2" s="45"/>
      <c r="C2" s="45"/>
      <c r="D2" s="45"/>
      <c r="E2" s="45"/>
      <c r="F2" s="45"/>
      <c r="G2" s="45"/>
      <c r="H2" s="45"/>
      <c r="I2" s="45"/>
      <c r="J2" s="45"/>
      <c r="K2" s="45"/>
      <c r="L2" s="45"/>
      <c r="M2" s="45"/>
      <c r="N2" s="45"/>
      <c r="O2" s="45"/>
    </row>
    <row r="3" spans="1:15" ht="76.5" customHeight="1" x14ac:dyDescent="0.35">
      <c r="A3" s="48" t="s">
        <v>96</v>
      </c>
      <c r="B3" s="45"/>
      <c r="C3" s="45"/>
      <c r="D3" s="45"/>
      <c r="E3" s="45"/>
      <c r="F3" s="45"/>
      <c r="G3" s="45"/>
      <c r="H3" s="45"/>
      <c r="I3" s="45"/>
      <c r="J3" s="45"/>
      <c r="K3" s="45"/>
      <c r="L3" s="45"/>
      <c r="M3" s="45"/>
      <c r="N3" s="45"/>
      <c r="O3" s="45"/>
    </row>
    <row r="4" spans="1:15" ht="71.25" customHeight="1" x14ac:dyDescent="0.35">
      <c r="A4" s="48" t="s">
        <v>97</v>
      </c>
      <c r="B4" s="45"/>
      <c r="C4" s="45"/>
      <c r="D4" s="45"/>
      <c r="E4" s="45"/>
      <c r="F4" s="45"/>
      <c r="G4" s="45"/>
      <c r="H4" s="45"/>
      <c r="I4" s="45"/>
      <c r="J4" s="45"/>
      <c r="K4" s="45"/>
      <c r="L4" s="45"/>
      <c r="M4" s="45"/>
      <c r="N4" s="45"/>
      <c r="O4" s="45"/>
    </row>
    <row r="5" spans="1:15" ht="49.5" customHeight="1" x14ac:dyDescent="0.35">
      <c r="A5" s="48" t="s">
        <v>98</v>
      </c>
      <c r="B5" s="45"/>
      <c r="C5" s="45"/>
      <c r="D5" s="45"/>
      <c r="E5" s="45"/>
      <c r="F5" s="45"/>
      <c r="G5" s="45"/>
      <c r="H5" s="45"/>
      <c r="I5" s="45"/>
      <c r="J5" s="45"/>
      <c r="K5" s="45"/>
      <c r="L5" s="45"/>
      <c r="M5" s="45"/>
      <c r="N5" s="45"/>
      <c r="O5" s="45"/>
    </row>
    <row r="6" spans="1:15" ht="43.5" customHeight="1" x14ac:dyDescent="0.35">
      <c r="A6" s="114" t="s">
        <v>99</v>
      </c>
      <c r="B6" s="45"/>
      <c r="C6" s="45"/>
      <c r="D6" s="45"/>
      <c r="E6" s="45"/>
      <c r="F6" s="45"/>
      <c r="G6" s="45"/>
      <c r="H6" s="45"/>
      <c r="I6" s="45"/>
      <c r="J6" s="45"/>
      <c r="K6" s="45"/>
      <c r="L6" s="45"/>
      <c r="M6" s="45"/>
      <c r="N6" s="45"/>
      <c r="O6" s="45"/>
    </row>
    <row r="7" spans="1:15" x14ac:dyDescent="0.35">
      <c r="A7" s="49"/>
      <c r="B7" s="45"/>
      <c r="C7" s="45"/>
      <c r="D7" s="45"/>
      <c r="E7" s="45"/>
      <c r="F7" s="45"/>
      <c r="G7" s="45"/>
      <c r="H7" s="45"/>
      <c r="I7" s="45"/>
      <c r="J7" s="45"/>
      <c r="K7" s="45"/>
      <c r="L7" s="45"/>
      <c r="M7" s="45"/>
      <c r="N7" s="45"/>
      <c r="O7" s="45"/>
    </row>
    <row r="8" spans="1:15" x14ac:dyDescent="0.35">
      <c r="A8" s="49"/>
      <c r="B8" s="45"/>
      <c r="C8" s="45"/>
      <c r="D8" s="45"/>
      <c r="E8" s="45"/>
      <c r="F8" s="45"/>
      <c r="G8" s="45"/>
      <c r="H8" s="45"/>
      <c r="I8" s="45"/>
      <c r="J8" s="45"/>
      <c r="K8" s="45"/>
      <c r="L8" s="45"/>
      <c r="M8" s="45"/>
      <c r="N8" s="45"/>
      <c r="O8" s="45"/>
    </row>
    <row r="9" spans="1:15" x14ac:dyDescent="0.35">
      <c r="A9" s="49"/>
      <c r="B9" s="45"/>
      <c r="C9" s="45"/>
      <c r="D9" s="45"/>
      <c r="E9" s="45"/>
      <c r="F9" s="45"/>
      <c r="G9" s="45"/>
      <c r="H9" s="45"/>
      <c r="I9" s="45"/>
      <c r="J9" s="45"/>
      <c r="K9" s="45"/>
      <c r="L9" s="45"/>
      <c r="M9" s="45"/>
      <c r="N9" s="45"/>
      <c r="O9" s="45"/>
    </row>
    <row r="10" spans="1:15" x14ac:dyDescent="0.35">
      <c r="A10" s="49"/>
      <c r="B10" s="45"/>
      <c r="C10" s="45"/>
      <c r="D10" s="45"/>
      <c r="E10" s="45"/>
      <c r="F10" s="45"/>
      <c r="G10" s="45"/>
      <c r="H10" s="45"/>
      <c r="I10" s="45"/>
      <c r="J10" s="45"/>
      <c r="K10" s="45"/>
      <c r="L10" s="45"/>
      <c r="M10" s="45"/>
      <c r="N10" s="45"/>
      <c r="O10" s="45"/>
    </row>
    <row r="11" spans="1:15" x14ac:dyDescent="0.35">
      <c r="A11" s="49"/>
      <c r="B11" s="45"/>
      <c r="C11" s="45"/>
      <c r="D11" s="45"/>
      <c r="E11" s="45"/>
      <c r="F11" s="45"/>
      <c r="G11" s="45"/>
      <c r="H11" s="45"/>
      <c r="I11" s="45"/>
      <c r="J11" s="45"/>
      <c r="K11" s="45"/>
      <c r="L11" s="45"/>
      <c r="M11" s="45"/>
      <c r="N11" s="45"/>
      <c r="O11" s="45"/>
    </row>
  </sheetData>
  <sheetProtection algorithmName="SHA-512" hashValue="hYRoBLxQBpJvWiJ9JJaQOFIsogq+sjexNMjWmIGi5NpSY/QzOqtxkpsNH3891fbLyQS+Dz9yWNA7LvF4/4BeoA==" saltValue="ua9EX8CspYSB0pXiAat7tw==" spinCount="100000" sheet="1" objects="1" scenarios="1"/>
  <pageMargins left="0.7" right="0.7" top="0.75" bottom="0.75" header="0.3" footer="0.3"/>
  <pageSetup paperSize="9" orientation="portrait" horizontalDpi="4294967294"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33"/>
  </sheetPr>
  <dimension ref="A1:N69"/>
  <sheetViews>
    <sheetView showGridLines="0" zoomScale="75" zoomScaleNormal="75" workbookViewId="0">
      <pane ySplit="2" topLeftCell="A3" activePane="bottomLeft" state="frozen"/>
      <selection pane="bottomLeft" activeCell="E1" sqref="E1:M2"/>
    </sheetView>
  </sheetViews>
  <sheetFormatPr defaultColWidth="9.1796875" defaultRowHeight="14.5" x14ac:dyDescent="0.35"/>
  <cols>
    <col min="1" max="1" width="111.26953125" style="1" customWidth="1"/>
    <col min="2" max="4" width="14.1796875" style="51" customWidth="1"/>
    <col min="5" max="5" width="24" style="51" customWidth="1"/>
    <col min="6" max="6" width="21" style="1" customWidth="1"/>
    <col min="7" max="9" width="12.7265625" style="1" customWidth="1"/>
    <col min="10" max="16384" width="9.1796875" style="1"/>
  </cols>
  <sheetData>
    <row r="1" spans="1:13" ht="27" customHeight="1" x14ac:dyDescent="0.35">
      <c r="A1" s="115"/>
      <c r="B1" s="116" t="s">
        <v>100</v>
      </c>
      <c r="C1" s="116" t="s">
        <v>101</v>
      </c>
      <c r="D1" s="116" t="s">
        <v>102</v>
      </c>
      <c r="E1" s="386" t="s">
        <v>103</v>
      </c>
      <c r="F1" s="387"/>
      <c r="G1" s="387"/>
      <c r="H1" s="387"/>
      <c r="I1" s="387"/>
      <c r="J1" s="387"/>
      <c r="K1" s="387"/>
      <c r="L1" s="387"/>
      <c r="M1" s="387"/>
    </row>
    <row r="2" spans="1:13" ht="33" customHeight="1" x14ac:dyDescent="0.6">
      <c r="A2" s="136" t="s">
        <v>104</v>
      </c>
      <c r="B2" s="123">
        <v>2024</v>
      </c>
      <c r="C2" s="124">
        <f>B2+1</f>
        <v>2025</v>
      </c>
      <c r="D2" s="124">
        <f>C2+1</f>
        <v>2026</v>
      </c>
      <c r="E2" s="386"/>
      <c r="F2" s="387"/>
      <c r="G2" s="387"/>
      <c r="H2" s="387"/>
      <c r="I2" s="387"/>
      <c r="J2" s="387"/>
      <c r="K2" s="387"/>
      <c r="L2" s="387"/>
      <c r="M2" s="387"/>
    </row>
    <row r="3" spans="1:13" ht="25" customHeight="1" x14ac:dyDescent="0.35">
      <c r="A3" s="137" t="s">
        <v>105</v>
      </c>
      <c r="B3" s="98"/>
      <c r="C3" s="98"/>
      <c r="D3" s="98"/>
      <c r="E3" s="100"/>
    </row>
    <row r="4" spans="1:13" s="131" customFormat="1" ht="18" customHeight="1" x14ac:dyDescent="0.35">
      <c r="A4" s="237" t="s">
        <v>106</v>
      </c>
      <c r="B4" s="129">
        <v>60</v>
      </c>
      <c r="C4" s="129">
        <v>60</v>
      </c>
      <c r="D4" s="129">
        <v>60</v>
      </c>
      <c r="E4" s="130" t="s">
        <v>20</v>
      </c>
    </row>
    <row r="5" spans="1:13" s="131" customFormat="1" ht="18" customHeight="1" x14ac:dyDescent="0.35">
      <c r="A5" s="237" t="s">
        <v>107</v>
      </c>
      <c r="B5" s="129">
        <v>60</v>
      </c>
      <c r="C5" s="129">
        <v>60</v>
      </c>
      <c r="D5" s="129">
        <v>60</v>
      </c>
      <c r="E5" s="130" t="s">
        <v>20</v>
      </c>
    </row>
    <row r="6" spans="1:13" s="131" customFormat="1" ht="18" customHeight="1" x14ac:dyDescent="0.35">
      <c r="A6" s="237" t="s">
        <v>108</v>
      </c>
      <c r="B6" s="129">
        <v>60</v>
      </c>
      <c r="C6" s="129">
        <v>60</v>
      </c>
      <c r="D6" s="129">
        <v>60</v>
      </c>
      <c r="E6" s="130" t="s">
        <v>20</v>
      </c>
    </row>
    <row r="7" spans="1:13" s="131" customFormat="1" ht="18" customHeight="1" x14ac:dyDescent="0.35">
      <c r="A7" s="237" t="s">
        <v>109</v>
      </c>
      <c r="B7" s="129">
        <v>60</v>
      </c>
      <c r="C7" s="129">
        <v>60</v>
      </c>
      <c r="D7" s="129">
        <v>60</v>
      </c>
      <c r="E7" s="130" t="s">
        <v>20</v>
      </c>
    </row>
    <row r="8" spans="1:13" s="131" customFormat="1" ht="18" customHeight="1" x14ac:dyDescent="0.35">
      <c r="A8" s="237" t="s">
        <v>110</v>
      </c>
      <c r="B8" s="129">
        <v>60</v>
      </c>
      <c r="C8" s="129">
        <v>60</v>
      </c>
      <c r="D8" s="129">
        <v>60</v>
      </c>
      <c r="E8" s="130" t="s">
        <v>20</v>
      </c>
    </row>
    <row r="9" spans="1:13" s="131" customFormat="1" ht="18" customHeight="1" x14ac:dyDescent="0.35">
      <c r="A9" s="237" t="s">
        <v>111</v>
      </c>
      <c r="B9" s="129">
        <v>60</v>
      </c>
      <c r="C9" s="129">
        <v>60</v>
      </c>
      <c r="D9" s="129">
        <v>60</v>
      </c>
      <c r="E9" s="130" t="s">
        <v>20</v>
      </c>
    </row>
    <row r="10" spans="1:13" s="131" customFormat="1" ht="18" customHeight="1" x14ac:dyDescent="0.35">
      <c r="A10" s="237" t="s">
        <v>112</v>
      </c>
      <c r="B10" s="129">
        <v>60</v>
      </c>
      <c r="C10" s="129">
        <v>60</v>
      </c>
      <c r="D10" s="129">
        <v>60</v>
      </c>
      <c r="E10" s="130" t="s">
        <v>20</v>
      </c>
    </row>
    <row r="11" spans="1:13" s="131" customFormat="1" ht="18" customHeight="1" x14ac:dyDescent="0.35">
      <c r="A11" s="237" t="s">
        <v>113</v>
      </c>
      <c r="B11" s="238">
        <f>SUM(B4:B10)</f>
        <v>420</v>
      </c>
      <c r="C11" s="238">
        <f>SUM(C4:C10)</f>
        <v>420</v>
      </c>
      <c r="D11" s="238">
        <f>SUM(D4:D10)</f>
        <v>420</v>
      </c>
      <c r="E11" s="239" t="s">
        <v>24</v>
      </c>
      <c r="I11" s="132"/>
    </row>
    <row r="12" spans="1:13" ht="30" customHeight="1" x14ac:dyDescent="0.35">
      <c r="A12" s="127" t="s">
        <v>114</v>
      </c>
      <c r="B12" s="122"/>
      <c r="C12" s="122"/>
      <c r="D12" s="122"/>
      <c r="E12" s="100"/>
      <c r="H12" s="4"/>
    </row>
    <row r="13" spans="1:13" s="131" customFormat="1" ht="18" customHeight="1" x14ac:dyDescent="0.35">
      <c r="A13" s="237" t="s">
        <v>115</v>
      </c>
      <c r="B13" s="240">
        <f>B21</f>
        <v>17</v>
      </c>
      <c r="C13" s="240">
        <f t="shared" ref="C13:D13" si="0">C21</f>
        <v>17</v>
      </c>
      <c r="D13" s="240">
        <f t="shared" si="0"/>
        <v>17</v>
      </c>
      <c r="E13" s="239" t="s">
        <v>24</v>
      </c>
    </row>
    <row r="14" spans="1:13" s="131" customFormat="1" ht="18" customHeight="1" x14ac:dyDescent="0.35">
      <c r="A14" s="237" t="s">
        <v>116</v>
      </c>
      <c r="B14" s="241" t="s">
        <v>117</v>
      </c>
      <c r="C14" s="240">
        <f>'6 deployment planned year'!C25</f>
        <v>17</v>
      </c>
      <c r="D14" s="240">
        <f>'7 deployment projection year'!C25</f>
        <v>17</v>
      </c>
      <c r="E14" s="239" t="s">
        <v>24</v>
      </c>
    </row>
    <row r="15" spans="1:13" s="131" customFormat="1" ht="18" customHeight="1" x14ac:dyDescent="0.35">
      <c r="A15" s="237" t="s">
        <v>118</v>
      </c>
      <c r="B15" s="242">
        <f>'5 deployment base year'!C23</f>
        <v>0.78235294117647058</v>
      </c>
      <c r="C15" s="242">
        <f>'6 deployment planned year'!C23</f>
        <v>0.78239999999999998</v>
      </c>
      <c r="D15" s="242">
        <f>'6 deployment planned year'!C23</f>
        <v>0.78239999999999998</v>
      </c>
      <c r="E15" s="239" t="s">
        <v>24</v>
      </c>
    </row>
    <row r="16" spans="1:13" s="131" customFormat="1" ht="18" customHeight="1" x14ac:dyDescent="0.35">
      <c r="A16" s="237" t="s">
        <v>119</v>
      </c>
      <c r="B16" s="243">
        <f>'5 deployment base year'!B3</f>
        <v>10</v>
      </c>
      <c r="C16" s="243">
        <f>'6 deployment planned year'!B3</f>
        <v>10</v>
      </c>
      <c r="D16" s="243">
        <f>'7 deployment projection year'!B3</f>
        <v>10</v>
      </c>
      <c r="E16" s="239" t="s">
        <v>24</v>
      </c>
    </row>
    <row r="17" spans="1:5" s="131" customFormat="1" ht="18" customHeight="1" x14ac:dyDescent="0.35">
      <c r="A17" s="237" t="s">
        <v>120</v>
      </c>
      <c r="B17" s="244">
        <f>'5 deployment base year'!C24</f>
        <v>7.8235294117647056</v>
      </c>
      <c r="C17" s="244">
        <f>'6 deployment planned year'!C24</f>
        <v>7.8239999999999998</v>
      </c>
      <c r="D17" s="244">
        <f>'7 deployment projection year'!C24</f>
        <v>7.8239999999999998</v>
      </c>
      <c r="E17" s="239" t="s">
        <v>24</v>
      </c>
    </row>
    <row r="18" spans="1:5" s="131" customFormat="1" ht="18" customHeight="1" x14ac:dyDescent="0.35">
      <c r="A18" s="237" t="s">
        <v>121</v>
      </c>
      <c r="B18" s="244">
        <f>'5 deployment base year'!C22</f>
        <v>31.578947368421051</v>
      </c>
      <c r="C18" s="244">
        <f>'6 deployment planned year'!C22</f>
        <v>31.578947368421051</v>
      </c>
      <c r="D18" s="244">
        <f>'7 deployment projection year'!C22</f>
        <v>31.578947368421051</v>
      </c>
      <c r="E18" s="239" t="s">
        <v>24</v>
      </c>
    </row>
    <row r="19" spans="1:5" s="131" customFormat="1" ht="18" customHeight="1" x14ac:dyDescent="0.35">
      <c r="A19" s="245" t="s">
        <v>122</v>
      </c>
      <c r="B19" s="244">
        <f>'5 deployment base year'!C25</f>
        <v>2.9</v>
      </c>
      <c r="C19" s="244">
        <f>'6 deployment planned year'!C26</f>
        <v>2.9</v>
      </c>
      <c r="D19" s="244">
        <f>'7 deployment projection year'!C26</f>
        <v>2.9</v>
      </c>
      <c r="E19" s="239" t="s">
        <v>24</v>
      </c>
    </row>
    <row r="20" spans="1:5" ht="29.25" customHeight="1" x14ac:dyDescent="0.35">
      <c r="A20" s="128" t="s">
        <v>123</v>
      </c>
      <c r="B20" s="117"/>
      <c r="C20" s="117"/>
      <c r="D20" s="117"/>
      <c r="E20" s="100"/>
    </row>
    <row r="21" spans="1:5" s="131" customFormat="1" ht="18" customHeight="1" x14ac:dyDescent="0.35">
      <c r="A21" s="237" t="s">
        <v>124</v>
      </c>
      <c r="B21" s="133">
        <v>17</v>
      </c>
      <c r="C21" s="133">
        <v>17</v>
      </c>
      <c r="D21" s="133">
        <v>17</v>
      </c>
      <c r="E21" s="130" t="s">
        <v>20</v>
      </c>
    </row>
    <row r="22" spans="1:5" s="131" customFormat="1" ht="18" customHeight="1" x14ac:dyDescent="0.35">
      <c r="A22" s="237" t="s">
        <v>125</v>
      </c>
      <c r="B22" s="134">
        <v>748000</v>
      </c>
      <c r="C22" s="248">
        <f>C21*C35</f>
        <v>748000</v>
      </c>
      <c r="D22" s="248">
        <f>D21*D35</f>
        <v>748000</v>
      </c>
      <c r="E22" s="135" t="s">
        <v>126</v>
      </c>
    </row>
    <row r="23" spans="1:5" s="131" customFormat="1" ht="18" customHeight="1" x14ac:dyDescent="0.35">
      <c r="A23" s="246" t="s">
        <v>127</v>
      </c>
      <c r="B23" s="134">
        <v>216000</v>
      </c>
      <c r="C23" s="248">
        <f>C24*C36</f>
        <v>216000</v>
      </c>
      <c r="D23" s="248">
        <f>D24*D36</f>
        <v>216000</v>
      </c>
      <c r="E23" s="135" t="s">
        <v>126</v>
      </c>
    </row>
    <row r="24" spans="1:5" s="131" customFormat="1" ht="18" customHeight="1" x14ac:dyDescent="0.35">
      <c r="A24" s="246" t="s">
        <v>128</v>
      </c>
      <c r="B24" s="133">
        <v>12</v>
      </c>
      <c r="C24" s="133">
        <v>12</v>
      </c>
      <c r="D24" s="133">
        <v>12</v>
      </c>
      <c r="E24" s="130" t="s">
        <v>20</v>
      </c>
    </row>
    <row r="25" spans="1:5" s="131" customFormat="1" ht="18" customHeight="1" x14ac:dyDescent="0.35">
      <c r="A25" s="246" t="s">
        <v>129</v>
      </c>
      <c r="B25" s="134">
        <v>69000</v>
      </c>
      <c r="C25" s="248">
        <f>C26*C37</f>
        <v>69000</v>
      </c>
      <c r="D25" s="248">
        <f>D26*D37</f>
        <v>69000</v>
      </c>
      <c r="E25" s="135" t="s">
        <v>126</v>
      </c>
    </row>
    <row r="26" spans="1:5" s="131" customFormat="1" ht="18" customHeight="1" x14ac:dyDescent="0.35">
      <c r="A26" s="246" t="s">
        <v>130</v>
      </c>
      <c r="B26" s="133">
        <v>3</v>
      </c>
      <c r="C26" s="133">
        <v>3</v>
      </c>
      <c r="D26" s="133">
        <v>3</v>
      </c>
      <c r="E26" s="130" t="s">
        <v>20</v>
      </c>
    </row>
    <row r="27" spans="1:5" s="131" customFormat="1" ht="18" customHeight="1" x14ac:dyDescent="0.35">
      <c r="A27" s="246" t="s">
        <v>131</v>
      </c>
      <c r="B27" s="134">
        <v>100000</v>
      </c>
      <c r="C27" s="248">
        <f>C28*C38</f>
        <v>100000</v>
      </c>
      <c r="D27" s="248">
        <f>D28*D38</f>
        <v>100000</v>
      </c>
      <c r="E27" s="135" t="s">
        <v>126</v>
      </c>
    </row>
    <row r="28" spans="1:5" s="131" customFormat="1" ht="18" customHeight="1" x14ac:dyDescent="0.35">
      <c r="A28" s="246" t="s">
        <v>132</v>
      </c>
      <c r="B28" s="133">
        <v>7</v>
      </c>
      <c r="C28" s="133">
        <v>7</v>
      </c>
      <c r="D28" s="133">
        <v>7</v>
      </c>
      <c r="E28" s="130" t="s">
        <v>20</v>
      </c>
    </row>
    <row r="29" spans="1:5" s="131" customFormat="1" ht="18" customHeight="1" x14ac:dyDescent="0.35">
      <c r="A29" s="247" t="s">
        <v>133</v>
      </c>
      <c r="B29" s="134">
        <v>500000</v>
      </c>
      <c r="C29" s="248">
        <f>B29*(1+(C47/100))</f>
        <v>500000</v>
      </c>
      <c r="D29" s="248">
        <f>C29*(1+(D47/100))</f>
        <v>500000</v>
      </c>
      <c r="E29" s="135" t="s">
        <v>126</v>
      </c>
    </row>
    <row r="30" spans="1:5" s="131" customFormat="1" ht="18" customHeight="1" x14ac:dyDescent="0.35">
      <c r="A30" s="237" t="s">
        <v>134</v>
      </c>
      <c r="B30" s="248">
        <f>B29+B27+B25+B23+B22</f>
        <v>1633000</v>
      </c>
      <c r="C30" s="248">
        <f t="shared" ref="C30:D30" si="1">C29+C27+C25+C23+C22</f>
        <v>1633000</v>
      </c>
      <c r="D30" s="248">
        <f t="shared" si="1"/>
        <v>1633000</v>
      </c>
      <c r="E30" s="239" t="s">
        <v>24</v>
      </c>
    </row>
    <row r="31" spans="1:5" s="131" customFormat="1" ht="18" customHeight="1" x14ac:dyDescent="0.35">
      <c r="A31" s="237" t="s">
        <v>135</v>
      </c>
      <c r="B31" s="248">
        <f>IF(B11=0,0,B30/B11)</f>
        <v>3888.0952380952381</v>
      </c>
      <c r="C31" s="248">
        <f>IF(C11=0,0,C30/C11)</f>
        <v>3888.0952380952381</v>
      </c>
      <c r="D31" s="248">
        <f>IF(D11=0,0,D30/D11)</f>
        <v>3888.0952380952381</v>
      </c>
      <c r="E31" s="239" t="s">
        <v>24</v>
      </c>
    </row>
    <row r="32" spans="1:5" ht="30" customHeight="1" x14ac:dyDescent="0.35">
      <c r="A32" s="128" t="s">
        <v>136</v>
      </c>
      <c r="B32" s="121"/>
      <c r="C32" s="121"/>
      <c r="D32" s="121"/>
      <c r="E32" s="138"/>
    </row>
    <row r="33" spans="1:7" ht="18" customHeight="1" x14ac:dyDescent="0.35">
      <c r="A33" s="63" t="s">
        <v>137</v>
      </c>
      <c r="B33" s="118">
        <v>1640000</v>
      </c>
      <c r="C33" s="118">
        <v>1640000</v>
      </c>
      <c r="D33" s="118">
        <v>1640000</v>
      </c>
      <c r="E33" s="125" t="s">
        <v>20</v>
      </c>
    </row>
    <row r="34" spans="1:7" ht="18" customHeight="1" x14ac:dyDescent="0.35">
      <c r="A34" s="63" t="s">
        <v>138</v>
      </c>
      <c r="B34" s="249">
        <f>IF(B11=0,0,B33/B11)</f>
        <v>3904.7619047619046</v>
      </c>
      <c r="C34" s="249">
        <f>B34*(1+(C48/100))</f>
        <v>3904.7619047619046</v>
      </c>
      <c r="D34" s="249">
        <f>C34*(1+(D48/100))</f>
        <v>3904.7619047619046</v>
      </c>
      <c r="E34" s="250" t="s">
        <v>24</v>
      </c>
    </row>
    <row r="35" spans="1:7" ht="18" customHeight="1" x14ac:dyDescent="0.35">
      <c r="A35" s="63" t="s">
        <v>139</v>
      </c>
      <c r="B35" s="249">
        <f>IF(B13=0,0,B22/B21)</f>
        <v>44000</v>
      </c>
      <c r="C35" s="249">
        <f>B35*(1+(C43/100))</f>
        <v>44000</v>
      </c>
      <c r="D35" s="249">
        <f>C35*(1+(D43/100))</f>
        <v>44000</v>
      </c>
      <c r="E35" s="250" t="s">
        <v>24</v>
      </c>
    </row>
    <row r="36" spans="1:7" ht="18" customHeight="1" x14ac:dyDescent="0.35">
      <c r="A36" s="63" t="s">
        <v>140</v>
      </c>
      <c r="B36" s="249">
        <f>B23/B24</f>
        <v>18000</v>
      </c>
      <c r="C36" s="249">
        <f>B36*(1+(C44/100))</f>
        <v>18000</v>
      </c>
      <c r="D36" s="249">
        <f>C36*(1+(D44/100))</f>
        <v>18000</v>
      </c>
      <c r="E36" s="250" t="s">
        <v>24</v>
      </c>
    </row>
    <row r="37" spans="1:7" ht="18" customHeight="1" x14ac:dyDescent="0.35">
      <c r="A37" s="63" t="s">
        <v>141</v>
      </c>
      <c r="B37" s="249">
        <f>B25/B26</f>
        <v>23000</v>
      </c>
      <c r="C37" s="249">
        <f t="shared" ref="C37:D37" si="2">B37*(1+(C45/100))</f>
        <v>23000</v>
      </c>
      <c r="D37" s="249">
        <f t="shared" si="2"/>
        <v>23000</v>
      </c>
      <c r="E37" s="250" t="s">
        <v>24</v>
      </c>
    </row>
    <row r="38" spans="1:7" ht="18" customHeight="1" x14ac:dyDescent="0.35">
      <c r="A38" s="63" t="s">
        <v>142</v>
      </c>
      <c r="B38" s="249">
        <f>B27/B28</f>
        <v>14285.714285714286</v>
      </c>
      <c r="C38" s="249">
        <f t="shared" ref="C38:D38" si="3">B38*(1+(C46/100))</f>
        <v>14285.714285714286</v>
      </c>
      <c r="D38" s="249">
        <f t="shared" si="3"/>
        <v>14285.714285714286</v>
      </c>
      <c r="E38" s="250" t="s">
        <v>24</v>
      </c>
    </row>
    <row r="39" spans="1:7" ht="18" customHeight="1" x14ac:dyDescent="0.35">
      <c r="A39" s="63" t="s">
        <v>143</v>
      </c>
      <c r="B39" s="251">
        <f>B33-B30</f>
        <v>7000</v>
      </c>
      <c r="C39" s="251">
        <f>C33-C30</f>
        <v>7000</v>
      </c>
      <c r="D39" s="251">
        <f>D33-D30</f>
        <v>7000</v>
      </c>
      <c r="E39" s="250" t="s">
        <v>24</v>
      </c>
    </row>
    <row r="40" spans="1:7" ht="18" customHeight="1" x14ac:dyDescent="0.35">
      <c r="A40" s="63" t="s">
        <v>144</v>
      </c>
      <c r="B40" s="118">
        <v>0</v>
      </c>
      <c r="C40" s="229" t="s">
        <v>117</v>
      </c>
      <c r="D40" s="229" t="s">
        <v>117</v>
      </c>
      <c r="E40" s="126" t="s">
        <v>126</v>
      </c>
      <c r="G40" s="22"/>
    </row>
    <row r="41" spans="1:7" ht="18" customHeight="1" x14ac:dyDescent="0.35">
      <c r="A41" s="63" t="s">
        <v>145</v>
      </c>
      <c r="B41" s="252">
        <f>B39+B40</f>
        <v>7000</v>
      </c>
      <c r="C41" s="252">
        <f>C39+B41</f>
        <v>14000</v>
      </c>
      <c r="D41" s="252">
        <f>D39+C41</f>
        <v>21000</v>
      </c>
      <c r="E41" s="250" t="s">
        <v>24</v>
      </c>
      <c r="G41" s="25"/>
    </row>
    <row r="42" spans="1:7" ht="30" customHeight="1" x14ac:dyDescent="0.35">
      <c r="A42" s="120" t="s">
        <v>146</v>
      </c>
      <c r="B42" s="121"/>
      <c r="C42" s="121"/>
      <c r="D42" s="121"/>
      <c r="E42" s="138"/>
    </row>
    <row r="43" spans="1:7" ht="18" customHeight="1" x14ac:dyDescent="0.35">
      <c r="A43" s="63" t="s">
        <v>147</v>
      </c>
      <c r="B43" s="229" t="s">
        <v>117</v>
      </c>
      <c r="C43" s="119">
        <v>0</v>
      </c>
      <c r="D43" s="119">
        <v>0</v>
      </c>
      <c r="E43" s="125" t="s">
        <v>20</v>
      </c>
      <c r="G43" s="25"/>
    </row>
    <row r="44" spans="1:7" ht="18" customHeight="1" x14ac:dyDescent="0.35">
      <c r="A44" s="63" t="s">
        <v>148</v>
      </c>
      <c r="B44" s="229" t="s">
        <v>117</v>
      </c>
      <c r="C44" s="119">
        <v>0</v>
      </c>
      <c r="D44" s="119">
        <v>0</v>
      </c>
      <c r="E44" s="125" t="s">
        <v>20</v>
      </c>
    </row>
    <row r="45" spans="1:7" ht="18" customHeight="1" x14ac:dyDescent="0.35">
      <c r="A45" s="63" t="s">
        <v>149</v>
      </c>
      <c r="B45" s="229" t="s">
        <v>117</v>
      </c>
      <c r="C45" s="119">
        <v>0</v>
      </c>
      <c r="D45" s="119">
        <v>0</v>
      </c>
      <c r="E45" s="125" t="s">
        <v>20</v>
      </c>
    </row>
    <row r="46" spans="1:7" ht="18" customHeight="1" x14ac:dyDescent="0.35">
      <c r="A46" s="63" t="s">
        <v>150</v>
      </c>
      <c r="B46" s="229" t="s">
        <v>117</v>
      </c>
      <c r="C46" s="119">
        <v>0</v>
      </c>
      <c r="D46" s="119">
        <v>0</v>
      </c>
      <c r="E46" s="125" t="s">
        <v>20</v>
      </c>
    </row>
    <row r="47" spans="1:7" ht="18" customHeight="1" x14ac:dyDescent="0.35">
      <c r="A47" s="63" t="s">
        <v>151</v>
      </c>
      <c r="B47" s="229" t="s">
        <v>117</v>
      </c>
      <c r="C47" s="119">
        <v>0</v>
      </c>
      <c r="D47" s="119">
        <v>0</v>
      </c>
      <c r="E47" s="125" t="s">
        <v>20</v>
      </c>
    </row>
    <row r="48" spans="1:7" ht="18" customHeight="1" x14ac:dyDescent="0.35">
      <c r="A48" s="63" t="s">
        <v>152</v>
      </c>
      <c r="B48" s="229" t="s">
        <v>117</v>
      </c>
      <c r="C48" s="254">
        <f>IF(B33=0,"N/A",(C33-B33)/B33)</f>
        <v>0</v>
      </c>
      <c r="D48" s="254">
        <f>IF(C33=0,"N/A",(D33-C33)/C33)</f>
        <v>0</v>
      </c>
      <c r="E48" s="250" t="s">
        <v>24</v>
      </c>
    </row>
    <row r="49" spans="1:14" ht="30" customHeight="1" x14ac:dyDescent="0.35">
      <c r="A49" s="128" t="s">
        <v>153</v>
      </c>
      <c r="B49" s="253"/>
      <c r="C49" s="117"/>
      <c r="D49" s="117"/>
      <c r="E49" s="100"/>
    </row>
    <row r="50" spans="1:14" ht="18" customHeight="1" x14ac:dyDescent="0.35">
      <c r="A50" s="63" t="s">
        <v>154</v>
      </c>
      <c r="B50" s="249">
        <f t="shared" ref="B50:D51" si="4">B34</f>
        <v>3904.7619047619046</v>
      </c>
      <c r="C50" s="249">
        <f t="shared" si="4"/>
        <v>3904.7619047619046</v>
      </c>
      <c r="D50" s="249">
        <f t="shared" si="4"/>
        <v>3904.7619047619046</v>
      </c>
      <c r="E50" s="250" t="s">
        <v>24</v>
      </c>
    </row>
    <row r="51" spans="1:14" ht="18" customHeight="1" x14ac:dyDescent="0.35">
      <c r="A51" s="63" t="s">
        <v>155</v>
      </c>
      <c r="B51" s="249">
        <f t="shared" si="4"/>
        <v>44000</v>
      </c>
      <c r="C51" s="249">
        <f t="shared" si="4"/>
        <v>44000</v>
      </c>
      <c r="D51" s="249">
        <f t="shared" si="4"/>
        <v>44000</v>
      </c>
      <c r="E51" s="250" t="s">
        <v>24</v>
      </c>
    </row>
    <row r="52" spans="1:14" ht="18" customHeight="1" x14ac:dyDescent="0.35">
      <c r="A52" s="63" t="s">
        <v>156</v>
      </c>
      <c r="B52" s="255">
        <f>IF(B33=0,0,100*B39/B33)</f>
        <v>0.42682926829268292</v>
      </c>
      <c r="C52" s="255">
        <f>IF(C33=0,0,100*C39/C33)</f>
        <v>0.42682926829268292</v>
      </c>
      <c r="D52" s="255">
        <f>IF(D33=0,0,100*D39/D33)</f>
        <v>0.42682926829268292</v>
      </c>
      <c r="E52" s="250" t="s">
        <v>24</v>
      </c>
    </row>
    <row r="53" spans="1:14" ht="18" customHeight="1" x14ac:dyDescent="0.35">
      <c r="A53" s="63" t="s">
        <v>157</v>
      </c>
      <c r="B53" s="255">
        <f>IF(B33=0,0,100*B41/B33)</f>
        <v>0.42682926829268292</v>
      </c>
      <c r="C53" s="255">
        <f>IF(C33=0,0,100*C41/C33)</f>
        <v>0.85365853658536583</v>
      </c>
      <c r="D53" s="255">
        <f>IF(D33=0,0,100*D41/D33)</f>
        <v>1.2804878048780488</v>
      </c>
      <c r="E53" s="250" t="s">
        <v>24</v>
      </c>
    </row>
    <row r="54" spans="1:14" ht="18" customHeight="1" x14ac:dyDescent="0.35">
      <c r="A54" s="63" t="s">
        <v>158</v>
      </c>
      <c r="B54" s="256">
        <f>IF(B13=0,"n/a",B11/B21)</f>
        <v>24.705882352941178</v>
      </c>
      <c r="C54" s="256">
        <f t="shared" ref="C54:D54" si="5">IF(C13=0,"n/a",C11/C21)</f>
        <v>24.705882352941178</v>
      </c>
      <c r="D54" s="256">
        <f t="shared" si="5"/>
        <v>24.705882352941178</v>
      </c>
      <c r="E54" s="250" t="s">
        <v>24</v>
      </c>
    </row>
    <row r="55" spans="1:14" ht="18" customHeight="1" x14ac:dyDescent="0.35">
      <c r="A55" s="63" t="s">
        <v>159</v>
      </c>
      <c r="B55" s="257">
        <f>B15</f>
        <v>0.78235294117647058</v>
      </c>
      <c r="C55" s="257">
        <f>C15</f>
        <v>0.78239999999999998</v>
      </c>
      <c r="D55" s="257">
        <f>D15</f>
        <v>0.78239999999999998</v>
      </c>
      <c r="E55" s="250" t="s">
        <v>24</v>
      </c>
      <c r="F55" s="145" t="s">
        <v>160</v>
      </c>
      <c r="G55" s="146"/>
      <c r="H55" s="146"/>
      <c r="I55" s="146"/>
      <c r="J55" s="147"/>
    </row>
    <row r="56" spans="1:14" ht="18" customHeight="1" x14ac:dyDescent="0.35">
      <c r="A56" s="63" t="s">
        <v>161</v>
      </c>
      <c r="B56" s="258">
        <f>IF(OR(B54="n/a",B55=0),"n/a",B54/B55)</f>
        <v>31.578947368421055</v>
      </c>
      <c r="C56" s="258">
        <f t="shared" ref="C56:D56" si="6">IF(OR(C54="n/a",C55=0),"n/a",C54/C55)</f>
        <v>31.577047997112956</v>
      </c>
      <c r="D56" s="258">
        <f t="shared" si="6"/>
        <v>31.577047997112956</v>
      </c>
      <c r="E56" s="250" t="s">
        <v>24</v>
      </c>
      <c r="F56" s="148" t="s">
        <v>162</v>
      </c>
      <c r="G56" s="57"/>
      <c r="H56" s="57"/>
      <c r="I56" s="57"/>
      <c r="J56" s="149"/>
    </row>
    <row r="57" spans="1:14" ht="18" customHeight="1" x14ac:dyDescent="0.35">
      <c r="A57" s="63" t="s">
        <v>163</v>
      </c>
      <c r="B57" s="258">
        <f>B18</f>
        <v>31.578947368421051</v>
      </c>
      <c r="C57" s="258">
        <f>C18</f>
        <v>31.578947368421051</v>
      </c>
      <c r="D57" s="258">
        <f>D18</f>
        <v>31.578947368421051</v>
      </c>
      <c r="E57" s="250" t="s">
        <v>24</v>
      </c>
    </row>
    <row r="58" spans="1:14" ht="18" customHeight="1" x14ac:dyDescent="0.35">
      <c r="A58" s="63" t="s">
        <v>164</v>
      </c>
      <c r="B58" s="258">
        <f>'5 deployment base year'!C29</f>
        <v>25.925925925925927</v>
      </c>
      <c r="C58" s="258">
        <f>'6 deployment planned year'!C30</f>
        <v>25.925925925925927</v>
      </c>
      <c r="D58" s="258">
        <f>'7 deployment projection year'!C30</f>
        <v>25.925925925925927</v>
      </c>
      <c r="E58" s="250" t="s">
        <v>24</v>
      </c>
      <c r="F58" s="139" t="s">
        <v>165</v>
      </c>
      <c r="G58" s="140"/>
      <c r="H58" s="140"/>
      <c r="I58" s="140"/>
      <c r="J58" s="140"/>
      <c r="K58" s="143"/>
      <c r="L58" s="144"/>
      <c r="M58" s="144"/>
      <c r="N58" s="144"/>
    </row>
    <row r="59" spans="1:14" ht="18" customHeight="1" x14ac:dyDescent="0.35">
      <c r="A59" s="63" t="s">
        <v>166</v>
      </c>
      <c r="B59" s="258">
        <f>'5 deployment base year'!C30</f>
        <v>30</v>
      </c>
      <c r="C59" s="258">
        <f>'6 deployment planned year'!C31</f>
        <v>30</v>
      </c>
      <c r="D59" s="258">
        <f>'7 deployment projection year'!C31</f>
        <v>30</v>
      </c>
      <c r="E59" s="250" t="s">
        <v>24</v>
      </c>
      <c r="F59" s="141" t="s">
        <v>167</v>
      </c>
      <c r="G59" s="142"/>
      <c r="H59" s="142"/>
      <c r="I59" s="142"/>
      <c r="J59" s="142"/>
      <c r="K59" s="143"/>
      <c r="L59" s="144"/>
      <c r="M59" s="144"/>
      <c r="N59" s="144"/>
    </row>
    <row r="60" spans="1:14" ht="18" customHeight="1" x14ac:dyDescent="0.35">
      <c r="A60" s="63" t="s">
        <v>168</v>
      </c>
      <c r="B60" s="259">
        <f>IF(B33=0,"n/a",B22/B33)</f>
        <v>0.45609756097560977</v>
      </c>
      <c r="C60" s="259">
        <f>IF(C33=0,"n/a",C22/C33)</f>
        <v>0.45609756097560977</v>
      </c>
      <c r="D60" s="259">
        <f>IF(D33=0,"n/a",D22/D33)</f>
        <v>0.45609756097560977</v>
      </c>
      <c r="E60" s="250" t="s">
        <v>24</v>
      </c>
    </row>
    <row r="61" spans="1:14" ht="18" customHeight="1" x14ac:dyDescent="0.35">
      <c r="A61" s="63" t="s">
        <v>169</v>
      </c>
      <c r="B61" s="260">
        <f>IF(B33=0,"n/a",((B33-(B29+B27+B25+B23))/B33))</f>
        <v>0.46036585365853661</v>
      </c>
      <c r="C61" s="260">
        <f t="shared" ref="C61:D61" si="7">IF(C33=0,"n/a",((C33-(C29+C27+C25+C23))/C33))</f>
        <v>0.46036585365853661</v>
      </c>
      <c r="D61" s="260">
        <f t="shared" si="7"/>
        <v>0.46036585365853661</v>
      </c>
      <c r="E61" s="250" t="s">
        <v>24</v>
      </c>
    </row>
    <row r="62" spans="1:14" ht="18" customHeight="1" x14ac:dyDescent="0.35">
      <c r="A62" s="63" t="s">
        <v>170</v>
      </c>
      <c r="B62" s="261">
        <f>IF(OR(B50=0,B61="n/a"),"n/a",B51/(B50*B61))</f>
        <v>24.476821192052977</v>
      </c>
      <c r="C62" s="261">
        <f t="shared" ref="C62:D62" si="8">IF(OR(C50=0,C61="n/a"),"n/a",C51/(C50*C61))</f>
        <v>24.476821192052977</v>
      </c>
      <c r="D62" s="261">
        <f t="shared" si="8"/>
        <v>24.476821192052977</v>
      </c>
      <c r="E62" s="250" t="s">
        <v>24</v>
      </c>
    </row>
    <row r="63" spans="1:14" ht="18" customHeight="1" x14ac:dyDescent="0.35">
      <c r="A63" s="63" t="s">
        <v>171</v>
      </c>
      <c r="B63" s="262">
        <f>IF(B62="n/a","n/a",B11/B62)</f>
        <v>17.15909090909091</v>
      </c>
      <c r="C63" s="262">
        <f>IF(C62="n/a","n/a",C11/C62)</f>
        <v>17.15909090909091</v>
      </c>
      <c r="D63" s="262">
        <f>IF(D62="n/a","n/a",D11/D62)</f>
        <v>17.15909090909091</v>
      </c>
      <c r="E63" s="250" t="s">
        <v>24</v>
      </c>
    </row>
    <row r="64" spans="1:14" ht="18" customHeight="1" x14ac:dyDescent="0.35">
      <c r="A64" s="63" t="s">
        <v>172</v>
      </c>
      <c r="B64" s="262">
        <f>B13</f>
        <v>17</v>
      </c>
      <c r="C64" s="262">
        <f t="shared" ref="C64:D64" si="9">C13</f>
        <v>17</v>
      </c>
      <c r="D64" s="262">
        <f t="shared" si="9"/>
        <v>17</v>
      </c>
      <c r="E64" s="250" t="s">
        <v>24</v>
      </c>
    </row>
    <row r="65" spans="1:5" ht="18" customHeight="1" x14ac:dyDescent="0.35">
      <c r="A65" s="63" t="s">
        <v>173</v>
      </c>
      <c r="B65" s="262">
        <f>B13/B24</f>
        <v>1.4166666666666667</v>
      </c>
      <c r="C65" s="262">
        <f>C13/C24</f>
        <v>1.4166666666666667</v>
      </c>
      <c r="D65" s="262">
        <f>D13/D24</f>
        <v>1.4166666666666667</v>
      </c>
      <c r="E65" s="250" t="s">
        <v>24</v>
      </c>
    </row>
    <row r="66" spans="1:5" ht="18" customHeight="1" x14ac:dyDescent="0.35">
      <c r="A66" s="63" t="s">
        <v>174</v>
      </c>
      <c r="B66" s="262">
        <f>(B13+B24+B26+B28)/B26</f>
        <v>13</v>
      </c>
      <c r="C66" s="262">
        <f>(C13+C24+C26+C28)/C26</f>
        <v>13</v>
      </c>
      <c r="D66" s="262">
        <f>(D13+D24+D26+D28)/D26</f>
        <v>13</v>
      </c>
      <c r="E66" s="250" t="s">
        <v>24</v>
      </c>
    </row>
    <row r="67" spans="1:5" ht="18" customHeight="1" x14ac:dyDescent="0.35">
      <c r="A67" s="63" t="s">
        <v>175</v>
      </c>
      <c r="B67" s="262">
        <f>B11/B24</f>
        <v>35</v>
      </c>
      <c r="C67" s="262">
        <f>C11/C24</f>
        <v>35</v>
      </c>
      <c r="D67" s="262">
        <f>D11/D24</f>
        <v>35</v>
      </c>
      <c r="E67" s="250" t="s">
        <v>24</v>
      </c>
    </row>
    <row r="68" spans="1:5" ht="18" customHeight="1" x14ac:dyDescent="0.35">
      <c r="A68" s="263" t="s">
        <v>176</v>
      </c>
      <c r="B68" s="264">
        <f>B11/(B13+B24+B26+B28)</f>
        <v>10.76923076923077</v>
      </c>
      <c r="C68" s="264">
        <f>C11/(C13+C24+C26+C28)</f>
        <v>10.76923076923077</v>
      </c>
      <c r="D68" s="264">
        <f>D11/(D13+D24+D26+D28)</f>
        <v>10.76923076923077</v>
      </c>
      <c r="E68" s="250" t="s">
        <v>24</v>
      </c>
    </row>
    <row r="69" spans="1:5" ht="18" customHeight="1" x14ac:dyDescent="0.35">
      <c r="A69" s="63" t="s">
        <v>177</v>
      </c>
      <c r="B69" s="260">
        <f>(B22+B23+B25+B27)/B33</f>
        <v>0.69085365853658531</v>
      </c>
      <c r="C69" s="260">
        <f t="shared" ref="C69:D69" si="10">(C22+C23+C25+C27)/C33</f>
        <v>0.69085365853658531</v>
      </c>
      <c r="D69" s="260">
        <f t="shared" si="10"/>
        <v>0.69085365853658531</v>
      </c>
      <c r="E69" s="250" t="s">
        <v>24</v>
      </c>
    </row>
  </sheetData>
  <sheetProtection algorithmName="SHA-512" hashValue="Rco2Bdsp4lr6ldoe3FeTWuR3nKNJxHTzi5MaPTV86MPZXQe+nlvjVtG/TBaLqBa+BIujpBuNubDIhng5KwZXSg==" saltValue="7/2HeBpS1AXBDU4WQogJVA==" spinCount="100000" sheet="1" objects="1" scenarios="1"/>
  <mergeCells count="1">
    <mergeCell ref="E1:M2"/>
  </mergeCells>
  <conditionalFormatting sqref="C14:D14">
    <cfRule type="expression" dxfId="14" priority="1">
      <formula>C$14&lt;C$13</formula>
    </cfRule>
    <cfRule type="expression" dxfId="13" priority="2">
      <formula>C$14=C$13</formula>
    </cfRule>
    <cfRule type="expression" dxfId="12" priority="3">
      <formula>C$14&gt;C$13</formula>
    </cfRule>
  </conditionalFormatting>
  <pageMargins left="0.7" right="0.7" top="0.75" bottom="0.75" header="0.3" footer="0.3"/>
  <pageSetup paperSize="9" orientation="portrait" horizontalDpi="4294967294"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33"/>
  </sheetPr>
  <dimension ref="A1:H46"/>
  <sheetViews>
    <sheetView showGridLines="0" zoomScale="75" zoomScaleNormal="75" workbookViewId="0">
      <selection activeCell="A22" sqref="A22:B22"/>
    </sheetView>
  </sheetViews>
  <sheetFormatPr defaultColWidth="9.1796875" defaultRowHeight="14.5" x14ac:dyDescent="0.35"/>
  <cols>
    <col min="1" max="1" width="32.54296875" style="1" customWidth="1"/>
    <col min="2" max="2" width="17.7265625" style="1" customWidth="1"/>
    <col min="3" max="3" width="18.81640625" style="1" customWidth="1"/>
    <col min="4" max="4" width="12.81640625" style="1" customWidth="1"/>
    <col min="5" max="5" width="13" style="1" customWidth="1"/>
    <col min="6" max="6" width="14.54296875" style="1" customWidth="1"/>
    <col min="7" max="7" width="14" style="1" customWidth="1"/>
    <col min="8" max="8" width="83.81640625" style="1" customWidth="1"/>
    <col min="9" max="9" width="3.1796875" style="1" customWidth="1"/>
    <col min="10" max="16384" width="9.1796875" style="1"/>
  </cols>
  <sheetData>
    <row r="1" spans="1:8" ht="36.75" customHeight="1" x14ac:dyDescent="0.35">
      <c r="A1" s="150" t="s">
        <v>178</v>
      </c>
      <c r="B1" s="151"/>
      <c r="C1" s="151"/>
      <c r="D1" s="151"/>
      <c r="E1" s="151"/>
      <c r="F1" s="151"/>
      <c r="G1" s="151"/>
      <c r="H1" s="151"/>
    </row>
    <row r="2" spans="1:8" ht="30" customHeight="1" x14ac:dyDescent="0.35">
      <c r="A2" s="230" t="s">
        <v>179</v>
      </c>
      <c r="B2" s="234">
        <f>'4 summary data'!B2</f>
        <v>2024</v>
      </c>
      <c r="C2" s="155" t="s">
        <v>180</v>
      </c>
      <c r="D2" s="156"/>
      <c r="E2" s="156"/>
      <c r="F2" s="156"/>
      <c r="G2" s="156"/>
      <c r="H2" s="157"/>
    </row>
    <row r="3" spans="1:8" ht="29.25" customHeight="1" x14ac:dyDescent="0.35">
      <c r="A3" s="235" t="s">
        <v>181</v>
      </c>
      <c r="B3" s="152">
        <v>10</v>
      </c>
      <c r="C3" s="158"/>
      <c r="D3" s="159"/>
      <c r="E3" s="159"/>
      <c r="F3" s="159"/>
      <c r="G3" s="159"/>
      <c r="H3" s="160"/>
    </row>
    <row r="4" spans="1:8" ht="58" x14ac:dyDescent="0.35">
      <c r="A4" s="154" t="s">
        <v>182</v>
      </c>
      <c r="B4" s="154" t="s">
        <v>183</v>
      </c>
      <c r="C4" s="154" t="s">
        <v>184</v>
      </c>
      <c r="D4" s="154" t="s">
        <v>183</v>
      </c>
      <c r="E4" s="154" t="s">
        <v>185</v>
      </c>
      <c r="F4" s="154" t="s">
        <v>186</v>
      </c>
      <c r="G4" s="154" t="s">
        <v>187</v>
      </c>
      <c r="H4" s="154" t="s">
        <v>188</v>
      </c>
    </row>
    <row r="5" spans="1:8" ht="18" customHeight="1" x14ac:dyDescent="0.35">
      <c r="A5" s="63" t="str">
        <f>'4 summary data'!A4</f>
        <v>Reception</v>
      </c>
      <c r="B5" s="180">
        <f>'4 summary data'!B4</f>
        <v>60</v>
      </c>
      <c r="C5" s="171" t="s">
        <v>106</v>
      </c>
      <c r="D5" s="171">
        <v>60</v>
      </c>
      <c r="E5" s="171">
        <v>2</v>
      </c>
      <c r="F5" s="171">
        <v>18</v>
      </c>
      <c r="G5" s="171">
        <v>2</v>
      </c>
      <c r="H5" s="172" t="s">
        <v>189</v>
      </c>
    </row>
    <row r="6" spans="1:8" ht="18" customHeight="1" x14ac:dyDescent="0.35">
      <c r="A6" s="63" t="str">
        <f>'4 summary data'!A5</f>
        <v>Year 1</v>
      </c>
      <c r="B6" s="180">
        <f>'4 summary data'!B5</f>
        <v>60</v>
      </c>
      <c r="C6" s="171" t="s">
        <v>190</v>
      </c>
      <c r="D6" s="171">
        <v>60</v>
      </c>
      <c r="E6" s="171">
        <v>2</v>
      </c>
      <c r="F6" s="171">
        <v>18</v>
      </c>
      <c r="G6" s="171">
        <v>2</v>
      </c>
      <c r="H6" s="172" t="s">
        <v>189</v>
      </c>
    </row>
    <row r="7" spans="1:8" ht="18" customHeight="1" x14ac:dyDescent="0.35">
      <c r="A7" s="63" t="str">
        <f>'4 summary data'!A6</f>
        <v>Year 2</v>
      </c>
      <c r="B7" s="180">
        <f>'4 summary data'!B6</f>
        <v>60</v>
      </c>
      <c r="C7" s="171" t="s">
        <v>191</v>
      </c>
      <c r="D7" s="171">
        <v>60</v>
      </c>
      <c r="E7" s="171">
        <v>2</v>
      </c>
      <c r="F7" s="171">
        <v>18</v>
      </c>
      <c r="G7" s="171">
        <v>2</v>
      </c>
      <c r="H7" s="172" t="s">
        <v>189</v>
      </c>
    </row>
    <row r="8" spans="1:8" ht="18" customHeight="1" x14ac:dyDescent="0.35">
      <c r="A8" s="63" t="str">
        <f>'4 summary data'!A7</f>
        <v>Year 3</v>
      </c>
      <c r="B8" s="180">
        <f>'4 summary data'!B7</f>
        <v>60</v>
      </c>
      <c r="C8" s="171" t="s">
        <v>192</v>
      </c>
      <c r="D8" s="171">
        <v>60</v>
      </c>
      <c r="E8" s="171">
        <v>2</v>
      </c>
      <c r="F8" s="171">
        <v>18</v>
      </c>
      <c r="G8" s="171">
        <v>2</v>
      </c>
      <c r="H8" s="172" t="s">
        <v>189</v>
      </c>
    </row>
    <row r="9" spans="1:8" ht="18" customHeight="1" x14ac:dyDescent="0.35">
      <c r="A9" s="63" t="str">
        <f>'4 summary data'!A8</f>
        <v>Year 4</v>
      </c>
      <c r="B9" s="180">
        <f>'4 summary data'!B8</f>
        <v>60</v>
      </c>
      <c r="C9" s="171" t="s">
        <v>193</v>
      </c>
      <c r="D9" s="171">
        <v>60</v>
      </c>
      <c r="E9" s="171">
        <v>2</v>
      </c>
      <c r="F9" s="171">
        <v>18</v>
      </c>
      <c r="G9" s="171">
        <v>2</v>
      </c>
      <c r="H9" s="172" t="s">
        <v>189</v>
      </c>
    </row>
    <row r="10" spans="1:8" ht="18" customHeight="1" x14ac:dyDescent="0.35">
      <c r="A10" s="63" t="str">
        <f>'4 summary data'!A9</f>
        <v>Year 5</v>
      </c>
      <c r="B10" s="180">
        <f>'4 summary data'!B9</f>
        <v>60</v>
      </c>
      <c r="C10" s="171" t="s">
        <v>194</v>
      </c>
      <c r="D10" s="171">
        <v>60</v>
      </c>
      <c r="E10" s="171">
        <v>2</v>
      </c>
      <c r="F10" s="171">
        <v>18</v>
      </c>
      <c r="G10" s="171">
        <v>2</v>
      </c>
      <c r="H10" s="172" t="s">
        <v>189</v>
      </c>
    </row>
    <row r="11" spans="1:8" ht="18" customHeight="1" x14ac:dyDescent="0.35">
      <c r="A11" s="63" t="str">
        <f>'4 summary data'!A10</f>
        <v>Year 6</v>
      </c>
      <c r="B11" s="180">
        <f>'4 summary data'!B10</f>
        <v>60</v>
      </c>
      <c r="C11" s="171" t="s">
        <v>195</v>
      </c>
      <c r="D11" s="171">
        <v>60</v>
      </c>
      <c r="E11" s="171">
        <v>2</v>
      </c>
      <c r="F11" s="171">
        <v>18</v>
      </c>
      <c r="G11" s="171">
        <v>2</v>
      </c>
      <c r="H11" s="172" t="s">
        <v>189</v>
      </c>
    </row>
    <row r="12" spans="1:8" ht="18" customHeight="1" x14ac:dyDescent="0.35">
      <c r="A12" s="174" t="s">
        <v>196</v>
      </c>
      <c r="B12" s="175"/>
      <c r="C12" s="175"/>
      <c r="D12" s="175"/>
      <c r="E12" s="175"/>
      <c r="F12" s="175"/>
      <c r="G12" s="175"/>
      <c r="H12" s="176"/>
    </row>
    <row r="13" spans="1:8" ht="18" customHeight="1" x14ac:dyDescent="0.35">
      <c r="A13" s="7" t="s">
        <v>197</v>
      </c>
      <c r="B13" s="7" t="s">
        <v>198</v>
      </c>
      <c r="C13" s="7"/>
      <c r="D13" s="7"/>
      <c r="E13" s="7"/>
      <c r="F13" s="2">
        <v>5</v>
      </c>
      <c r="G13" s="2">
        <v>0</v>
      </c>
      <c r="H13" s="172" t="s">
        <v>199</v>
      </c>
    </row>
    <row r="14" spans="1:8" ht="18" customHeight="1" x14ac:dyDescent="0.35">
      <c r="A14" s="7" t="s">
        <v>200</v>
      </c>
      <c r="B14" s="7" t="s">
        <v>198</v>
      </c>
      <c r="C14" s="7"/>
      <c r="D14" s="7"/>
      <c r="E14" s="7"/>
      <c r="F14" s="2">
        <v>2</v>
      </c>
      <c r="G14" s="2">
        <v>10</v>
      </c>
      <c r="H14" s="172" t="s">
        <v>201</v>
      </c>
    </row>
    <row r="15" spans="1:8" ht="18" customHeight="1" x14ac:dyDescent="0.35">
      <c r="A15" s="7" t="s">
        <v>202</v>
      </c>
      <c r="B15" s="7" t="s">
        <v>198</v>
      </c>
      <c r="C15" s="7"/>
      <c r="D15" s="7"/>
      <c r="E15" s="7"/>
      <c r="F15" s="2">
        <v>0</v>
      </c>
      <c r="G15" s="2">
        <v>5</v>
      </c>
      <c r="H15" s="172" t="s">
        <v>203</v>
      </c>
    </row>
    <row r="16" spans="1:8" s="62" customFormat="1" ht="18" customHeight="1" x14ac:dyDescent="0.35">
      <c r="A16" s="61"/>
      <c r="B16" s="61"/>
      <c r="C16" s="61"/>
      <c r="D16" s="61"/>
      <c r="E16" s="61"/>
      <c r="F16" s="183"/>
      <c r="G16" s="183"/>
      <c r="H16" s="184"/>
    </row>
    <row r="17" spans="1:8" ht="23.25" customHeight="1" x14ac:dyDescent="0.35">
      <c r="A17" s="178" t="s">
        <v>204</v>
      </c>
      <c r="B17" s="179"/>
      <c r="C17" s="179"/>
      <c r="D17" s="179"/>
      <c r="E17" s="179"/>
      <c r="F17" s="179"/>
      <c r="G17" s="202"/>
      <c r="H17" s="200"/>
    </row>
    <row r="18" spans="1:8" ht="19.5" customHeight="1" x14ac:dyDescent="0.35">
      <c r="A18" s="170"/>
      <c r="B18" s="170" t="s">
        <v>205</v>
      </c>
      <c r="C18" s="170"/>
      <c r="D18" s="170"/>
      <c r="E18" s="170"/>
      <c r="F18" s="170" t="s">
        <v>186</v>
      </c>
      <c r="G18" s="170" t="s">
        <v>206</v>
      </c>
    </row>
    <row r="19" spans="1:8" ht="23.25" customHeight="1" x14ac:dyDescent="0.35">
      <c r="A19" s="7" t="s">
        <v>207</v>
      </c>
      <c r="B19" s="7">
        <f>SUM(B5:B11)</f>
        <v>420</v>
      </c>
      <c r="C19" s="229" t="s">
        <v>198</v>
      </c>
      <c r="D19" s="229" t="s">
        <v>198</v>
      </c>
      <c r="E19" s="7">
        <f>SUM(E5:E11)</f>
        <v>14</v>
      </c>
      <c r="F19" s="7">
        <f>SUM(F5:F11)+SUM(F13:F15)</f>
        <v>133</v>
      </c>
      <c r="G19" s="7">
        <f>SUM(G5:G11)+SUM(G13:G15)</f>
        <v>29</v>
      </c>
    </row>
    <row r="20" spans="1:8" s="62" customFormat="1" ht="23.25" customHeight="1" x14ac:dyDescent="0.35">
      <c r="A20" s="203"/>
      <c r="B20" s="203"/>
      <c r="C20" s="61"/>
    </row>
    <row r="21" spans="1:8" ht="24.75" customHeight="1" x14ac:dyDescent="0.35">
      <c r="A21" s="188" t="s">
        <v>208</v>
      </c>
      <c r="B21" s="174"/>
      <c r="C21" s="175"/>
      <c r="D21" s="206"/>
      <c r="E21" s="206"/>
      <c r="F21" s="206"/>
      <c r="G21" s="206"/>
      <c r="H21" s="207"/>
    </row>
    <row r="22" spans="1:8" ht="21.75" customHeight="1" x14ac:dyDescent="0.35">
      <c r="A22" s="393" t="s">
        <v>209</v>
      </c>
      <c r="B22" s="394"/>
      <c r="C22" s="192">
        <f>B19*B3/F19</f>
        <v>31.578947368421051</v>
      </c>
      <c r="D22" s="182"/>
      <c r="E22" s="182"/>
      <c r="F22" s="182"/>
      <c r="G22" s="182"/>
      <c r="H22" s="196"/>
    </row>
    <row r="23" spans="1:8" ht="18" customHeight="1" x14ac:dyDescent="0.35">
      <c r="A23" s="395" t="s">
        <v>210</v>
      </c>
      <c r="B23" s="396"/>
      <c r="C23" s="189">
        <f>C24/B3</f>
        <v>0.78235294117647058</v>
      </c>
      <c r="D23" s="390" t="s">
        <v>211</v>
      </c>
      <c r="E23" s="391"/>
      <c r="F23" s="391"/>
      <c r="G23" s="391"/>
      <c r="H23" s="392"/>
    </row>
    <row r="24" spans="1:8" ht="18" customHeight="1" x14ac:dyDescent="0.35">
      <c r="A24" s="395" t="s">
        <v>212</v>
      </c>
      <c r="B24" s="396"/>
      <c r="C24" s="72">
        <f>F19/B27</f>
        <v>7.8235294117647056</v>
      </c>
      <c r="D24" s="197" t="s">
        <v>213</v>
      </c>
      <c r="E24" s="193"/>
      <c r="F24" s="193"/>
      <c r="G24" s="193"/>
      <c r="H24" s="67"/>
    </row>
    <row r="25" spans="1:8" ht="18" customHeight="1" x14ac:dyDescent="0.35">
      <c r="A25" s="395" t="s">
        <v>214</v>
      </c>
      <c r="B25" s="396"/>
      <c r="C25" s="190">
        <f>G19/B3</f>
        <v>2.9</v>
      </c>
      <c r="D25" s="194" t="s">
        <v>215</v>
      </c>
      <c r="E25" s="195"/>
      <c r="F25" s="193"/>
      <c r="G25" s="193"/>
      <c r="H25" s="67"/>
    </row>
    <row r="26" spans="1:8" ht="18" customHeight="1" x14ac:dyDescent="0.35">
      <c r="A26" s="397"/>
      <c r="B26" s="398"/>
      <c r="C26" s="227" t="s">
        <v>216</v>
      </c>
      <c r="D26" s="210"/>
      <c r="E26" s="211"/>
      <c r="F26" s="212"/>
      <c r="G26" s="212"/>
      <c r="H26" s="212"/>
    </row>
    <row r="27" spans="1:8" ht="18.75" customHeight="1" x14ac:dyDescent="0.35">
      <c r="A27" s="27" t="s">
        <v>217</v>
      </c>
      <c r="B27" s="32">
        <f>'4 summary data'!B13</f>
        <v>17</v>
      </c>
      <c r="C27" s="222" t="s">
        <v>218</v>
      </c>
      <c r="D27" s="213"/>
      <c r="E27" s="214"/>
      <c r="F27" s="214"/>
      <c r="G27" s="214"/>
      <c r="H27" s="214"/>
    </row>
    <row r="28" spans="1:8" ht="14.25" customHeight="1" x14ac:dyDescent="0.35">
      <c r="A28" s="28"/>
      <c r="B28" s="226"/>
      <c r="C28" s="223" t="s">
        <v>219</v>
      </c>
      <c r="D28" s="213"/>
      <c r="E28" s="214"/>
      <c r="F28" s="214"/>
      <c r="G28" s="214"/>
      <c r="H28" s="214"/>
    </row>
    <row r="29" spans="1:8" x14ac:dyDescent="0.35">
      <c r="A29" s="395" t="s">
        <v>220</v>
      </c>
      <c r="B29" s="396"/>
      <c r="C29" s="70">
        <f>B19*B3/(F19+G19)</f>
        <v>25.925925925925927</v>
      </c>
      <c r="D29" s="388" t="s">
        <v>221</v>
      </c>
      <c r="E29" s="388"/>
      <c r="F29" s="388"/>
      <c r="G29" s="388"/>
      <c r="H29" s="215"/>
    </row>
    <row r="30" spans="1:8" x14ac:dyDescent="0.35">
      <c r="A30" s="395" t="s">
        <v>222</v>
      </c>
      <c r="B30" s="396"/>
      <c r="C30" s="70">
        <f>B19/E19</f>
        <v>30</v>
      </c>
      <c r="D30" s="389" t="s">
        <v>223</v>
      </c>
      <c r="E30" s="389"/>
      <c r="F30" s="389"/>
      <c r="G30" s="389"/>
    </row>
    <row r="31" spans="1:8" x14ac:dyDescent="0.35">
      <c r="A31" s="62"/>
      <c r="B31" s="62"/>
      <c r="C31" s="62"/>
      <c r="D31" s="62"/>
      <c r="E31" s="62"/>
      <c r="F31" s="62"/>
      <c r="G31" s="62"/>
    </row>
    <row r="32" spans="1:8" x14ac:dyDescent="0.35">
      <c r="H32" s="131"/>
    </row>
    <row r="46" spans="2:2" x14ac:dyDescent="0.35">
      <c r="B46" s="209"/>
    </row>
  </sheetData>
  <sheetProtection algorithmName="SHA-512" hashValue="xhJphZJRMfL4Uk8mpsp0oW6R2VJfi2++mnOsUblfOm6LP8HQDoI47uqCwtnUT3WKtN8wPS46b8i7YGy8gavGwA==" saltValue="CMFW8hlZOjOiaZzed4jUoA==" spinCount="100000" sheet="1" objects="1" scenarios="1"/>
  <mergeCells count="10">
    <mergeCell ref="D29:G29"/>
    <mergeCell ref="D30:G30"/>
    <mergeCell ref="D23:H23"/>
    <mergeCell ref="A22:B22"/>
    <mergeCell ref="A23:B23"/>
    <mergeCell ref="A24:B24"/>
    <mergeCell ref="A25:B25"/>
    <mergeCell ref="A26:B26"/>
    <mergeCell ref="A29:B29"/>
    <mergeCell ref="A30:B30"/>
  </mergeCells>
  <conditionalFormatting sqref="A26 A27:B28">
    <cfRule type="expression" dxfId="11" priority="1">
      <formula>$B$27&gt;$B$23</formula>
    </cfRule>
    <cfRule type="expression" dxfId="10" priority="2">
      <formula>$B$27&lt;$B$23</formula>
    </cfRule>
    <cfRule type="expression" dxfId="9" priority="3">
      <formula>$B$23=$B$27</formula>
    </cfRule>
  </conditionalFormatting>
  <pageMargins left="0.7" right="0.7" top="0.75" bottom="0.75" header="0.3" footer="0.3"/>
  <pageSetup paperSize="9"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33"/>
  </sheetPr>
  <dimension ref="A1:H46"/>
  <sheetViews>
    <sheetView showGridLines="0" zoomScale="75" zoomScaleNormal="75" workbookViewId="0"/>
  </sheetViews>
  <sheetFormatPr defaultColWidth="9.1796875" defaultRowHeight="14.5" x14ac:dyDescent="0.35"/>
  <cols>
    <col min="1" max="1" width="32.54296875" style="1" customWidth="1"/>
    <col min="2" max="2" width="17.7265625" style="1" customWidth="1"/>
    <col min="3" max="3" width="18.81640625" style="1" customWidth="1"/>
    <col min="4" max="5" width="11.7265625" style="1" customWidth="1"/>
    <col min="6" max="6" width="13.453125" style="1" customWidth="1"/>
    <col min="7" max="7" width="12.54296875" style="1" customWidth="1"/>
    <col min="8" max="8" width="83.81640625" style="1" customWidth="1"/>
    <col min="9" max="9" width="3.1796875" style="1" customWidth="1"/>
    <col min="10" max="16384" width="9.1796875" style="1"/>
  </cols>
  <sheetData>
    <row r="1" spans="1:8" ht="36.75" customHeight="1" x14ac:dyDescent="0.35">
      <c r="A1" s="150" t="s">
        <v>178</v>
      </c>
      <c r="B1" s="151"/>
      <c r="C1" s="151"/>
      <c r="D1" s="151"/>
      <c r="E1" s="151"/>
      <c r="F1" s="151"/>
      <c r="G1" s="151"/>
      <c r="H1" s="151"/>
    </row>
    <row r="2" spans="1:8" ht="30" customHeight="1" x14ac:dyDescent="0.35">
      <c r="A2" s="230" t="s">
        <v>179</v>
      </c>
      <c r="B2" s="234">
        <f>'4 summary data'!C2</f>
        <v>2025</v>
      </c>
      <c r="C2" s="161" t="s">
        <v>180</v>
      </c>
      <c r="D2" s="162"/>
      <c r="E2" s="162"/>
      <c r="F2" s="162"/>
      <c r="G2" s="162"/>
      <c r="H2" s="163"/>
    </row>
    <row r="3" spans="1:8" ht="27.75" customHeight="1" x14ac:dyDescent="0.35">
      <c r="A3" s="235" t="s">
        <v>181</v>
      </c>
      <c r="B3" s="152">
        <v>10</v>
      </c>
      <c r="C3" s="167"/>
      <c r="D3" s="168"/>
      <c r="E3" s="168"/>
      <c r="F3" s="168"/>
      <c r="G3" s="168"/>
      <c r="H3" s="169"/>
    </row>
    <row r="4" spans="1:8" ht="58" x14ac:dyDescent="0.35">
      <c r="A4" s="154" t="s">
        <v>182</v>
      </c>
      <c r="B4" s="154" t="s">
        <v>183</v>
      </c>
      <c r="C4" s="154" t="s">
        <v>184</v>
      </c>
      <c r="D4" s="154" t="s">
        <v>183</v>
      </c>
      <c r="E4" s="154" t="s">
        <v>185</v>
      </c>
      <c r="F4" s="154" t="s">
        <v>186</v>
      </c>
      <c r="G4" s="154" t="s">
        <v>187</v>
      </c>
      <c r="H4" s="154" t="s">
        <v>188</v>
      </c>
    </row>
    <row r="5" spans="1:8" ht="18" customHeight="1" x14ac:dyDescent="0.35">
      <c r="A5" s="181" t="str">
        <f>'4 summary data'!A4</f>
        <v>Reception</v>
      </c>
      <c r="B5" s="180">
        <f>'4 summary data'!C4</f>
        <v>60</v>
      </c>
      <c r="C5" s="171" t="s">
        <v>106</v>
      </c>
      <c r="D5" s="171">
        <v>60</v>
      </c>
      <c r="E5" s="171">
        <v>2</v>
      </c>
      <c r="F5" s="171">
        <v>18</v>
      </c>
      <c r="G5" s="171">
        <v>2</v>
      </c>
      <c r="H5" s="173" t="s">
        <v>189</v>
      </c>
    </row>
    <row r="6" spans="1:8" ht="18" customHeight="1" x14ac:dyDescent="0.35">
      <c r="A6" s="181" t="str">
        <f>'4 summary data'!A5</f>
        <v>Year 1</v>
      </c>
      <c r="B6" s="180">
        <f>'4 summary data'!C5</f>
        <v>60</v>
      </c>
      <c r="C6" s="171" t="s">
        <v>190</v>
      </c>
      <c r="D6" s="171">
        <v>60</v>
      </c>
      <c r="E6" s="171">
        <v>2</v>
      </c>
      <c r="F6" s="171">
        <v>18</v>
      </c>
      <c r="G6" s="171">
        <v>2</v>
      </c>
      <c r="H6" s="173" t="s">
        <v>189</v>
      </c>
    </row>
    <row r="7" spans="1:8" ht="18" customHeight="1" x14ac:dyDescent="0.35">
      <c r="A7" s="181" t="str">
        <f>'4 summary data'!A6</f>
        <v>Year 2</v>
      </c>
      <c r="B7" s="180">
        <f>'4 summary data'!C6</f>
        <v>60</v>
      </c>
      <c r="C7" s="171" t="s">
        <v>191</v>
      </c>
      <c r="D7" s="171">
        <v>60</v>
      </c>
      <c r="E7" s="171">
        <v>2</v>
      </c>
      <c r="F7" s="171">
        <v>18</v>
      </c>
      <c r="G7" s="171">
        <v>2</v>
      </c>
      <c r="H7" s="173" t="s">
        <v>189</v>
      </c>
    </row>
    <row r="8" spans="1:8" ht="18" customHeight="1" x14ac:dyDescent="0.35">
      <c r="A8" s="181" t="str">
        <f>'4 summary data'!A7</f>
        <v>Year 3</v>
      </c>
      <c r="B8" s="180">
        <f>'4 summary data'!C7</f>
        <v>60</v>
      </c>
      <c r="C8" s="171" t="s">
        <v>192</v>
      </c>
      <c r="D8" s="171">
        <v>60</v>
      </c>
      <c r="E8" s="171">
        <v>2</v>
      </c>
      <c r="F8" s="171">
        <v>18</v>
      </c>
      <c r="G8" s="171">
        <v>2</v>
      </c>
      <c r="H8" s="173" t="s">
        <v>189</v>
      </c>
    </row>
    <row r="9" spans="1:8" ht="18" customHeight="1" x14ac:dyDescent="0.35">
      <c r="A9" s="181" t="str">
        <f>'4 summary data'!A8</f>
        <v>Year 4</v>
      </c>
      <c r="B9" s="180">
        <f>'4 summary data'!C8</f>
        <v>60</v>
      </c>
      <c r="C9" s="171" t="s">
        <v>193</v>
      </c>
      <c r="D9" s="171">
        <v>60</v>
      </c>
      <c r="E9" s="171">
        <v>2</v>
      </c>
      <c r="F9" s="171">
        <v>18</v>
      </c>
      <c r="G9" s="171">
        <v>2</v>
      </c>
      <c r="H9" s="173" t="s">
        <v>189</v>
      </c>
    </row>
    <row r="10" spans="1:8" ht="18" customHeight="1" x14ac:dyDescent="0.35">
      <c r="A10" s="181" t="str">
        <f>'4 summary data'!A9</f>
        <v>Year 5</v>
      </c>
      <c r="B10" s="180">
        <f>'4 summary data'!C9</f>
        <v>60</v>
      </c>
      <c r="C10" s="171" t="s">
        <v>194</v>
      </c>
      <c r="D10" s="171">
        <v>60</v>
      </c>
      <c r="E10" s="171">
        <v>2</v>
      </c>
      <c r="F10" s="171">
        <v>18</v>
      </c>
      <c r="G10" s="171">
        <v>2</v>
      </c>
      <c r="H10" s="173" t="s">
        <v>189</v>
      </c>
    </row>
    <row r="11" spans="1:8" ht="18" customHeight="1" x14ac:dyDescent="0.35">
      <c r="A11" s="181" t="str">
        <f>'4 summary data'!A10</f>
        <v>Year 6</v>
      </c>
      <c r="B11" s="180">
        <f>'4 summary data'!C10</f>
        <v>60</v>
      </c>
      <c r="C11" s="171" t="s">
        <v>195</v>
      </c>
      <c r="D11" s="171">
        <v>60</v>
      </c>
      <c r="E11" s="171">
        <v>2</v>
      </c>
      <c r="F11" s="171">
        <v>18</v>
      </c>
      <c r="G11" s="171">
        <v>2</v>
      </c>
      <c r="H11" s="173" t="s">
        <v>189</v>
      </c>
    </row>
    <row r="12" spans="1:8" ht="18" customHeight="1" x14ac:dyDescent="0.35">
      <c r="A12" s="174" t="s">
        <v>196</v>
      </c>
      <c r="B12" s="175"/>
      <c r="C12" s="175"/>
      <c r="D12" s="175"/>
      <c r="E12" s="175"/>
      <c r="F12" s="175"/>
      <c r="G12" s="175"/>
      <c r="H12" s="176"/>
    </row>
    <row r="13" spans="1:8" ht="18" customHeight="1" x14ac:dyDescent="0.35">
      <c r="A13" s="7" t="s">
        <v>197</v>
      </c>
      <c r="B13" s="7" t="s">
        <v>198</v>
      </c>
      <c r="C13" s="7"/>
      <c r="D13" s="7"/>
      <c r="E13" s="7"/>
      <c r="F13" s="2">
        <v>5</v>
      </c>
      <c r="G13" s="2">
        <v>0</v>
      </c>
      <c r="H13" s="173" t="s">
        <v>199</v>
      </c>
    </row>
    <row r="14" spans="1:8" ht="18" customHeight="1" x14ac:dyDescent="0.35">
      <c r="A14" s="7" t="s">
        <v>200</v>
      </c>
      <c r="B14" s="7" t="s">
        <v>198</v>
      </c>
      <c r="C14" s="7"/>
      <c r="D14" s="7"/>
      <c r="E14" s="7"/>
      <c r="F14" s="2">
        <v>2</v>
      </c>
      <c r="G14" s="2">
        <v>10</v>
      </c>
      <c r="H14" s="173" t="s">
        <v>201</v>
      </c>
    </row>
    <row r="15" spans="1:8" ht="18" customHeight="1" x14ac:dyDescent="0.35">
      <c r="A15" s="7" t="s">
        <v>202</v>
      </c>
      <c r="B15" s="7" t="s">
        <v>198</v>
      </c>
      <c r="C15" s="7"/>
      <c r="D15" s="7"/>
      <c r="E15" s="7"/>
      <c r="F15" s="2">
        <v>0</v>
      </c>
      <c r="G15" s="2">
        <v>5</v>
      </c>
      <c r="H15" s="173" t="s">
        <v>203</v>
      </c>
    </row>
    <row r="16" spans="1:8" s="62" customFormat="1" ht="18" customHeight="1" x14ac:dyDescent="0.35">
      <c r="A16" s="61"/>
      <c r="B16" s="61"/>
      <c r="C16" s="61"/>
      <c r="D16" s="61"/>
      <c r="E16" s="61"/>
      <c r="F16" s="183"/>
      <c r="G16" s="183"/>
      <c r="H16" s="187"/>
    </row>
    <row r="17" spans="1:8" ht="23.25" customHeight="1" x14ac:dyDescent="0.35">
      <c r="A17" s="178" t="s">
        <v>204</v>
      </c>
      <c r="B17" s="179"/>
      <c r="C17" s="179"/>
      <c r="D17" s="179"/>
      <c r="E17" s="179"/>
      <c r="F17" s="179"/>
      <c r="G17" s="202"/>
      <c r="H17" s="200"/>
    </row>
    <row r="18" spans="1:8" ht="30.75" customHeight="1" x14ac:dyDescent="0.35">
      <c r="A18" s="170"/>
      <c r="B18" s="170" t="s">
        <v>205</v>
      </c>
      <c r="C18" s="170"/>
      <c r="D18" s="170"/>
      <c r="E18" s="170"/>
      <c r="F18" s="170" t="s">
        <v>186</v>
      </c>
      <c r="G18" s="170" t="s">
        <v>206</v>
      </c>
    </row>
    <row r="19" spans="1:8" ht="23.25" customHeight="1" x14ac:dyDescent="0.35">
      <c r="A19" s="7" t="s">
        <v>207</v>
      </c>
      <c r="B19" s="228">
        <f>SUM(B5:B11)</f>
        <v>420</v>
      </c>
      <c r="C19" s="229" t="s">
        <v>198</v>
      </c>
      <c r="D19" s="229" t="s">
        <v>198</v>
      </c>
      <c r="E19" s="228">
        <f>SUM(E5:E11)</f>
        <v>14</v>
      </c>
      <c r="F19" s="228">
        <f>SUM(F5:F11)+SUM(F13:F15)</f>
        <v>133</v>
      </c>
      <c r="G19" s="228">
        <f>SUM(G5:G11)+SUM(G13:G15)</f>
        <v>29</v>
      </c>
    </row>
    <row r="20" spans="1:8" s="62" customFormat="1" ht="23.25" customHeight="1" x14ac:dyDescent="0.35">
      <c r="A20" s="203"/>
      <c r="B20" s="203"/>
      <c r="C20" s="61"/>
    </row>
    <row r="21" spans="1:8" ht="24.75" customHeight="1" x14ac:dyDescent="0.35">
      <c r="A21" s="188" t="s">
        <v>208</v>
      </c>
      <c r="B21" s="174"/>
      <c r="C21" s="175"/>
      <c r="D21" s="206"/>
      <c r="E21" s="206"/>
      <c r="F21" s="206"/>
      <c r="G21" s="206"/>
      <c r="H21" s="207"/>
    </row>
    <row r="22" spans="1:8" ht="21.75" customHeight="1" x14ac:dyDescent="0.35">
      <c r="A22" s="393" t="s">
        <v>209</v>
      </c>
      <c r="B22" s="394"/>
      <c r="C22" s="192">
        <f>B19*B3/F19</f>
        <v>31.578947368421051</v>
      </c>
      <c r="D22" s="182"/>
      <c r="E22" s="182"/>
      <c r="F22" s="182"/>
      <c r="G22" s="182"/>
      <c r="H22" s="196"/>
    </row>
    <row r="23" spans="1:8" ht="36" customHeight="1" x14ac:dyDescent="0.35">
      <c r="A23" s="395" t="s">
        <v>210</v>
      </c>
      <c r="B23" s="396"/>
      <c r="C23" s="377">
        <v>0.78239999999999998</v>
      </c>
      <c r="D23" s="399" t="s">
        <v>224</v>
      </c>
      <c r="E23" s="400"/>
      <c r="F23" s="400"/>
      <c r="G23" s="400"/>
      <c r="H23" s="401"/>
    </row>
    <row r="24" spans="1:8" ht="18" customHeight="1" x14ac:dyDescent="0.35">
      <c r="A24" s="395" t="s">
        <v>212</v>
      </c>
      <c r="B24" s="396"/>
      <c r="C24" s="72">
        <f>C23*B3</f>
        <v>7.8239999999999998</v>
      </c>
      <c r="D24" s="65"/>
      <c r="E24" s="66"/>
      <c r="F24" s="66"/>
      <c r="G24" s="66"/>
      <c r="H24" s="67"/>
    </row>
    <row r="25" spans="1:8" ht="18" customHeight="1" x14ac:dyDescent="0.35">
      <c r="A25" s="395" t="s">
        <v>225</v>
      </c>
      <c r="B25" s="396"/>
      <c r="C25" s="191">
        <f>ROUNDUP(F19/C24,1)</f>
        <v>17</v>
      </c>
      <c r="D25" s="197" t="s">
        <v>226</v>
      </c>
      <c r="E25" s="198"/>
      <c r="F25" s="193"/>
      <c r="G25" s="193"/>
      <c r="H25" s="67"/>
    </row>
    <row r="26" spans="1:8" ht="18" customHeight="1" x14ac:dyDescent="0.35">
      <c r="A26" s="395" t="s">
        <v>214</v>
      </c>
      <c r="B26" s="396"/>
      <c r="C26" s="190">
        <f>G19/B3</f>
        <v>2.9</v>
      </c>
      <c r="D26" s="197" t="s">
        <v>215</v>
      </c>
      <c r="E26" s="198"/>
      <c r="F26" s="193"/>
      <c r="G26" s="193"/>
      <c r="H26" s="67"/>
    </row>
    <row r="27" spans="1:8" ht="15" customHeight="1" x14ac:dyDescent="0.35">
      <c r="A27" s="29"/>
      <c r="B27" s="33"/>
      <c r="C27" s="219" t="s">
        <v>216</v>
      </c>
      <c r="D27" s="402" t="s">
        <v>403</v>
      </c>
      <c r="E27" s="403"/>
      <c r="F27" s="403"/>
      <c r="G27" s="403"/>
      <c r="H27" s="404"/>
    </row>
    <row r="28" spans="1:8" ht="17.25" customHeight="1" x14ac:dyDescent="0.35">
      <c r="A28" s="30" t="s">
        <v>217</v>
      </c>
      <c r="B28" s="225">
        <f>'4 summary data'!C14</f>
        <v>17</v>
      </c>
      <c r="C28" s="220" t="s">
        <v>218</v>
      </c>
      <c r="D28" s="405"/>
      <c r="E28" s="406"/>
      <c r="F28" s="406"/>
      <c r="G28" s="406"/>
      <c r="H28" s="407"/>
    </row>
    <row r="29" spans="1:8" ht="35.25" customHeight="1" x14ac:dyDescent="0.35">
      <c r="A29" s="31"/>
      <c r="B29" s="34"/>
      <c r="C29" s="221" t="s">
        <v>219</v>
      </c>
      <c r="D29" s="408"/>
      <c r="E29" s="409"/>
      <c r="F29" s="409"/>
      <c r="G29" s="409"/>
      <c r="H29" s="410"/>
    </row>
    <row r="30" spans="1:8" x14ac:dyDescent="0.35">
      <c r="A30" s="395" t="s">
        <v>220</v>
      </c>
      <c r="B30" s="396"/>
      <c r="C30" s="70">
        <f>B19*B3/(F19+G19)</f>
        <v>25.925925925925927</v>
      </c>
      <c r="D30" s="81" t="s">
        <v>221</v>
      </c>
      <c r="E30" s="81"/>
      <c r="F30" s="81"/>
      <c r="G30" s="81"/>
    </row>
    <row r="31" spans="1:8" x14ac:dyDescent="0.35">
      <c r="A31" s="395" t="s">
        <v>222</v>
      </c>
      <c r="B31" s="396"/>
      <c r="C31" s="70">
        <f>B19/E19</f>
        <v>30</v>
      </c>
      <c r="D31" s="81" t="s">
        <v>223</v>
      </c>
      <c r="E31" s="81"/>
      <c r="F31" s="81"/>
      <c r="G31" s="81"/>
    </row>
    <row r="32" spans="1:8" x14ac:dyDescent="0.35">
      <c r="H32" s="131"/>
    </row>
    <row r="33" spans="2:3" x14ac:dyDescent="0.35">
      <c r="C33" s="22"/>
    </row>
    <row r="34" spans="2:3" x14ac:dyDescent="0.35">
      <c r="C34" s="22"/>
    </row>
    <row r="46" spans="2:3" x14ac:dyDescent="0.35">
      <c r="B46" s="208"/>
    </row>
  </sheetData>
  <sheetProtection algorithmName="SHA-512" hashValue="lt4vQT4HBtVlWkqDQZaD3s2LMP50O4C17PI4Y/S6t5zVYqWSbcsJSTBuQ5OBgIsxLKbp3gsZKSMDw1/14xxSwg==" saltValue="uEpnskZwxZvJASdo3MuDUQ==" spinCount="100000" sheet="1" objects="1" scenarios="1"/>
  <mergeCells count="9">
    <mergeCell ref="A31:B31"/>
    <mergeCell ref="D23:H23"/>
    <mergeCell ref="A23:B23"/>
    <mergeCell ref="D27:H29"/>
    <mergeCell ref="A22:B22"/>
    <mergeCell ref="A24:B24"/>
    <mergeCell ref="A25:B25"/>
    <mergeCell ref="A26:B26"/>
    <mergeCell ref="A30:B30"/>
  </mergeCells>
  <conditionalFormatting sqref="A27:B29">
    <cfRule type="expression" dxfId="8" priority="1">
      <formula>$B$28&gt;$B$23</formula>
    </cfRule>
    <cfRule type="expression" dxfId="7" priority="2">
      <formula>$B$28&lt;$B$23</formula>
    </cfRule>
    <cfRule type="expression" dxfId="6" priority="3">
      <formula>$B$23=$B$28</formula>
    </cfRule>
  </conditionalFormatting>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0033"/>
  </sheetPr>
  <dimension ref="A1:H46"/>
  <sheetViews>
    <sheetView showGridLines="0" zoomScale="75" zoomScaleNormal="75" workbookViewId="0"/>
  </sheetViews>
  <sheetFormatPr defaultColWidth="9.1796875" defaultRowHeight="14.5" x14ac:dyDescent="0.35"/>
  <cols>
    <col min="1" max="1" width="32.54296875" style="1" customWidth="1"/>
    <col min="2" max="2" width="17.7265625" style="1" customWidth="1"/>
    <col min="3" max="3" width="18.81640625" style="1" customWidth="1"/>
    <col min="4" max="5" width="11.7265625" style="1" customWidth="1"/>
    <col min="6" max="6" width="13.453125" style="1" customWidth="1"/>
    <col min="7" max="7" width="12.54296875" style="1" customWidth="1"/>
    <col min="8" max="8" width="83.81640625" style="1" customWidth="1"/>
    <col min="9" max="9" width="3.1796875" style="1" customWidth="1"/>
    <col min="10" max="16384" width="9.1796875" style="1"/>
  </cols>
  <sheetData>
    <row r="1" spans="1:8" ht="36.75" customHeight="1" x14ac:dyDescent="0.35">
      <c r="A1" s="150" t="s">
        <v>178</v>
      </c>
      <c r="B1" s="151"/>
      <c r="C1" s="151"/>
      <c r="D1" s="151"/>
      <c r="E1" s="151"/>
      <c r="F1" s="151"/>
      <c r="G1" s="151"/>
      <c r="H1" s="151"/>
    </row>
    <row r="2" spans="1:8" ht="30" customHeight="1" x14ac:dyDescent="0.35">
      <c r="A2" s="230" t="s">
        <v>179</v>
      </c>
      <c r="B2" s="234">
        <f>'4 summary data'!D2</f>
        <v>2026</v>
      </c>
      <c r="C2" s="161" t="s">
        <v>180</v>
      </c>
      <c r="D2" s="162"/>
      <c r="E2" s="162"/>
      <c r="F2" s="162"/>
      <c r="G2" s="162"/>
      <c r="H2" s="163"/>
    </row>
    <row r="3" spans="1:8" ht="28.5" customHeight="1" x14ac:dyDescent="0.35">
      <c r="A3" s="235" t="s">
        <v>181</v>
      </c>
      <c r="B3" s="152">
        <v>10</v>
      </c>
      <c r="C3" s="164"/>
      <c r="D3" s="165"/>
      <c r="E3" s="165"/>
      <c r="F3" s="165"/>
      <c r="G3" s="165"/>
      <c r="H3" s="166"/>
    </row>
    <row r="4" spans="1:8" ht="58" x14ac:dyDescent="0.35">
      <c r="A4" s="154" t="s">
        <v>182</v>
      </c>
      <c r="B4" s="154" t="s">
        <v>183</v>
      </c>
      <c r="C4" s="154" t="s">
        <v>184</v>
      </c>
      <c r="D4" s="154" t="s">
        <v>183</v>
      </c>
      <c r="E4" s="154" t="s">
        <v>185</v>
      </c>
      <c r="F4" s="154" t="s">
        <v>186</v>
      </c>
      <c r="G4" s="154" t="s">
        <v>187</v>
      </c>
      <c r="H4" s="154" t="s">
        <v>188</v>
      </c>
    </row>
    <row r="5" spans="1:8" ht="18" customHeight="1" x14ac:dyDescent="0.35">
      <c r="A5" s="181" t="str">
        <f>'4 summary data'!A4</f>
        <v>Reception</v>
      </c>
      <c r="B5" s="180">
        <f>'4 summary data'!D4</f>
        <v>60</v>
      </c>
      <c r="C5" s="171" t="s">
        <v>106</v>
      </c>
      <c r="D5" s="171">
        <v>60</v>
      </c>
      <c r="E5" s="171">
        <v>2</v>
      </c>
      <c r="F5" s="171">
        <v>18</v>
      </c>
      <c r="G5" s="171">
        <v>2</v>
      </c>
      <c r="H5" s="173" t="s">
        <v>189</v>
      </c>
    </row>
    <row r="6" spans="1:8" ht="18" customHeight="1" x14ac:dyDescent="0.35">
      <c r="A6" s="181" t="str">
        <f>'4 summary data'!A5</f>
        <v>Year 1</v>
      </c>
      <c r="B6" s="180">
        <f>'4 summary data'!D5</f>
        <v>60</v>
      </c>
      <c r="C6" s="171" t="s">
        <v>190</v>
      </c>
      <c r="D6" s="171">
        <v>60</v>
      </c>
      <c r="E6" s="171">
        <v>2</v>
      </c>
      <c r="F6" s="171">
        <v>18</v>
      </c>
      <c r="G6" s="171">
        <v>2</v>
      </c>
      <c r="H6" s="173" t="s">
        <v>189</v>
      </c>
    </row>
    <row r="7" spans="1:8" ht="18" customHeight="1" x14ac:dyDescent="0.35">
      <c r="A7" s="181" t="str">
        <f>'4 summary data'!A6</f>
        <v>Year 2</v>
      </c>
      <c r="B7" s="180">
        <f>'4 summary data'!D6</f>
        <v>60</v>
      </c>
      <c r="C7" s="171" t="s">
        <v>191</v>
      </c>
      <c r="D7" s="171">
        <v>60</v>
      </c>
      <c r="E7" s="171">
        <v>2</v>
      </c>
      <c r="F7" s="171">
        <v>18</v>
      </c>
      <c r="G7" s="171">
        <v>2</v>
      </c>
      <c r="H7" s="173" t="s">
        <v>189</v>
      </c>
    </row>
    <row r="8" spans="1:8" ht="18" customHeight="1" x14ac:dyDescent="0.35">
      <c r="A8" s="181" t="str">
        <f>'4 summary data'!A7</f>
        <v>Year 3</v>
      </c>
      <c r="B8" s="180">
        <f>'4 summary data'!D7</f>
        <v>60</v>
      </c>
      <c r="C8" s="171" t="s">
        <v>192</v>
      </c>
      <c r="D8" s="171">
        <v>60</v>
      </c>
      <c r="E8" s="171">
        <v>2</v>
      </c>
      <c r="F8" s="171">
        <v>18</v>
      </c>
      <c r="G8" s="171">
        <v>2</v>
      </c>
      <c r="H8" s="173" t="s">
        <v>189</v>
      </c>
    </row>
    <row r="9" spans="1:8" ht="18" customHeight="1" x14ac:dyDescent="0.35">
      <c r="A9" s="181" t="str">
        <f>'4 summary data'!A8</f>
        <v>Year 4</v>
      </c>
      <c r="B9" s="180">
        <f>'4 summary data'!D8</f>
        <v>60</v>
      </c>
      <c r="C9" s="171" t="s">
        <v>193</v>
      </c>
      <c r="D9" s="171">
        <v>60</v>
      </c>
      <c r="E9" s="171">
        <v>2</v>
      </c>
      <c r="F9" s="171">
        <v>18</v>
      </c>
      <c r="G9" s="171">
        <v>2</v>
      </c>
      <c r="H9" s="173" t="s">
        <v>189</v>
      </c>
    </row>
    <row r="10" spans="1:8" ht="18" customHeight="1" x14ac:dyDescent="0.35">
      <c r="A10" s="181" t="str">
        <f>'4 summary data'!A9</f>
        <v>Year 5</v>
      </c>
      <c r="B10" s="180">
        <f>'4 summary data'!D9</f>
        <v>60</v>
      </c>
      <c r="C10" s="171" t="s">
        <v>194</v>
      </c>
      <c r="D10" s="171">
        <v>60</v>
      </c>
      <c r="E10" s="171">
        <v>2</v>
      </c>
      <c r="F10" s="171">
        <v>18</v>
      </c>
      <c r="G10" s="171">
        <v>2</v>
      </c>
      <c r="H10" s="173" t="s">
        <v>189</v>
      </c>
    </row>
    <row r="11" spans="1:8" ht="18" customHeight="1" x14ac:dyDescent="0.35">
      <c r="A11" s="181" t="str">
        <f>'4 summary data'!A10</f>
        <v>Year 6</v>
      </c>
      <c r="B11" s="180">
        <f>'4 summary data'!D10</f>
        <v>60</v>
      </c>
      <c r="C11" s="171" t="s">
        <v>195</v>
      </c>
      <c r="D11" s="171">
        <v>60</v>
      </c>
      <c r="E11" s="171">
        <v>2</v>
      </c>
      <c r="F11" s="171">
        <v>18</v>
      </c>
      <c r="G11" s="171">
        <v>2</v>
      </c>
      <c r="H11" s="173" t="s">
        <v>189</v>
      </c>
    </row>
    <row r="12" spans="1:8" ht="18" customHeight="1" x14ac:dyDescent="0.35">
      <c r="A12" s="177" t="s">
        <v>196</v>
      </c>
      <c r="B12" s="177"/>
      <c r="C12" s="177"/>
      <c r="D12" s="177"/>
      <c r="E12" s="177"/>
      <c r="F12" s="177"/>
      <c r="G12" s="177"/>
      <c r="H12" s="177"/>
    </row>
    <row r="13" spans="1:8" ht="18" customHeight="1" x14ac:dyDescent="0.35">
      <c r="A13" s="7" t="s">
        <v>197</v>
      </c>
      <c r="B13" s="7" t="s">
        <v>198</v>
      </c>
      <c r="C13" s="7"/>
      <c r="D13" s="7"/>
      <c r="E13" s="7"/>
      <c r="F13" s="2">
        <v>5</v>
      </c>
      <c r="G13" s="2">
        <v>0</v>
      </c>
      <c r="H13" s="173" t="s">
        <v>199</v>
      </c>
    </row>
    <row r="14" spans="1:8" ht="18" customHeight="1" x14ac:dyDescent="0.35">
      <c r="A14" s="7" t="s">
        <v>200</v>
      </c>
      <c r="B14" s="7" t="s">
        <v>198</v>
      </c>
      <c r="C14" s="7"/>
      <c r="D14" s="7"/>
      <c r="E14" s="7"/>
      <c r="F14" s="2">
        <v>2</v>
      </c>
      <c r="G14" s="2">
        <v>10</v>
      </c>
      <c r="H14" s="173" t="s">
        <v>201</v>
      </c>
    </row>
    <row r="15" spans="1:8" ht="18" customHeight="1" x14ac:dyDescent="0.35">
      <c r="A15" s="7" t="s">
        <v>202</v>
      </c>
      <c r="B15" s="7" t="s">
        <v>198</v>
      </c>
      <c r="C15" s="7"/>
      <c r="D15" s="7"/>
      <c r="E15" s="7"/>
      <c r="F15" s="2">
        <v>0</v>
      </c>
      <c r="G15" s="2">
        <v>5</v>
      </c>
      <c r="H15" s="173" t="s">
        <v>203</v>
      </c>
    </row>
    <row r="16" spans="1:8" s="62" customFormat="1" ht="18" customHeight="1" x14ac:dyDescent="0.35">
      <c r="A16" s="185"/>
      <c r="B16" s="185"/>
      <c r="C16" s="185"/>
      <c r="D16" s="185"/>
      <c r="E16" s="185"/>
      <c r="F16" s="186"/>
      <c r="G16" s="186"/>
      <c r="H16" s="199"/>
    </row>
    <row r="17" spans="1:8" ht="23.25" customHeight="1" x14ac:dyDescent="0.35">
      <c r="A17" s="174" t="s">
        <v>204</v>
      </c>
      <c r="B17" s="175"/>
      <c r="C17" s="175"/>
      <c r="D17" s="175"/>
      <c r="E17" s="175"/>
      <c r="F17" s="175"/>
      <c r="G17" s="202"/>
      <c r="H17" s="200"/>
    </row>
    <row r="18" spans="1:8" ht="29.25" customHeight="1" x14ac:dyDescent="0.35">
      <c r="A18" s="170"/>
      <c r="B18" s="170" t="s">
        <v>205</v>
      </c>
      <c r="C18" s="170"/>
      <c r="D18" s="170"/>
      <c r="E18" s="170"/>
      <c r="F18" s="170" t="s">
        <v>186</v>
      </c>
      <c r="G18" s="170" t="s">
        <v>206</v>
      </c>
      <c r="H18" s="236"/>
    </row>
    <row r="19" spans="1:8" ht="23.25" customHeight="1" x14ac:dyDescent="0.35">
      <c r="A19" s="7" t="s">
        <v>207</v>
      </c>
      <c r="B19" s="7">
        <f>SUM(B5:B11)</f>
        <v>420</v>
      </c>
      <c r="C19" s="7"/>
      <c r="D19" s="7"/>
      <c r="E19" s="7">
        <f>SUM(E5:E11)</f>
        <v>14</v>
      </c>
      <c r="F19" s="7">
        <f>SUM(F5:F11)+SUM(F13:F15)</f>
        <v>133</v>
      </c>
      <c r="G19" s="7">
        <f>SUM(G5:G11)+SUM(G13:G15)</f>
        <v>29</v>
      </c>
    </row>
    <row r="20" spans="1:8" s="62" customFormat="1" ht="23.25" customHeight="1" x14ac:dyDescent="0.35">
      <c r="A20" s="203"/>
      <c r="B20" s="203"/>
      <c r="C20" s="61"/>
    </row>
    <row r="21" spans="1:8" ht="24.75" customHeight="1" x14ac:dyDescent="0.35">
      <c r="A21" s="188" t="s">
        <v>227</v>
      </c>
      <c r="B21" s="174"/>
      <c r="C21" s="175"/>
      <c r="D21" s="206"/>
      <c r="E21" s="206"/>
      <c r="F21" s="206"/>
      <c r="G21" s="206"/>
      <c r="H21" s="207"/>
    </row>
    <row r="22" spans="1:8" ht="21.75" customHeight="1" x14ac:dyDescent="0.35">
      <c r="A22" s="393" t="s">
        <v>209</v>
      </c>
      <c r="B22" s="394"/>
      <c r="C22" s="192">
        <f>B19*B3/F19</f>
        <v>31.578947368421051</v>
      </c>
      <c r="D22" s="182"/>
      <c r="E22" s="182"/>
      <c r="F22" s="182"/>
      <c r="G22" s="182"/>
      <c r="H22" s="196"/>
    </row>
    <row r="23" spans="1:8" ht="27" customHeight="1" x14ac:dyDescent="0.35">
      <c r="A23" s="395" t="s">
        <v>210</v>
      </c>
      <c r="B23" s="396"/>
      <c r="C23" s="377">
        <v>0.78239999999999998</v>
      </c>
      <c r="D23" s="411" t="s">
        <v>224</v>
      </c>
      <c r="E23" s="412"/>
      <c r="F23" s="412"/>
      <c r="G23" s="412"/>
      <c r="H23" s="413"/>
    </row>
    <row r="24" spans="1:8" ht="18" customHeight="1" x14ac:dyDescent="0.35">
      <c r="A24" s="395" t="s">
        <v>212</v>
      </c>
      <c r="B24" s="396"/>
      <c r="C24" s="72">
        <f>C23*B3</f>
        <v>7.8239999999999998</v>
      </c>
      <c r="D24" s="65"/>
      <c r="E24" s="66"/>
      <c r="F24" s="66"/>
      <c r="G24" s="66"/>
      <c r="H24" s="67"/>
    </row>
    <row r="25" spans="1:8" ht="18" customHeight="1" x14ac:dyDescent="0.35">
      <c r="A25" s="395" t="s">
        <v>225</v>
      </c>
      <c r="B25" s="396"/>
      <c r="C25" s="191">
        <f>ROUNDUP(F19/C24,1)</f>
        <v>17</v>
      </c>
      <c r="D25" s="414" t="s">
        <v>226</v>
      </c>
      <c r="E25" s="415"/>
      <c r="F25" s="416"/>
      <c r="G25" s="416"/>
      <c r="H25" s="67"/>
    </row>
    <row r="26" spans="1:8" ht="18" customHeight="1" x14ac:dyDescent="0.35">
      <c r="A26" s="395" t="s">
        <v>214</v>
      </c>
      <c r="B26" s="396"/>
      <c r="C26" s="190">
        <f>G19/B3</f>
        <v>2.9</v>
      </c>
      <c r="D26" s="414" t="s">
        <v>215</v>
      </c>
      <c r="E26" s="415"/>
      <c r="F26" s="416"/>
      <c r="G26" s="416"/>
      <c r="H26" s="67"/>
    </row>
    <row r="27" spans="1:8" ht="30.75" customHeight="1" x14ac:dyDescent="0.35">
      <c r="A27" s="26"/>
      <c r="B27" s="35"/>
      <c r="C27" s="216" t="s">
        <v>216</v>
      </c>
      <c r="D27" s="418" t="s">
        <v>403</v>
      </c>
      <c r="E27" s="419"/>
      <c r="F27" s="419"/>
      <c r="G27" s="419"/>
      <c r="H27" s="420"/>
    </row>
    <row r="28" spans="1:8" ht="24.75" customHeight="1" x14ac:dyDescent="0.35">
      <c r="A28" s="27" t="s">
        <v>217</v>
      </c>
      <c r="B28" s="224">
        <f>'4 summary data'!D13</f>
        <v>17</v>
      </c>
      <c r="C28" s="217" t="s">
        <v>218</v>
      </c>
      <c r="D28" s="421"/>
      <c r="E28" s="422"/>
      <c r="F28" s="422"/>
      <c r="G28" s="422"/>
      <c r="H28" s="423"/>
    </row>
    <row r="29" spans="1:8" ht="15" customHeight="1" x14ac:dyDescent="0.35">
      <c r="A29" s="28"/>
      <c r="B29" s="36"/>
      <c r="C29" s="218" t="s">
        <v>219</v>
      </c>
      <c r="D29" s="424"/>
      <c r="E29" s="425"/>
      <c r="F29" s="425"/>
      <c r="G29" s="425"/>
      <c r="H29" s="426"/>
    </row>
    <row r="30" spans="1:8" x14ac:dyDescent="0.35">
      <c r="A30" s="417" t="s">
        <v>220</v>
      </c>
      <c r="B30" s="417"/>
      <c r="C30" s="70">
        <f>B19*B3/(F19+G19)</f>
        <v>25.925925925925927</v>
      </c>
      <c r="D30" s="232" t="s">
        <v>221</v>
      </c>
      <c r="E30" s="232"/>
      <c r="F30" s="233"/>
      <c r="G30" s="231"/>
    </row>
    <row r="31" spans="1:8" x14ac:dyDescent="0.35">
      <c r="A31" s="395" t="s">
        <v>222</v>
      </c>
      <c r="B31" s="396"/>
      <c r="C31" s="70">
        <f>B19/E19</f>
        <v>30</v>
      </c>
      <c r="D31" s="81" t="s">
        <v>223</v>
      </c>
      <c r="E31" s="81"/>
      <c r="F31" s="85"/>
      <c r="G31" s="231"/>
    </row>
    <row r="32" spans="1:8" x14ac:dyDescent="0.35">
      <c r="H32" s="131"/>
    </row>
    <row r="46" spans="2:2" x14ac:dyDescent="0.35">
      <c r="B46" s="209"/>
    </row>
  </sheetData>
  <sheetProtection algorithmName="SHA-512" hashValue="ACDa1EumoNdlr3KHhbKvHTtgKqKPZA0uy/Q3ipzpKP2drHcgMbG+RqK3fYi2LTBslZAmN5JYWcIb6fifTRXuUA==" saltValue="O4JQO6F75UWaPms+rPTUNw==" spinCount="100000" sheet="1" objects="1" scenarios="1"/>
  <mergeCells count="11">
    <mergeCell ref="A31:B31"/>
    <mergeCell ref="D23:H23"/>
    <mergeCell ref="A22:B22"/>
    <mergeCell ref="A23:B23"/>
    <mergeCell ref="A24:B24"/>
    <mergeCell ref="A25:B25"/>
    <mergeCell ref="D25:G25"/>
    <mergeCell ref="A30:B30"/>
    <mergeCell ref="D26:G26"/>
    <mergeCell ref="A26:B26"/>
    <mergeCell ref="D27:H29"/>
  </mergeCells>
  <conditionalFormatting sqref="A27:B29">
    <cfRule type="expression" dxfId="5" priority="1">
      <formula>$B$28&gt;$B$23</formula>
    </cfRule>
    <cfRule type="expression" dxfId="4" priority="2">
      <formula>$B$28&lt;$B$23</formula>
    </cfRule>
    <cfRule type="expression" dxfId="3" priority="3">
      <formula>$B$23=$B$28</formula>
    </cfRule>
  </conditionalFormatting>
  <pageMargins left="0.7" right="0.7" top="0.75" bottom="0.75" header="0.3" footer="0.3"/>
  <pageSetup paperSize="9" orientation="portrait" r:id="rId1"/>
  <ignoredErrors>
    <ignoredError sqref="C31"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B1:U26"/>
  <sheetViews>
    <sheetView zoomScale="75" zoomScaleNormal="75" workbookViewId="0">
      <selection activeCell="B1" sqref="B1"/>
    </sheetView>
  </sheetViews>
  <sheetFormatPr defaultColWidth="9.1796875" defaultRowHeight="14.5" x14ac:dyDescent="0.35"/>
  <cols>
    <col min="1" max="1" width="9.1796875" style="1"/>
    <col min="2" max="2" width="38" style="1" customWidth="1"/>
    <col min="3" max="3" width="12.453125" style="1" customWidth="1"/>
    <col min="4" max="4" width="33.1796875" style="1" customWidth="1"/>
    <col min="5" max="5" width="39.26953125" style="1" customWidth="1"/>
    <col min="6" max="6" width="30" style="1" customWidth="1"/>
    <col min="7" max="7" width="27.453125" style="1" customWidth="1"/>
    <col min="8" max="8" width="9.1796875" style="1"/>
    <col min="9" max="9" width="12.54296875" style="1" customWidth="1"/>
    <col min="10" max="10" width="13.1796875" style="1" customWidth="1"/>
    <col min="11" max="11" width="9.1796875" style="1"/>
    <col min="12" max="12" width="14.26953125" style="1" customWidth="1"/>
    <col min="13" max="14" width="9.1796875" style="1"/>
    <col min="15" max="15" width="12.7265625" style="1" customWidth="1"/>
    <col min="16" max="16384" width="9.1796875" style="1"/>
  </cols>
  <sheetData>
    <row r="1" spans="2:15" ht="18.5" x14ac:dyDescent="0.45">
      <c r="F1" s="7" t="s">
        <v>228</v>
      </c>
      <c r="G1" s="376">
        <v>10</v>
      </c>
      <c r="H1" s="18"/>
    </row>
    <row r="2" spans="2:15" ht="54" customHeight="1" x14ac:dyDescent="0.35">
      <c r="B2" s="427" t="s">
        <v>229</v>
      </c>
      <c r="C2" s="427"/>
      <c r="E2" s="39"/>
      <c r="F2" s="266" t="s">
        <v>230</v>
      </c>
      <c r="G2" s="266" t="s">
        <v>205</v>
      </c>
      <c r="H2" s="267" t="s">
        <v>231</v>
      </c>
      <c r="I2" s="268" t="s">
        <v>232</v>
      </c>
      <c r="J2" s="268" t="s">
        <v>233</v>
      </c>
      <c r="K2" s="269" t="s">
        <v>234</v>
      </c>
      <c r="L2" s="270"/>
      <c r="M2" s="201"/>
      <c r="N2" s="154" t="s">
        <v>235</v>
      </c>
      <c r="O2" s="154" t="s">
        <v>236</v>
      </c>
    </row>
    <row r="3" spans="2:15" x14ac:dyDescent="0.35">
      <c r="B3" s="93" t="s">
        <v>237</v>
      </c>
      <c r="C3" s="7">
        <f>H23</f>
        <v>18.3</v>
      </c>
      <c r="D3" s="93" t="s">
        <v>238</v>
      </c>
      <c r="E3" s="40"/>
      <c r="F3" s="37"/>
      <c r="G3" s="37"/>
      <c r="H3" s="37"/>
      <c r="I3" s="38"/>
      <c r="J3" s="38"/>
      <c r="K3" s="153" t="s">
        <v>239</v>
      </c>
      <c r="L3" s="153" t="s">
        <v>240</v>
      </c>
      <c r="M3" s="153" t="s">
        <v>241</v>
      </c>
      <c r="N3" s="273"/>
      <c r="O3" s="273"/>
    </row>
    <row r="4" spans="2:15" x14ac:dyDescent="0.35">
      <c r="B4" s="93" t="s">
        <v>242</v>
      </c>
      <c r="C4" s="7">
        <f>J23</f>
        <v>144</v>
      </c>
      <c r="D4" s="93" t="s">
        <v>243</v>
      </c>
      <c r="E4" s="40"/>
      <c r="F4" s="172" t="s">
        <v>244</v>
      </c>
      <c r="G4" s="172" t="s">
        <v>245</v>
      </c>
      <c r="H4" s="2">
        <v>1</v>
      </c>
      <c r="I4" s="11">
        <v>10</v>
      </c>
      <c r="J4" s="11">
        <v>0</v>
      </c>
      <c r="K4" s="11">
        <v>0</v>
      </c>
      <c r="L4" s="11">
        <v>10</v>
      </c>
      <c r="M4" s="11">
        <v>0</v>
      </c>
      <c r="N4" s="274">
        <f>SUM(J4:M4)</f>
        <v>10</v>
      </c>
      <c r="O4" s="275" t="str">
        <f>IF(J4=0,"n/a",K4/J4)</f>
        <v>n/a</v>
      </c>
    </row>
    <row r="5" spans="2:15" x14ac:dyDescent="0.35">
      <c r="B5" s="93" t="s">
        <v>246</v>
      </c>
      <c r="C5" s="72">
        <f>C4/C3</f>
        <v>7.8688524590163933</v>
      </c>
      <c r="D5" s="93" t="s">
        <v>247</v>
      </c>
      <c r="E5" s="40"/>
      <c r="F5" s="172" t="s">
        <v>248</v>
      </c>
      <c r="G5" s="172" t="s">
        <v>249</v>
      </c>
      <c r="H5" s="2">
        <v>1</v>
      </c>
      <c r="I5" s="11">
        <v>10</v>
      </c>
      <c r="J5" s="11">
        <v>5</v>
      </c>
      <c r="K5" s="11">
        <v>1</v>
      </c>
      <c r="L5" s="11">
        <v>4</v>
      </c>
      <c r="M5" s="11">
        <v>0</v>
      </c>
      <c r="N5" s="7">
        <f t="shared" ref="N5:N22" si="0">SUM(J5:M5)</f>
        <v>10</v>
      </c>
      <c r="O5" s="275">
        <f t="shared" ref="O5:O22" si="1">IF(J5=0,"n/a",K5/J5)</f>
        <v>0.2</v>
      </c>
    </row>
    <row r="6" spans="2:15" x14ac:dyDescent="0.35">
      <c r="B6" s="93" t="s">
        <v>250</v>
      </c>
      <c r="C6" s="7">
        <f>G1</f>
        <v>10</v>
      </c>
      <c r="D6" s="93" t="s">
        <v>251</v>
      </c>
      <c r="E6" s="40"/>
      <c r="F6" s="172" t="s">
        <v>252</v>
      </c>
      <c r="G6" s="172" t="s">
        <v>252</v>
      </c>
      <c r="H6" s="2">
        <v>1</v>
      </c>
      <c r="I6" s="11">
        <v>10</v>
      </c>
      <c r="J6" s="11">
        <v>6</v>
      </c>
      <c r="K6" s="11">
        <v>1</v>
      </c>
      <c r="L6" s="11">
        <v>3</v>
      </c>
      <c r="M6" s="11">
        <v>0</v>
      </c>
      <c r="N6" s="7">
        <f t="shared" si="0"/>
        <v>10</v>
      </c>
      <c r="O6" s="275">
        <f t="shared" si="1"/>
        <v>0.16666666666666666</v>
      </c>
    </row>
    <row r="7" spans="2:15" x14ac:dyDescent="0.35">
      <c r="E7" s="39"/>
      <c r="F7" s="172" t="s">
        <v>253</v>
      </c>
      <c r="G7" s="172" t="s">
        <v>254</v>
      </c>
      <c r="H7" s="2">
        <v>1</v>
      </c>
      <c r="I7" s="11">
        <v>10</v>
      </c>
      <c r="J7" s="11">
        <v>8</v>
      </c>
      <c r="K7" s="11">
        <v>1</v>
      </c>
      <c r="L7" s="11">
        <v>1</v>
      </c>
      <c r="M7" s="11">
        <v>0</v>
      </c>
      <c r="N7" s="7">
        <f t="shared" si="0"/>
        <v>10</v>
      </c>
      <c r="O7" s="275">
        <f t="shared" si="1"/>
        <v>0.125</v>
      </c>
    </row>
    <row r="8" spans="2:15" ht="21" customHeight="1" x14ac:dyDescent="0.35">
      <c r="B8" s="428" t="s">
        <v>255</v>
      </c>
      <c r="C8" s="429"/>
      <c r="D8" s="429"/>
      <c r="E8" s="430"/>
      <c r="F8" s="172" t="s">
        <v>253</v>
      </c>
      <c r="G8" s="172" t="s">
        <v>254</v>
      </c>
      <c r="H8" s="2">
        <v>1</v>
      </c>
      <c r="I8" s="11">
        <v>10</v>
      </c>
      <c r="J8" s="11">
        <v>8</v>
      </c>
      <c r="K8" s="11">
        <v>1</v>
      </c>
      <c r="L8" s="11">
        <v>1</v>
      </c>
      <c r="M8" s="11">
        <v>0</v>
      </c>
      <c r="N8" s="7">
        <f t="shared" si="0"/>
        <v>10</v>
      </c>
      <c r="O8" s="275">
        <f t="shared" si="1"/>
        <v>0.125</v>
      </c>
    </row>
    <row r="9" spans="2:15" x14ac:dyDescent="0.35">
      <c r="B9" s="431"/>
      <c r="C9" s="432"/>
      <c r="D9" s="432"/>
      <c r="E9" s="433"/>
      <c r="F9" s="172" t="s">
        <v>256</v>
      </c>
      <c r="G9" s="172" t="s">
        <v>254</v>
      </c>
      <c r="H9" s="2">
        <v>1</v>
      </c>
      <c r="I9" s="11">
        <v>10</v>
      </c>
      <c r="J9" s="11">
        <v>8</v>
      </c>
      <c r="K9" s="11">
        <v>1</v>
      </c>
      <c r="L9" s="11">
        <v>1</v>
      </c>
      <c r="M9" s="11">
        <v>0</v>
      </c>
      <c r="N9" s="7">
        <f t="shared" si="0"/>
        <v>10</v>
      </c>
      <c r="O9" s="275">
        <f t="shared" si="1"/>
        <v>0.125</v>
      </c>
    </row>
    <row r="10" spans="2:15" x14ac:dyDescent="0.35">
      <c r="B10" s="271" t="s">
        <v>257</v>
      </c>
      <c r="C10" s="54"/>
      <c r="D10" s="54"/>
      <c r="E10" s="55"/>
      <c r="F10" s="172" t="s">
        <v>258</v>
      </c>
      <c r="G10" s="172" t="s">
        <v>254</v>
      </c>
      <c r="H10" s="2">
        <v>1</v>
      </c>
      <c r="I10" s="11">
        <v>10</v>
      </c>
      <c r="J10" s="11">
        <v>8</v>
      </c>
      <c r="K10" s="11">
        <v>1</v>
      </c>
      <c r="L10" s="11">
        <v>1</v>
      </c>
      <c r="M10" s="11">
        <v>0</v>
      </c>
      <c r="N10" s="7">
        <f t="shared" si="0"/>
        <v>10</v>
      </c>
      <c r="O10" s="275">
        <f t="shared" si="1"/>
        <v>0.125</v>
      </c>
    </row>
    <row r="11" spans="2:15" x14ac:dyDescent="0.35">
      <c r="B11" s="53"/>
      <c r="C11" s="54"/>
      <c r="D11" s="54"/>
      <c r="E11" s="55"/>
      <c r="F11" s="172" t="s">
        <v>259</v>
      </c>
      <c r="G11" s="172" t="s">
        <v>260</v>
      </c>
      <c r="H11" s="2">
        <v>1</v>
      </c>
      <c r="I11" s="11">
        <v>10</v>
      </c>
      <c r="J11" s="11">
        <v>9</v>
      </c>
      <c r="K11" s="11">
        <v>1</v>
      </c>
      <c r="L11" s="11">
        <v>0</v>
      </c>
      <c r="M11" s="11">
        <v>0</v>
      </c>
      <c r="N11" s="7">
        <f t="shared" si="0"/>
        <v>10</v>
      </c>
      <c r="O11" s="275">
        <f t="shared" si="1"/>
        <v>0.1111111111111111</v>
      </c>
    </row>
    <row r="12" spans="2:15" x14ac:dyDescent="0.35">
      <c r="B12" s="386" t="s">
        <v>404</v>
      </c>
      <c r="C12" s="387"/>
      <c r="D12" s="387"/>
      <c r="E12" s="434"/>
      <c r="F12" s="172" t="s">
        <v>261</v>
      </c>
      <c r="G12" s="172" t="s">
        <v>260</v>
      </c>
      <c r="H12" s="2">
        <v>1</v>
      </c>
      <c r="I12" s="11">
        <v>10</v>
      </c>
      <c r="J12" s="11">
        <v>9</v>
      </c>
      <c r="K12" s="11">
        <v>1</v>
      </c>
      <c r="L12" s="11">
        <v>0</v>
      </c>
      <c r="M12" s="11">
        <v>0</v>
      </c>
      <c r="N12" s="7">
        <f t="shared" si="0"/>
        <v>10</v>
      </c>
      <c r="O12" s="275">
        <f t="shared" si="1"/>
        <v>0.1111111111111111</v>
      </c>
    </row>
    <row r="13" spans="2:15" x14ac:dyDescent="0.35">
      <c r="B13" s="386"/>
      <c r="C13" s="387"/>
      <c r="D13" s="387"/>
      <c r="E13" s="434"/>
      <c r="F13" s="172" t="s">
        <v>262</v>
      </c>
      <c r="G13" s="172" t="s">
        <v>260</v>
      </c>
      <c r="H13" s="2">
        <v>1</v>
      </c>
      <c r="I13" s="11">
        <v>10</v>
      </c>
      <c r="J13" s="11">
        <v>9</v>
      </c>
      <c r="K13" s="11">
        <v>1</v>
      </c>
      <c r="L13" s="11">
        <v>0</v>
      </c>
      <c r="M13" s="11">
        <v>0</v>
      </c>
      <c r="N13" s="7">
        <f t="shared" si="0"/>
        <v>10</v>
      </c>
      <c r="O13" s="275">
        <f t="shared" si="1"/>
        <v>0.1111111111111111</v>
      </c>
    </row>
    <row r="14" spans="2:15" x14ac:dyDescent="0.35">
      <c r="B14" s="435"/>
      <c r="C14" s="436"/>
      <c r="D14" s="436"/>
      <c r="E14" s="437"/>
      <c r="F14" s="172" t="s">
        <v>263</v>
      </c>
      <c r="G14" s="172" t="s">
        <v>260</v>
      </c>
      <c r="H14" s="2">
        <v>1</v>
      </c>
      <c r="I14" s="11">
        <v>10</v>
      </c>
      <c r="J14" s="11">
        <v>9</v>
      </c>
      <c r="K14" s="11">
        <v>1</v>
      </c>
      <c r="L14" s="11">
        <v>0</v>
      </c>
      <c r="M14" s="11">
        <v>0</v>
      </c>
      <c r="N14" s="7">
        <f t="shared" si="0"/>
        <v>10</v>
      </c>
      <c r="O14" s="275">
        <f t="shared" si="1"/>
        <v>0.1111111111111111</v>
      </c>
    </row>
    <row r="15" spans="2:15" x14ac:dyDescent="0.35">
      <c r="F15" s="172" t="s">
        <v>264</v>
      </c>
      <c r="G15" s="172" t="s">
        <v>260</v>
      </c>
      <c r="H15" s="2">
        <v>1</v>
      </c>
      <c r="I15" s="11">
        <v>10</v>
      </c>
      <c r="J15" s="11">
        <v>9</v>
      </c>
      <c r="K15" s="11">
        <v>1</v>
      </c>
      <c r="L15" s="11">
        <v>0</v>
      </c>
      <c r="M15" s="11">
        <v>0</v>
      </c>
      <c r="N15" s="7">
        <f t="shared" si="0"/>
        <v>10</v>
      </c>
      <c r="O15" s="275">
        <f t="shared" si="1"/>
        <v>0.1111111111111111</v>
      </c>
    </row>
    <row r="16" spans="2:15" x14ac:dyDescent="0.35">
      <c r="F16" s="172" t="s">
        <v>265</v>
      </c>
      <c r="G16" s="172" t="s">
        <v>260</v>
      </c>
      <c r="H16" s="2">
        <v>1</v>
      </c>
      <c r="I16" s="11">
        <v>10</v>
      </c>
      <c r="J16" s="11">
        <v>9</v>
      </c>
      <c r="K16" s="11">
        <v>1</v>
      </c>
      <c r="L16" s="11">
        <v>0</v>
      </c>
      <c r="M16" s="11">
        <v>0</v>
      </c>
      <c r="N16" s="7">
        <f t="shared" si="0"/>
        <v>10</v>
      </c>
      <c r="O16" s="275">
        <f t="shared" si="1"/>
        <v>0.1111111111111111</v>
      </c>
    </row>
    <row r="17" spans="6:21" x14ac:dyDescent="0.35">
      <c r="F17" s="172" t="s">
        <v>266</v>
      </c>
      <c r="G17" s="172" t="s">
        <v>260</v>
      </c>
      <c r="H17" s="2">
        <v>1</v>
      </c>
      <c r="I17" s="11">
        <v>10</v>
      </c>
      <c r="J17" s="11">
        <v>9</v>
      </c>
      <c r="K17" s="11">
        <v>1</v>
      </c>
      <c r="L17" s="11">
        <v>0</v>
      </c>
      <c r="M17" s="11">
        <v>0</v>
      </c>
      <c r="N17" s="7">
        <f t="shared" si="0"/>
        <v>10</v>
      </c>
      <c r="O17" s="275">
        <f t="shared" si="1"/>
        <v>0.1111111111111111</v>
      </c>
    </row>
    <row r="18" spans="6:21" x14ac:dyDescent="0.35">
      <c r="F18" s="172" t="s">
        <v>267</v>
      </c>
      <c r="G18" s="172" t="s">
        <v>260</v>
      </c>
      <c r="H18" s="2">
        <v>1</v>
      </c>
      <c r="I18" s="11">
        <v>10</v>
      </c>
      <c r="J18" s="11">
        <v>9</v>
      </c>
      <c r="K18" s="11">
        <v>1</v>
      </c>
      <c r="L18" s="11">
        <v>0</v>
      </c>
      <c r="M18" s="11">
        <v>0</v>
      </c>
      <c r="N18" s="7">
        <f t="shared" si="0"/>
        <v>10</v>
      </c>
      <c r="O18" s="275">
        <f t="shared" si="1"/>
        <v>0.1111111111111111</v>
      </c>
    </row>
    <row r="19" spans="6:21" x14ac:dyDescent="0.35">
      <c r="F19" s="172" t="s">
        <v>268</v>
      </c>
      <c r="G19" s="172" t="s">
        <v>260</v>
      </c>
      <c r="H19" s="2">
        <v>1</v>
      </c>
      <c r="I19" s="11">
        <v>10</v>
      </c>
      <c r="J19" s="11">
        <v>9</v>
      </c>
      <c r="K19" s="11">
        <v>1</v>
      </c>
      <c r="L19" s="11">
        <v>0</v>
      </c>
      <c r="M19" s="11">
        <v>0</v>
      </c>
      <c r="N19" s="7">
        <f t="shared" si="0"/>
        <v>10</v>
      </c>
      <c r="O19" s="275">
        <f t="shared" si="1"/>
        <v>0.1111111111111111</v>
      </c>
    </row>
    <row r="20" spans="6:21" x14ac:dyDescent="0.35">
      <c r="F20" s="172" t="s">
        <v>269</v>
      </c>
      <c r="G20" s="172" t="s">
        <v>260</v>
      </c>
      <c r="H20" s="2">
        <v>1</v>
      </c>
      <c r="I20" s="11">
        <v>10</v>
      </c>
      <c r="J20" s="11">
        <v>9</v>
      </c>
      <c r="K20" s="11">
        <v>1</v>
      </c>
      <c r="L20" s="11">
        <v>0</v>
      </c>
      <c r="M20" s="11">
        <v>0</v>
      </c>
      <c r="N20" s="7">
        <f t="shared" si="0"/>
        <v>10</v>
      </c>
      <c r="O20" s="275">
        <f t="shared" si="1"/>
        <v>0.1111111111111111</v>
      </c>
    </row>
    <row r="21" spans="6:21" x14ac:dyDescent="0.35">
      <c r="F21" s="172" t="s">
        <v>270</v>
      </c>
      <c r="G21" s="172" t="s">
        <v>260</v>
      </c>
      <c r="H21" s="2">
        <v>0.8</v>
      </c>
      <c r="I21" s="11">
        <v>8</v>
      </c>
      <c r="J21" s="11">
        <v>7</v>
      </c>
      <c r="K21" s="11">
        <v>1</v>
      </c>
      <c r="L21" s="11">
        <v>0</v>
      </c>
      <c r="M21" s="11">
        <v>0</v>
      </c>
      <c r="N21" s="7">
        <f t="shared" si="0"/>
        <v>8</v>
      </c>
      <c r="O21" s="275">
        <f t="shared" si="1"/>
        <v>0.14285714285714285</v>
      </c>
    </row>
    <row r="22" spans="6:21" x14ac:dyDescent="0.35">
      <c r="F22" s="172" t="s">
        <v>271</v>
      </c>
      <c r="G22" s="172" t="s">
        <v>260</v>
      </c>
      <c r="H22" s="2">
        <v>0.5</v>
      </c>
      <c r="I22" s="11">
        <v>5</v>
      </c>
      <c r="J22" s="11">
        <v>4</v>
      </c>
      <c r="K22" s="11">
        <v>1</v>
      </c>
      <c r="L22" s="11">
        <v>0</v>
      </c>
      <c r="M22" s="11">
        <v>0</v>
      </c>
      <c r="N22" s="7">
        <f t="shared" si="0"/>
        <v>5</v>
      </c>
      <c r="O22" s="275">
        <f t="shared" si="1"/>
        <v>0.25</v>
      </c>
    </row>
    <row r="23" spans="6:21" x14ac:dyDescent="0.35">
      <c r="H23" s="7">
        <f>SUM(H4:H22)</f>
        <v>18.3</v>
      </c>
      <c r="I23" s="7">
        <f>SUM(I4:I22)</f>
        <v>183</v>
      </c>
      <c r="J23" s="7">
        <f>SUM(J4:J22)</f>
        <v>144</v>
      </c>
      <c r="K23" s="7">
        <f>SUM(K4:K22)</f>
        <v>18</v>
      </c>
      <c r="L23" s="7">
        <f t="shared" ref="L23:M23" si="2">SUM(L4:L22)</f>
        <v>21</v>
      </c>
      <c r="M23" s="7">
        <f t="shared" si="2"/>
        <v>0</v>
      </c>
    </row>
    <row r="25" spans="6:21" x14ac:dyDescent="0.35">
      <c r="L25" s="276" t="s">
        <v>272</v>
      </c>
      <c r="M25" s="204"/>
      <c r="N25" s="204"/>
      <c r="O25" s="204"/>
      <c r="P25" s="204"/>
      <c r="Q25" s="204"/>
      <c r="R25" s="204"/>
      <c r="S25" s="204"/>
      <c r="T25" s="204"/>
      <c r="U25" s="205"/>
    </row>
    <row r="26" spans="6:21" x14ac:dyDescent="0.35">
      <c r="L26" s="277" t="s">
        <v>273</v>
      </c>
      <c r="M26" s="278"/>
      <c r="N26" s="278"/>
      <c r="O26" s="278"/>
      <c r="P26" s="278"/>
      <c r="Q26" s="278"/>
      <c r="R26" s="278"/>
      <c r="S26" s="278"/>
      <c r="T26" s="278"/>
      <c r="U26" s="279"/>
    </row>
  </sheetData>
  <sheetProtection algorithmName="SHA-512" hashValue="kEP8yAZjHoWW0sNefmhJGZ1j3cLE26uWdx6FtZb+233B9Gvd5KLd+8khuOchhMuuj4UiGdpwpzwaYMVJxBe6Tw==" saltValue="RmWhAcnBdJltn7OceL1bng==" spinCount="100000" sheet="1" objects="1" scenarios="1"/>
  <mergeCells count="3">
    <mergeCell ref="B2:C2"/>
    <mergeCell ref="B8:E9"/>
    <mergeCell ref="B12:E14"/>
  </mergeCells>
  <pageMargins left="0.7" right="0.7" top="0.75" bottom="0.75" header="0.3" footer="0.3"/>
  <pageSetup paperSize="9" orientation="portrait" horizontalDpi="4294967294" r:id="rId1"/>
  <ignoredErrors>
    <ignoredError sqref="N4:N6 N7:N20 N21:N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1a author note</vt:lpstr>
      <vt:lpstr>1b primary notes</vt:lpstr>
      <vt:lpstr>2 stepwise overview</vt:lpstr>
      <vt:lpstr>3 notes for linked sheets 4-7</vt:lpstr>
      <vt:lpstr>4 summary data</vt:lpstr>
      <vt:lpstr>5 deployment base year</vt:lpstr>
      <vt:lpstr>6 deployment planned year</vt:lpstr>
      <vt:lpstr>7 deployment projection year</vt:lpstr>
      <vt:lpstr>8 what is contact ratio</vt:lpstr>
      <vt:lpstr>9 modelling contact</vt:lpstr>
      <vt:lpstr>10 what is average class size</vt:lpstr>
      <vt:lpstr>11 bonus and basic</vt:lpstr>
      <vt:lpstr>12 at cost referencing</vt:lpstr>
      <vt:lpstr>13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Primary school workbook</dc:title>
  <dc:subject/>
  <dc:creator/>
  <cp:keywords/>
  <dc:description/>
  <cp:lastModifiedBy/>
  <cp:revision/>
  <dcterms:created xsi:type="dcterms:W3CDTF">2019-05-12T04:04:29Z</dcterms:created>
  <dcterms:modified xsi:type="dcterms:W3CDTF">2025-01-28T11:30:56Z</dcterms:modified>
  <cp:category/>
  <cp:contentStatus/>
</cp:coreProperties>
</file>