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filterPrivacy="1" defaultThemeVersion="124226"/>
  <xr:revisionPtr revIDLastSave="0" documentId="8_{8B69669F-033B-4903-B3F4-5AB211F24729}" xr6:coauthVersionLast="47" xr6:coauthVersionMax="47" xr10:uidLastSave="{00000000-0000-0000-0000-000000000000}"/>
  <workbookProtection workbookAlgorithmName="SHA-512" workbookHashValue="CnGvpbE0ERwxThfE2STGHrCSNSljSDIImW4TcFG30b2jHmKfUUoEHCEIpkgA+GgxlAvFs6sxu+Hg1/cWelZ5fw==" workbookSaltValue="vOR3Ja3GYy4s/cUmW0XBCA==" workbookSpinCount="100000" lockStructure="1"/>
  <bookViews>
    <workbookView xWindow="-110" yWindow="-110" windowWidth="22780" windowHeight="14540" tabRatio="661" xr2:uid="{00000000-000D-0000-FFFF-FFFF00000000}"/>
  </bookViews>
  <sheets>
    <sheet name="1 author note" sheetId="27" r:id="rId1"/>
    <sheet name="2 stepwise overview" sheetId="28" r:id="rId2"/>
    <sheet name="3 notes for linked sheets 4-7" sheetId="15" r:id="rId3"/>
    <sheet name="4 summary data" sheetId="13" r:id="rId4"/>
    <sheet name="5 deployment base year" sheetId="14" r:id="rId5"/>
    <sheet name="6 deployment planned year" sheetId="16" r:id="rId6"/>
    <sheet name="7 deployment projection year" sheetId="18" r:id="rId7"/>
    <sheet name="8 what is contact ratio" sheetId="20" r:id="rId8"/>
    <sheet name="9 modelling contact" sheetId="12" r:id="rId9"/>
    <sheet name="10 what is average class size" sheetId="19" r:id="rId10"/>
    <sheet name="11 bonus and basic" sheetId="21" r:id="rId11"/>
    <sheet name="12 at cost referencing" sheetId="22" r:id="rId12"/>
    <sheet name="13 metrics" sheetId="24"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2" i="28" l="1"/>
  <c r="B10" i="28"/>
  <c r="B38" i="28"/>
  <c r="B34" i="28"/>
  <c r="B35" i="28" s="1"/>
  <c r="B36" i="28" s="1"/>
  <c r="B21" i="28"/>
  <c r="B20" i="28"/>
  <c r="B18" i="28"/>
  <c r="B15" i="19"/>
  <c r="B12" i="19"/>
  <c r="B13" i="19" s="1"/>
  <c r="B16" i="19" s="1"/>
  <c r="B5" i="19"/>
  <c r="B6" i="19" s="1"/>
  <c r="B39" i="28" l="1"/>
  <c r="B26" i="18"/>
  <c r="B26" i="16"/>
  <c r="B24" i="14"/>
  <c r="C19" i="14"/>
  <c r="C23" i="14" l="1"/>
  <c r="C22" i="14" s="1"/>
  <c r="E50" i="28" l="1"/>
  <c r="E51" i="28" s="1"/>
  <c r="D49" i="28"/>
  <c r="D50" i="28" s="1"/>
  <c r="D51" i="28" s="1"/>
  <c r="B45" i="28"/>
  <c r="D52" i="28" l="1"/>
  <c r="D53" i="28"/>
  <c r="E53" i="28"/>
  <c r="E52" i="28"/>
  <c r="B14" i="28" l="1"/>
  <c r="B22" i="28" s="1"/>
  <c r="B24" i="28" s="1"/>
  <c r="B25" i="28" s="1"/>
  <c r="B26" i="28"/>
  <c r="B27" i="28" l="1"/>
  <c r="B28" i="28" s="1"/>
  <c r="B49" i="28"/>
  <c r="D54" i="28" l="1"/>
  <c r="E54" i="28"/>
  <c r="B54" i="28"/>
  <c r="B50" i="28"/>
  <c r="B51" i="28" s="1"/>
  <c r="B53" i="28" s="1"/>
  <c r="B52" i="28" l="1"/>
  <c r="C49" i="28"/>
  <c r="C54" i="28" s="1"/>
  <c r="D55" i="28"/>
  <c r="B55" i="28"/>
  <c r="E55" i="28"/>
  <c r="C50" i="28" l="1"/>
  <c r="C51" i="28" s="1"/>
  <c r="C55" i="28"/>
  <c r="I32" i="24"/>
  <c r="I33" i="24"/>
  <c r="I34" i="24"/>
  <c r="I35" i="24"/>
  <c r="I31" i="24"/>
  <c r="D37" i="24"/>
  <c r="D36" i="24"/>
  <c r="D32" i="24"/>
  <c r="J32" i="24" s="1"/>
  <c r="K32" i="24" s="1"/>
  <c r="D33" i="24"/>
  <c r="D34" i="24"/>
  <c r="D35" i="24"/>
  <c r="E35" i="24" s="1"/>
  <c r="D25" i="24"/>
  <c r="D26" i="24" s="1"/>
  <c r="D15" i="24"/>
  <c r="D22" i="24"/>
  <c r="D24" i="24" s="1"/>
  <c r="D17" i="24"/>
  <c r="D20" i="24" s="1"/>
  <c r="D21" i="24" s="1"/>
  <c r="E36" i="24" l="1"/>
  <c r="M36" i="24"/>
  <c r="F35" i="24"/>
  <c r="D18" i="24"/>
  <c r="G35" i="24" s="1"/>
  <c r="N35" i="24" s="1"/>
  <c r="M35" i="24"/>
  <c r="D19" i="24"/>
  <c r="H36" i="24" s="1"/>
  <c r="O36" i="24" s="1"/>
  <c r="M32" i="24"/>
  <c r="G36" i="24"/>
  <c r="N36" i="24" s="1"/>
  <c r="E32" i="24"/>
  <c r="J35" i="24"/>
  <c r="K35" i="24" s="1"/>
  <c r="J33" i="24"/>
  <c r="K33" i="24" s="1"/>
  <c r="F34" i="24"/>
  <c r="C53" i="28"/>
  <c r="C52" i="28"/>
  <c r="L33" i="24"/>
  <c r="E34" i="24"/>
  <c r="F37" i="24"/>
  <c r="F33" i="24"/>
  <c r="L35" i="24"/>
  <c r="M34" i="24"/>
  <c r="E37" i="24"/>
  <c r="E33" i="24"/>
  <c r="F36" i="24"/>
  <c r="F32" i="24"/>
  <c r="J34" i="24"/>
  <c r="K34" i="24" s="1"/>
  <c r="L31" i="24"/>
  <c r="L34" i="24"/>
  <c r="M37" i="24"/>
  <c r="M33" i="24"/>
  <c r="L37" i="24"/>
  <c r="D31" i="24"/>
  <c r="M31" i="24" s="1"/>
  <c r="L36" i="24"/>
  <c r="L32" i="24"/>
  <c r="D23" i="24"/>
  <c r="H32" i="24" l="1"/>
  <c r="O32" i="24" s="1"/>
  <c r="G32" i="24"/>
  <c r="N32" i="24" s="1"/>
  <c r="G34" i="24"/>
  <c r="N34" i="24" s="1"/>
  <c r="H34" i="24"/>
  <c r="O34" i="24" s="1"/>
  <c r="H37" i="24"/>
  <c r="O37" i="24" s="1"/>
  <c r="H33" i="24"/>
  <c r="O33" i="24" s="1"/>
  <c r="G37" i="24"/>
  <c r="N37" i="24" s="1"/>
  <c r="H35" i="24"/>
  <c r="O35" i="24" s="1"/>
  <c r="G33" i="24"/>
  <c r="N33" i="24" s="1"/>
  <c r="J31" i="24"/>
  <c r="K31" i="24" s="1"/>
  <c r="D27" i="24"/>
  <c r="D28" i="24" s="1"/>
  <c r="D29" i="24" s="1"/>
  <c r="F31" i="24"/>
  <c r="H31" i="24"/>
  <c r="O31" i="24" s="1"/>
  <c r="G31" i="24"/>
  <c r="N31" i="24" s="1"/>
  <c r="E31" i="24"/>
  <c r="C31" i="22"/>
  <c r="J17" i="22" s="1"/>
  <c r="J18" i="22" s="1"/>
  <c r="J14" i="22"/>
  <c r="G64" i="21"/>
  <c r="G65" i="21" s="1"/>
  <c r="G66" i="21" s="1"/>
  <c r="G53" i="21"/>
  <c r="G54" i="21" l="1"/>
  <c r="G55" i="21" s="1"/>
  <c r="G56" i="21" s="1"/>
  <c r="D29" i="22"/>
  <c r="D30" i="22"/>
  <c r="D23" i="22"/>
  <c r="D27" i="22"/>
  <c r="D21" i="22"/>
  <c r="D24" i="22"/>
  <c r="D28" i="22"/>
  <c r="D25" i="22"/>
  <c r="D22" i="22"/>
  <c r="D26" i="22"/>
  <c r="D31" i="22"/>
  <c r="E30" i="22" s="1"/>
  <c r="P16" i="21"/>
  <c r="P17" i="21"/>
  <c r="P18" i="21"/>
  <c r="P19" i="21"/>
  <c r="P15" i="21"/>
  <c r="C20" i="21"/>
  <c r="B20" i="21"/>
  <c r="D16" i="21"/>
  <c r="E16" i="21" s="1"/>
  <c r="F16" i="21" s="1"/>
  <c r="D17" i="21"/>
  <c r="E17" i="21" s="1"/>
  <c r="F17" i="21" s="1"/>
  <c r="D18" i="21"/>
  <c r="E18" i="21" s="1"/>
  <c r="F18" i="21" s="1"/>
  <c r="D19" i="21"/>
  <c r="E19" i="21" s="1"/>
  <c r="F19" i="21" s="1"/>
  <c r="D15" i="21"/>
  <c r="E15" i="21" s="1"/>
  <c r="F15" i="21" s="1"/>
  <c r="P20" i="21" l="1"/>
  <c r="E31" i="22"/>
  <c r="J19" i="22" s="1"/>
  <c r="N28" i="22" s="1"/>
  <c r="O28" i="22" s="1"/>
  <c r="D11" i="21"/>
  <c r="D12" i="21" s="1"/>
  <c r="D13" i="21" s="1"/>
  <c r="D20" i="21"/>
  <c r="E20" i="21" s="1"/>
  <c r="F20" i="21" s="1"/>
  <c r="N24" i="22" l="1"/>
  <c r="O24" i="22" s="1"/>
  <c r="N26" i="22"/>
  <c r="O26" i="22" s="1"/>
  <c r="N30" i="22"/>
  <c r="O30" i="22" s="1"/>
  <c r="N22" i="22"/>
  <c r="O22" i="22" s="1"/>
  <c r="N27" i="22"/>
  <c r="O27" i="22" s="1"/>
  <c r="N21" i="22"/>
  <c r="O21" i="22" s="1"/>
  <c r="N23" i="22"/>
  <c r="O23" i="22" s="1"/>
  <c r="N25" i="22"/>
  <c r="O25" i="22" s="1"/>
  <c r="N29" i="22"/>
  <c r="O29" i="22" s="1"/>
  <c r="B72" i="13" l="1"/>
  <c r="B32" i="13" l="1"/>
  <c r="D52" i="13"/>
  <c r="C52" i="13"/>
  <c r="C15" i="13"/>
  <c r="D15" i="13"/>
  <c r="B15" i="13"/>
  <c r="B38" i="13" s="1"/>
  <c r="N6" i="20" l="1"/>
  <c r="N7" i="20"/>
  <c r="N8" i="20"/>
  <c r="N9" i="20"/>
  <c r="N10" i="20"/>
  <c r="N11" i="20"/>
  <c r="N12" i="20"/>
  <c r="N13" i="20"/>
  <c r="N14" i="20"/>
  <c r="N15" i="20"/>
  <c r="N16" i="20"/>
  <c r="N17" i="20"/>
  <c r="N18" i="20"/>
  <c r="N19" i="20"/>
  <c r="N20" i="20"/>
  <c r="N21" i="20"/>
  <c r="N22" i="20"/>
  <c r="N23" i="20"/>
  <c r="N24" i="20"/>
  <c r="N25" i="20"/>
  <c r="N26" i="20"/>
  <c r="N27" i="20"/>
  <c r="N28" i="20"/>
  <c r="N29" i="20"/>
  <c r="N30" i="20"/>
  <c r="N31" i="20"/>
  <c r="N32" i="20"/>
  <c r="N33" i="20"/>
  <c r="N34" i="20"/>
  <c r="N35" i="20"/>
  <c r="N36" i="20"/>
  <c r="N37" i="20"/>
  <c r="N38" i="20"/>
  <c r="N39" i="20"/>
  <c r="N40" i="20"/>
  <c r="N41" i="20"/>
  <c r="N42" i="20"/>
  <c r="N43" i="20"/>
  <c r="N5" i="20"/>
  <c r="N4" i="20"/>
  <c r="K44" i="20"/>
  <c r="L44" i="20"/>
  <c r="B6" i="20"/>
  <c r="J44" i="20"/>
  <c r="I44" i="20"/>
  <c r="B4" i="20" s="1"/>
  <c r="M43" i="20"/>
  <c r="M5" i="20"/>
  <c r="M6" i="20"/>
  <c r="M7" i="20"/>
  <c r="M8" i="20"/>
  <c r="M9" i="20"/>
  <c r="M10" i="20"/>
  <c r="M11" i="20"/>
  <c r="M12" i="20"/>
  <c r="M13" i="20"/>
  <c r="M14" i="20"/>
  <c r="M15" i="20"/>
  <c r="M16" i="20"/>
  <c r="M17" i="20"/>
  <c r="M18" i="20"/>
  <c r="M19" i="20"/>
  <c r="M20" i="20"/>
  <c r="M21" i="20"/>
  <c r="M22" i="20"/>
  <c r="M23" i="20"/>
  <c r="M24" i="20"/>
  <c r="M25" i="20"/>
  <c r="M26" i="20"/>
  <c r="M27" i="20"/>
  <c r="M28" i="20"/>
  <c r="M29" i="20"/>
  <c r="M30" i="20"/>
  <c r="M31" i="20"/>
  <c r="M32" i="20"/>
  <c r="M33" i="20"/>
  <c r="M34" i="20"/>
  <c r="M35" i="20"/>
  <c r="M36" i="20"/>
  <c r="M37" i="20"/>
  <c r="M38" i="20"/>
  <c r="M39" i="20"/>
  <c r="M40" i="20"/>
  <c r="M41" i="20"/>
  <c r="M42" i="20"/>
  <c r="M4" i="20"/>
  <c r="H44" i="20"/>
  <c r="G44" i="20"/>
  <c r="B3" i="20" s="1"/>
  <c r="B18" i="13"/>
  <c r="E33" i="14"/>
  <c r="E28" i="14"/>
  <c r="B17" i="13"/>
  <c r="C67" i="13"/>
  <c r="D67" i="13"/>
  <c r="B67" i="13"/>
  <c r="B64" i="13"/>
  <c r="C31" i="13"/>
  <c r="D18" i="13"/>
  <c r="C18" i="13"/>
  <c r="D17" i="13"/>
  <c r="C17" i="13"/>
  <c r="B6" i="18"/>
  <c r="D6" i="18" s="1"/>
  <c r="B7" i="18"/>
  <c r="D7" i="18" s="1"/>
  <c r="B8" i="18"/>
  <c r="D8" i="18" s="1"/>
  <c r="B9" i="18"/>
  <c r="D9" i="18" s="1"/>
  <c r="B10" i="18"/>
  <c r="D10" i="18" s="1"/>
  <c r="B11" i="18"/>
  <c r="D11" i="18" s="1"/>
  <c r="B5" i="18"/>
  <c r="D5" i="18" s="1"/>
  <c r="E36" i="18"/>
  <c r="E31" i="18"/>
  <c r="C23" i="18"/>
  <c r="E13" i="18" s="1"/>
  <c r="C19" i="18"/>
  <c r="E36" i="16"/>
  <c r="E31" i="16"/>
  <c r="C23" i="16"/>
  <c r="E14" i="16" s="1"/>
  <c r="C19" i="16"/>
  <c r="B11" i="16"/>
  <c r="D11" i="16" s="1"/>
  <c r="B10" i="16"/>
  <c r="D10" i="16" s="1"/>
  <c r="B9" i="16"/>
  <c r="D9" i="16" s="1"/>
  <c r="B8" i="16"/>
  <c r="D8" i="16" s="1"/>
  <c r="B7" i="16"/>
  <c r="D7" i="16" s="1"/>
  <c r="B6" i="16"/>
  <c r="D6" i="16" s="1"/>
  <c r="B5" i="16"/>
  <c r="B8" i="20" l="1"/>
  <c r="B5" i="20"/>
  <c r="B7" i="20" s="1"/>
  <c r="D31" i="13"/>
  <c r="C24" i="16"/>
  <c r="C16" i="13" s="1"/>
  <c r="C19" i="13"/>
  <c r="B10" i="20"/>
  <c r="B9" i="20"/>
  <c r="E9" i="18"/>
  <c r="E14" i="18"/>
  <c r="D19" i="13"/>
  <c r="E5" i="18"/>
  <c r="E15" i="18"/>
  <c r="E8" i="18"/>
  <c r="B19" i="13"/>
  <c r="E6" i="14"/>
  <c r="E10" i="14"/>
  <c r="E14" i="14"/>
  <c r="E7" i="14"/>
  <c r="E11" i="14"/>
  <c r="E15" i="14"/>
  <c r="E8" i="14"/>
  <c r="E5" i="14"/>
  <c r="E13" i="14"/>
  <c r="E9" i="14"/>
  <c r="E32" i="16"/>
  <c r="E33" i="16" s="1"/>
  <c r="E34" i="16" s="1"/>
  <c r="C74" i="13" s="1"/>
  <c r="E37" i="16"/>
  <c r="E38" i="16" s="1"/>
  <c r="E39" i="16" s="1"/>
  <c r="C73" i="13" s="1"/>
  <c r="E32" i="18"/>
  <c r="E33" i="18" s="1"/>
  <c r="E34" i="18" s="1"/>
  <c r="D74" i="13" s="1"/>
  <c r="E37" i="18"/>
  <c r="E38" i="18" s="1"/>
  <c r="E39" i="18" s="1"/>
  <c r="D73" i="13" s="1"/>
  <c r="E7" i="18"/>
  <c r="E11" i="18"/>
  <c r="B19" i="18"/>
  <c r="C21" i="18" s="1"/>
  <c r="D20" i="13" s="1"/>
  <c r="C24" i="18"/>
  <c r="D16" i="13" s="1"/>
  <c r="E6" i="18"/>
  <c r="E10" i="18"/>
  <c r="E10" i="16"/>
  <c r="E6" i="16"/>
  <c r="E9" i="16"/>
  <c r="E13" i="16"/>
  <c r="E5" i="16"/>
  <c r="E8" i="16"/>
  <c r="E15" i="16"/>
  <c r="E11" i="16"/>
  <c r="E7" i="16"/>
  <c r="B19" i="16"/>
  <c r="C21" i="16" s="1"/>
  <c r="C20" i="13" s="1"/>
  <c r="D5" i="16"/>
  <c r="C68" i="13"/>
  <c r="D68" i="13"/>
  <c r="C69" i="13"/>
  <c r="D69" i="13"/>
  <c r="B69" i="13"/>
  <c r="B68" i="13"/>
  <c r="B41" i="13" l="1"/>
  <c r="C41" i="13" s="1"/>
  <c r="D41" i="13" s="1"/>
  <c r="D29" i="13" s="1"/>
  <c r="B40" i="13"/>
  <c r="C40" i="13" s="1"/>
  <c r="B39" i="13"/>
  <c r="C39" i="13" s="1"/>
  <c r="D39" i="13" s="1"/>
  <c r="D25" i="13" s="1"/>
  <c r="D40" i="13" l="1"/>
  <c r="D27" i="13" s="1"/>
  <c r="C27" i="13"/>
  <c r="C25" i="13"/>
  <c r="C29" i="13"/>
  <c r="B2" i="14"/>
  <c r="B6" i="14"/>
  <c r="B7" i="14"/>
  <c r="B8" i="14"/>
  <c r="B9" i="14"/>
  <c r="B10" i="14"/>
  <c r="B11" i="14"/>
  <c r="B5" i="14"/>
  <c r="C64" i="13" l="1"/>
  <c r="D64" i="13"/>
  <c r="E29" i="14"/>
  <c r="E30" i="14" s="1"/>
  <c r="E31" i="14" s="1"/>
  <c r="B74" i="13" s="1"/>
  <c r="E34" i="14"/>
  <c r="E35" i="14" s="1"/>
  <c r="E36" i="14" s="1"/>
  <c r="B73" i="13" s="1"/>
  <c r="B19" i="14"/>
  <c r="C21" i="14" s="1"/>
  <c r="B20" i="13" s="1"/>
  <c r="D60" i="13"/>
  <c r="C60" i="13"/>
  <c r="D6" i="14"/>
  <c r="D10" i="14"/>
  <c r="D9" i="14"/>
  <c r="D8" i="14"/>
  <c r="D11" i="14"/>
  <c r="C2" i="13"/>
  <c r="D2" i="13" l="1"/>
  <c r="B2" i="18" s="1"/>
  <c r="B2" i="16"/>
  <c r="B56" i="13"/>
  <c r="B12" i="13"/>
  <c r="B59" i="13" s="1"/>
  <c r="B63" i="13"/>
  <c r="D5" i="14"/>
  <c r="D7" i="14"/>
  <c r="D12" i="13"/>
  <c r="D59" i="13" s="1"/>
  <c r="C12" i="13"/>
  <c r="C59" i="13" s="1"/>
  <c r="B42" i="13"/>
  <c r="B57" i="13" s="1"/>
  <c r="D71" i="13" l="1"/>
  <c r="D70" i="13"/>
  <c r="D61" i="13"/>
  <c r="B70" i="13"/>
  <c r="B71" i="13"/>
  <c r="C71" i="13"/>
  <c r="C70" i="13"/>
  <c r="C61" i="13"/>
  <c r="B37" i="13"/>
  <c r="B33" i="13"/>
  <c r="C38" i="13"/>
  <c r="B44" i="13"/>
  <c r="B58" i="13" s="1"/>
  <c r="C56" i="13" l="1"/>
  <c r="C24" i="13"/>
  <c r="D38" i="13"/>
  <c r="D24" i="13" s="1"/>
  <c r="B55" i="13"/>
  <c r="B65" i="13" s="1"/>
  <c r="B66" i="13" s="1"/>
  <c r="C37" i="13"/>
  <c r="D72" i="13" l="1"/>
  <c r="D32" i="13"/>
  <c r="C72" i="13"/>
  <c r="C32" i="13"/>
  <c r="C33" i="13" s="1"/>
  <c r="C55" i="13"/>
  <c r="D37" i="13"/>
  <c r="D33" i="13"/>
  <c r="D56" i="13"/>
  <c r="D55" i="13" l="1"/>
  <c r="C63" i="13"/>
  <c r="C65" i="13"/>
  <c r="C66" i="13" s="1"/>
  <c r="C42" i="13"/>
  <c r="C44" i="13" s="1"/>
  <c r="C58" i="13" s="1"/>
  <c r="C57" i="13" l="1"/>
  <c r="D63" i="13"/>
  <c r="D65" i="13"/>
  <c r="D66" i="13" s="1"/>
  <c r="D42" i="13"/>
  <c r="D44" i="13" s="1"/>
  <c r="D58" i="13" s="1"/>
  <c r="H16" i="12"/>
  <c r="O16" i="12" s="1"/>
  <c r="N32" i="12"/>
  <c r="M32" i="12"/>
  <c r="L32" i="12"/>
  <c r="K32" i="12"/>
  <c r="J32" i="12"/>
  <c r="I32" i="12"/>
  <c r="H32" i="12"/>
  <c r="C32" i="12"/>
  <c r="N31" i="12"/>
  <c r="M31" i="12"/>
  <c r="L31" i="12"/>
  <c r="K31" i="12"/>
  <c r="J31" i="12"/>
  <c r="I31" i="12"/>
  <c r="H31" i="12"/>
  <c r="C31" i="12"/>
  <c r="N30" i="12"/>
  <c r="M30" i="12"/>
  <c r="L30" i="12"/>
  <c r="K30" i="12"/>
  <c r="J30" i="12"/>
  <c r="I30" i="12"/>
  <c r="H30" i="12"/>
  <c r="C30" i="12"/>
  <c r="N29" i="12"/>
  <c r="M29" i="12"/>
  <c r="L29" i="12"/>
  <c r="K29" i="12"/>
  <c r="J29" i="12"/>
  <c r="I29" i="12"/>
  <c r="H29" i="12"/>
  <c r="C29" i="12"/>
  <c r="N28" i="12"/>
  <c r="M28" i="12"/>
  <c r="L28" i="12"/>
  <c r="K28" i="12"/>
  <c r="J28" i="12"/>
  <c r="I28" i="12"/>
  <c r="C28" i="12"/>
  <c r="N27" i="12"/>
  <c r="M27" i="12"/>
  <c r="L27" i="12"/>
  <c r="K27" i="12"/>
  <c r="J27" i="12"/>
  <c r="I27" i="12"/>
  <c r="H27" i="12"/>
  <c r="C27" i="12"/>
  <c r="N26" i="12"/>
  <c r="M26" i="12"/>
  <c r="L26" i="12"/>
  <c r="K26" i="12"/>
  <c r="J26" i="12"/>
  <c r="I26" i="12"/>
  <c r="H26" i="12"/>
  <c r="C26" i="12"/>
  <c r="N25" i="12"/>
  <c r="M25" i="12"/>
  <c r="L25" i="12"/>
  <c r="K25" i="12"/>
  <c r="J25" i="12"/>
  <c r="I25" i="12"/>
  <c r="H25" i="12"/>
  <c r="C25" i="12"/>
  <c r="N24" i="12"/>
  <c r="M24" i="12"/>
  <c r="L24" i="12"/>
  <c r="K24" i="12"/>
  <c r="J24" i="12"/>
  <c r="I24" i="12"/>
  <c r="H24" i="12"/>
  <c r="C24" i="12"/>
  <c r="J22" i="12"/>
  <c r="I22" i="12"/>
  <c r="B22" i="12"/>
  <c r="L22" i="12" s="1"/>
  <c r="L21" i="12"/>
  <c r="J21" i="12"/>
  <c r="I21" i="12"/>
  <c r="B21" i="12"/>
  <c r="M21" i="12" s="1"/>
  <c r="J20" i="12"/>
  <c r="I20" i="12"/>
  <c r="H20" i="12"/>
  <c r="O20" i="12" s="1"/>
  <c r="B20" i="12"/>
  <c r="N20" i="12" s="1"/>
  <c r="J19" i="12"/>
  <c r="I19" i="12"/>
  <c r="H19" i="12"/>
  <c r="O19" i="12" s="1"/>
  <c r="B19" i="12"/>
  <c r="K19" i="12" s="1"/>
  <c r="J18" i="12"/>
  <c r="I18" i="12"/>
  <c r="H18" i="12"/>
  <c r="O18" i="12" s="1"/>
  <c r="B18" i="12"/>
  <c r="L18" i="12" s="1"/>
  <c r="J17" i="12"/>
  <c r="I17" i="12"/>
  <c r="H17" i="12"/>
  <c r="O17" i="12" s="1"/>
  <c r="B17" i="12"/>
  <c r="M17" i="12" s="1"/>
  <c r="J16" i="12"/>
  <c r="I16" i="12"/>
  <c r="B16" i="12"/>
  <c r="N16" i="12" s="1"/>
  <c r="J15" i="12"/>
  <c r="I15" i="12"/>
  <c r="B15" i="12"/>
  <c r="K15" i="12" s="1"/>
  <c r="J14" i="12"/>
  <c r="I14" i="12"/>
  <c r="B14" i="12"/>
  <c r="L14" i="12" s="1"/>
  <c r="J13" i="12"/>
  <c r="I13" i="12"/>
  <c r="B13" i="12"/>
  <c r="M13" i="12" s="1"/>
  <c r="J12" i="12"/>
  <c r="I12" i="12"/>
  <c r="B12" i="12"/>
  <c r="N12" i="12" s="1"/>
  <c r="L11" i="12"/>
  <c r="J11" i="12"/>
  <c r="I11" i="12"/>
  <c r="B11" i="12"/>
  <c r="K11" i="12" s="1"/>
  <c r="J10" i="12"/>
  <c r="I10" i="12"/>
  <c r="B10" i="12"/>
  <c r="L10" i="12" s="1"/>
  <c r="M10" i="12" l="1"/>
  <c r="N17" i="12"/>
  <c r="N19" i="12"/>
  <c r="L13" i="12"/>
  <c r="M18" i="12"/>
  <c r="L19" i="12"/>
  <c r="L17" i="12"/>
  <c r="M19" i="12"/>
  <c r="D57" i="13"/>
  <c r="M22" i="12"/>
  <c r="N21" i="12"/>
  <c r="M15" i="12"/>
  <c r="N15" i="12"/>
  <c r="L15" i="12"/>
  <c r="M14" i="12"/>
  <c r="N13" i="12"/>
  <c r="M11" i="12"/>
  <c r="N11" i="12"/>
  <c r="H21" i="12"/>
  <c r="O21" i="12" s="1"/>
  <c r="H13" i="12"/>
  <c r="O13" i="12" s="1"/>
  <c r="H28" i="12"/>
  <c r="O28" i="12" s="1"/>
  <c r="H11" i="12"/>
  <c r="O11" i="12" s="1"/>
  <c r="H15" i="12"/>
  <c r="O15" i="12" s="1"/>
  <c r="H10" i="12"/>
  <c r="O10" i="12" s="1"/>
  <c r="H14" i="12"/>
  <c r="O14" i="12" s="1"/>
  <c r="H22" i="12"/>
  <c r="O22" i="12" s="1"/>
  <c r="H12" i="12"/>
  <c r="O12" i="12" s="1"/>
  <c r="O24" i="12"/>
  <c r="O25" i="12"/>
  <c r="O26" i="12"/>
  <c r="O27" i="12"/>
  <c r="O29" i="12"/>
  <c r="O30" i="12"/>
  <c r="O31" i="12"/>
  <c r="O32" i="12"/>
  <c r="K12" i="12"/>
  <c r="K16" i="12"/>
  <c r="B33" i="12"/>
  <c r="N10" i="12"/>
  <c r="L12" i="12"/>
  <c r="K13" i="12"/>
  <c r="N14" i="12"/>
  <c r="L16" i="12"/>
  <c r="K17" i="12"/>
  <c r="N18" i="12"/>
  <c r="L20" i="12"/>
  <c r="K21" i="12"/>
  <c r="N22" i="12"/>
  <c r="C33" i="12"/>
  <c r="K20" i="12"/>
  <c r="K10" i="12"/>
  <c r="M12" i="12"/>
  <c r="K14" i="12"/>
  <c r="M16" i="12"/>
  <c r="K18" i="12"/>
  <c r="M20" i="12"/>
  <c r="K22" i="12"/>
  <c r="L33" i="12" l="1"/>
  <c r="M33" i="12"/>
  <c r="O33" i="12"/>
  <c r="K33" i="12"/>
  <c r="B34" i="12" s="1"/>
  <c r="B35" i="12" s="1"/>
  <c r="N33" i="12"/>
  <c r="B37" i="12" l="1"/>
  <c r="B38" i="12"/>
  <c r="B39" i="12"/>
  <c r="B40" i="12"/>
  <c r="D62" i="13" l="1"/>
  <c r="C62" i="13"/>
  <c r="B60" i="13" l="1"/>
  <c r="B61" i="13" s="1"/>
  <c r="B62"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27" authorId="0" shapeId="0" xr:uid="{00000000-0006-0000-0100-000001000000}">
      <text>
        <r>
          <rPr>
            <b/>
            <sz val="9"/>
            <color indexed="81"/>
            <rFont val="Tahoma"/>
            <family val="2"/>
          </rPr>
          <t>Author:</t>
        </r>
        <r>
          <rPr>
            <sz val="9"/>
            <color indexed="81"/>
            <rFont val="Tahoma"/>
            <family val="2"/>
          </rPr>
          <t xml:space="preserve">
N.B. This calculation assumes that the average cost of the teachers that leave or are appointed is the same as the overall estimate for average teacher cost. If that is not true then there will be some difference between the value shown and the actual value required. If detail of those leaving or to be appointed are known the difference can be calculated.</t>
        </r>
      </text>
    </comment>
    <comment ref="C38" authorId="0" shapeId="0" xr:uid="{00000000-0006-0000-0100-000002000000}">
      <text>
        <r>
          <rPr>
            <b/>
            <sz val="9"/>
            <color indexed="81"/>
            <rFont val="Tahoma"/>
            <family val="2"/>
          </rPr>
          <t>Author:</t>
        </r>
        <r>
          <rPr>
            <sz val="9"/>
            <color indexed="81"/>
            <rFont val="Tahoma"/>
            <family val="2"/>
          </rPr>
          <t xml:space="preserve">
The calculation basis is as follows
The average number of teacher periods on a single period of the cycle is line 23 divided by line 24. This therfore represents the average number of teachers in teaching contact on any one period.
By dividing that value into the pupil roll the pupil to teacher ratio in the timetable is found. For historic reasons this is called the Average Class Size. 
In a situation such as post 16 where pupils do not attend lessons on every period of the cycle the Average Teaching Group size will be lower than the Average class size. For example if post 16 students on average attend lessons on 4 out of 5 periods of the cycle they have a student contact ratio of 0.8. If the average class size for the post 16 section of the school is 20 then the number of pupils per teaching group on average is 20 x 0.8 = 16 </t>
        </r>
      </text>
    </comment>
    <comment ref="C39" authorId="0" shapeId="0" xr:uid="{00000000-0006-0000-0100-000003000000}">
      <text>
        <r>
          <rPr>
            <b/>
            <sz val="9"/>
            <color indexed="81"/>
            <rFont val="Tahoma"/>
            <family val="2"/>
          </rPr>
          <t>Author:</t>
        </r>
        <r>
          <rPr>
            <sz val="9"/>
            <color indexed="81"/>
            <rFont val="Tahoma"/>
            <family val="2"/>
          </rPr>
          <t xml:space="preserve">
PTR = contact ratio </t>
        </r>
        <r>
          <rPr>
            <sz val="9"/>
            <color indexed="81"/>
            <rFont val="Calibri"/>
            <family val="2"/>
          </rPr>
          <t>×</t>
        </r>
        <r>
          <rPr>
            <sz val="9"/>
            <color indexed="81"/>
            <rFont val="Tahoma"/>
            <family val="2"/>
          </rPr>
          <t xml:space="preserve"> Average Class size</t>
        </r>
      </text>
    </comment>
    <comment ref="G51" authorId="0" shapeId="0" xr:uid="{00000000-0006-0000-0100-000004000000}">
      <text>
        <r>
          <rPr>
            <b/>
            <sz val="9"/>
            <color indexed="81"/>
            <rFont val="Tahoma"/>
            <family val="2"/>
          </rPr>
          <t>Author:</t>
        </r>
        <r>
          <rPr>
            <sz val="9"/>
            <color indexed="81"/>
            <rFont val="Tahoma"/>
            <family val="2"/>
          </rPr>
          <t xml:space="preserve">
Average Class Size = PTR </t>
        </r>
        <r>
          <rPr>
            <sz val="9"/>
            <color indexed="81"/>
            <rFont val="Calibri"/>
            <family val="2"/>
          </rPr>
          <t>÷</t>
        </r>
        <r>
          <rPr>
            <sz val="9"/>
            <color indexed="81"/>
            <rFont val="Tahoma"/>
            <family val="2"/>
          </rPr>
          <t>teacher contact ratio</t>
        </r>
      </text>
    </comment>
    <comment ref="G52" authorId="0" shapeId="0" xr:uid="{00000000-0006-0000-0100-000005000000}">
      <text>
        <r>
          <rPr>
            <b/>
            <sz val="9"/>
            <color indexed="81"/>
            <rFont val="Tahoma"/>
            <family val="2"/>
          </rPr>
          <t>Author:</t>
        </r>
        <r>
          <rPr>
            <sz val="9"/>
            <color indexed="81"/>
            <rFont val="Tahoma"/>
            <family val="2"/>
          </rPr>
          <t xml:space="preserve">
This is the same relationship as that described in the note attaced to line 28 above but with the tp total as the subject of the equation rather than the Average class size </t>
        </r>
      </text>
    </comment>
    <comment ref="A53" authorId="0" shapeId="0" xr:uid="{00000000-0006-0000-0100-000006000000}">
      <text>
        <r>
          <rPr>
            <b/>
            <sz val="9"/>
            <color indexed="81"/>
            <rFont val="Tahoma"/>
            <family val="2"/>
          </rPr>
          <t>Author:</t>
        </r>
        <r>
          <rPr>
            <sz val="9"/>
            <color indexed="81"/>
            <rFont val="Tahoma"/>
            <family val="2"/>
          </rPr>
          <t xml:space="preserve">
The relative bonus measure can be used for 11 to 16 schools in a similar manner to Average Class Size because it does not depend upon the number of periods used for the timetable cycle. It can therefore be used as a benchmark or KPI. It is the difference in teacher time from that needed for an average class size of 27 expressed as a percentage of the teacher time required for a class size of 27. A relative bonus that is negative implies an average class size higher than 27 
For more detail see the sheet BONUS AND BASIC</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6" authorId="0" shapeId="0" xr:uid="{00000000-0006-0000-0200-000001000000}">
      <text>
        <r>
          <rPr>
            <b/>
            <sz val="9"/>
            <color indexed="81"/>
            <rFont val="Tahoma"/>
            <family val="2"/>
          </rPr>
          <t>Author:</t>
        </r>
        <r>
          <rPr>
            <sz val="9"/>
            <color indexed="81"/>
            <rFont val="Tahoma"/>
            <family val="2"/>
          </rPr>
          <t xml:space="preserve">
Column C and D show red if the required total is higher than the employed total, Green if the values are equal and yellow if the employed value is higher than the required total.</t>
        </r>
      </text>
    </comment>
    <comment ref="A20" authorId="0" shapeId="0" xr:uid="{00000000-0006-0000-0200-000002000000}">
      <text>
        <r>
          <rPr>
            <b/>
            <sz val="9"/>
            <color indexed="81"/>
            <rFont val="Tahoma"/>
            <family val="2"/>
          </rPr>
          <t>Author:</t>
        </r>
        <r>
          <rPr>
            <sz val="9"/>
            <color indexed="81"/>
            <rFont val="Tahoma"/>
            <family val="2"/>
          </rPr>
          <t xml:space="preserve">
This line will show n/a if the DEPLOYMENT SHEET is incomplete</t>
        </r>
      </text>
    </comment>
    <comment ref="A62" authorId="0" shapeId="0" xr:uid="{00000000-0006-0000-0200-000003000000}">
      <text>
        <r>
          <rPr>
            <b/>
            <sz val="9"/>
            <color indexed="81"/>
            <rFont val="Tahoma"/>
            <family val="2"/>
          </rPr>
          <t>Author:</t>
        </r>
        <r>
          <rPr>
            <sz val="9"/>
            <color indexed="81"/>
            <rFont val="Tahoma"/>
            <family val="2"/>
          </rPr>
          <t xml:space="preserve">
if the actual average class size ( this line) is lower than the value shown on the previous line it means that the teacher deployment is using fewer teacher periods than are available for the number of teachers employed operating at the contact ratio shown.</t>
        </r>
      </text>
    </comment>
    <comment ref="A73" authorId="0" shapeId="0" xr:uid="{00000000-0006-0000-0200-000004000000}">
      <text>
        <r>
          <rPr>
            <b/>
            <sz val="9"/>
            <color indexed="81"/>
            <rFont val="Tahoma"/>
            <family val="2"/>
          </rPr>
          <t>Author:</t>
        </r>
        <r>
          <rPr>
            <sz val="9"/>
            <color indexed="81"/>
            <rFont val="Tahoma"/>
            <family val="2"/>
          </rPr>
          <t xml:space="preserve">
 BASIC is defined as the number of teacher periods required to give an average class size of 27 in years 7 to 11.
BONUS is the difference in teacher periods between the actual allocation and the BASIC reference level
The relative curriculum bonus is a percentage that is independent of the number of periods in the timetable cycle and can therfore be used as a benchmark for 11 to 16 curricula in different cycles..
This staistic is included on the Deploymen sheets and referenced here because some school like to use it. It is not included in the CURRICULUM DATA above because it does not provide any more information than is already contained in the average class size, it is poorly understood and it is only applicable to years 7 to 11 and does not include post 16. 
To convert relative curriculum bonus to an average class size value add the percentage value to 100 and divide the answer into 2700.
To convert the resulting average class size value to the PTR value in 11 to 16 multiply it by the teacher contact ratio.
Hence a statement such as " The curriculum metric used is 8% relative curriculum bonus and a teacher contact ratio of 0.79 "
means that in such a school the Pupil  to teacher ratio for the 11 to 16 curriculum is limited to 19.75.</t>
        </r>
      </text>
    </comment>
  </commentList>
</comments>
</file>

<file path=xl/sharedStrings.xml><?xml version="1.0" encoding="utf-8"?>
<sst xmlns="http://schemas.openxmlformats.org/spreadsheetml/2006/main" count="891" uniqueCount="554">
  <si>
    <t>Year 7</t>
  </si>
  <si>
    <t>Year 8</t>
  </si>
  <si>
    <t>Year 9</t>
  </si>
  <si>
    <t>Year 10</t>
  </si>
  <si>
    <t>Year 11</t>
  </si>
  <si>
    <t>Year 12</t>
  </si>
  <si>
    <t>Year 13</t>
  </si>
  <si>
    <t>Total Teacher Cost Including on costs</t>
  </si>
  <si>
    <t>In Year Balance</t>
  </si>
  <si>
    <t>Cumulative Balance</t>
  </si>
  <si>
    <t>PUPIL ROLL BY YEAR GROUP ESTIMATES</t>
  </si>
  <si>
    <t>Totals</t>
  </si>
  <si>
    <t>Average Teacher Cost</t>
  </si>
  <si>
    <t>BASE YEAR</t>
  </si>
  <si>
    <t>N/A</t>
  </si>
  <si>
    <t>Total in year revenue ( exclude any carry forward or deficit)</t>
  </si>
  <si>
    <t>Per Pupil Revenue (in Year)</t>
  </si>
  <si>
    <t>In year balance as a percentage of in year revenue</t>
  </si>
  <si>
    <t>Cumulative balance as a percentage of the in year revenue</t>
  </si>
  <si>
    <t>Pupil to teacher ratio ( This is the number of pupils on roll divided by the number of teachers employed)</t>
  </si>
  <si>
    <t>Proportion of in year revenue spent on teaching staff</t>
  </si>
  <si>
    <t>Proportion of in year revenue available for teaching in a balanced budget if all other costs are fixed</t>
  </si>
  <si>
    <t>PTR value in a balanced budget based on in year revenue</t>
  </si>
  <si>
    <t>National Curriculum Year</t>
  </si>
  <si>
    <t>Pupil Roll</t>
  </si>
  <si>
    <t>tp Allocation</t>
  </si>
  <si>
    <t>Learning Support</t>
  </si>
  <si>
    <t>Intervention activity</t>
  </si>
  <si>
    <t>Other teacher contact time</t>
  </si>
  <si>
    <t>n/a</t>
  </si>
  <si>
    <t>Average Class Size</t>
  </si>
  <si>
    <t>Overall totals</t>
  </si>
  <si>
    <t>Roll</t>
  </si>
  <si>
    <t>NOTES</t>
  </si>
  <si>
    <t>Planned year</t>
  </si>
  <si>
    <t>(Check for sense line) Totals</t>
  </si>
  <si>
    <t>EXPENDITURE SUMMARY</t>
  </si>
  <si>
    <t>(Check for sense line) Total In Year Expenditure</t>
  </si>
  <si>
    <t>(Check for sense line) In year expenditure per pupil</t>
  </si>
  <si>
    <t>REVENUE SUMMARY</t>
  </si>
  <si>
    <t>(Check for sense line) Per pupil revenue</t>
  </si>
  <si>
    <t>Average teaching load</t>
  </si>
  <si>
    <t>Contact Ratio</t>
  </si>
  <si>
    <t>FTE Teachers employed</t>
  </si>
  <si>
    <t>FTE teachers employed</t>
  </si>
  <si>
    <t>TEACHER DEPLOYMENT PLAN FOR THE BASE YEAR</t>
  </si>
  <si>
    <t>Year</t>
  </si>
  <si>
    <t>Projection year</t>
  </si>
  <si>
    <t>TEACHER DEPLOYMENT PLAN FOR THE PLANNED YEAR</t>
  </si>
  <si>
    <t xml:space="preserve">FTE Teachers employed ( or planned to be employed in future years) </t>
  </si>
  <si>
    <t>Carry forward or deficit (enter as negative) from previous years</t>
  </si>
  <si>
    <t>CALCULATIONS</t>
  </si>
  <si>
    <t>Whole School Areas (i.e. all other teacher contact time not allocated in year group sections above)</t>
  </si>
  <si>
    <t>Staff by roll (Part time staff listed in categories lower down)</t>
  </si>
  <si>
    <t>Headteacher</t>
  </si>
  <si>
    <t>Deputy Headteacher</t>
  </si>
  <si>
    <t>Assistant headteacher</t>
  </si>
  <si>
    <t>Head of large curriculum area</t>
  </si>
  <si>
    <t>Head of small curriculum area</t>
  </si>
  <si>
    <t>Head of pastoral area</t>
  </si>
  <si>
    <t>Other teacher role with management responsibility</t>
  </si>
  <si>
    <t>Newly Qualified teachers</t>
  </si>
  <si>
    <t>Full time classroom teachers</t>
  </si>
  <si>
    <t>Classroom teachers  FTE 0.9</t>
  </si>
  <si>
    <t>Classroom teachers  FTE 0.8</t>
  </si>
  <si>
    <t>Classroom teachers  FTE 0.7</t>
  </si>
  <si>
    <t>Classroom teachers  FTE 0.6</t>
  </si>
  <si>
    <t>Classroom teachers  FTE 0.5</t>
  </si>
  <si>
    <t>Classroom teachers  FTE 0.4</t>
  </si>
  <si>
    <t>Classroom teachers  FTE 0.3</t>
  </si>
  <si>
    <t>Classroom teachers  FTE 0.2</t>
  </si>
  <si>
    <t>Classroom teachers  FTE 0.1</t>
  </si>
  <si>
    <t>FTE</t>
  </si>
  <si>
    <t>PART TIME TEACHERS</t>
  </si>
  <si>
    <t>Headcount</t>
  </si>
  <si>
    <t>Teaching Load</t>
  </si>
  <si>
    <t>PPA</t>
  </si>
  <si>
    <t>Other</t>
  </si>
  <si>
    <t>MGT</t>
  </si>
  <si>
    <t>Contact</t>
  </si>
  <si>
    <t>Non-Contact</t>
  </si>
  <si>
    <t>Check total</t>
  </si>
  <si>
    <t>Employed cycle periods per FTE</t>
  </si>
  <si>
    <t>PPA %</t>
  </si>
  <si>
    <t>Timetable contribution</t>
  </si>
  <si>
    <t>PPA Total</t>
  </si>
  <si>
    <t>MGT Total</t>
  </si>
  <si>
    <t>Other Total</t>
  </si>
  <si>
    <t>Employed Cycle Periods</t>
  </si>
  <si>
    <t>Timetable contact time</t>
  </si>
  <si>
    <t>PPA time</t>
  </si>
  <si>
    <t>Management time</t>
  </si>
  <si>
    <t>Other non contact time</t>
  </si>
  <si>
    <t>Percentage of employed cycle time in different categories</t>
  </si>
  <si>
    <t>Reference values</t>
  </si>
  <si>
    <t>FULL TIME TEACHERS</t>
  </si>
  <si>
    <t>Percentage change in per pupil revenue</t>
  </si>
  <si>
    <t>Percentage change in all other revenue expenditure</t>
  </si>
  <si>
    <t>(Check for sense line) Average Teacher Cost</t>
  </si>
  <si>
    <t>Average Class Size for PTR and Contact ratio on previous two lines</t>
  </si>
  <si>
    <t xml:space="preserve">AFFORDABLE FTE TEACHERS in a balanced budget (Shown to 1 decimal place) </t>
  </si>
  <si>
    <t>Total of all other revenue expenditure expenditure (i.e. all expenditure not included in the Total Teacher Cost)</t>
  </si>
  <si>
    <t>6 groups for 23 periods, 8 groups for 2 periods</t>
  </si>
  <si>
    <t>7 groups for 16 periods, 8 option subjects per block  in 3 x 3period blocks</t>
  </si>
  <si>
    <t>10 teacher periods allocated to inclusion unit</t>
  </si>
  <si>
    <t>5 groups for 21 periods, 6 groups for 2 periods,8 groups for 2 periods</t>
  </si>
  <si>
    <t>5 x  5 period option blocks, 7 subjects per block includes retakes and enrichment</t>
  </si>
  <si>
    <t>5 x  5 period option blocks, 6 subjects per block includes and enrichment</t>
  </si>
  <si>
    <t xml:space="preserve">FTE TEACHERS EMPLOYED </t>
  </si>
  <si>
    <t>FTE Educational Support Staff Employed</t>
  </si>
  <si>
    <t>Total Admin and Clerical Staff cost including on costs</t>
  </si>
  <si>
    <t>Total Educational Support Staff cost including on Costs</t>
  </si>
  <si>
    <t>FTE Admin and Clerical Staff Employed</t>
  </si>
  <si>
    <t>Total of all other employed staff costs including on costs</t>
  </si>
  <si>
    <t>FTE total of all other staff employed</t>
  </si>
  <si>
    <t>Percentage change in Educational Support staff cost</t>
  </si>
  <si>
    <t>Percentage change in All Other Employed Staff cost</t>
  </si>
  <si>
    <t>(Check for sense line) Average Educational Support Staff Cost</t>
  </si>
  <si>
    <t>(Check for sense line) Average Admin Staff Cost</t>
  </si>
  <si>
    <t>(Check for sense line) Average All Other Employed staff cost</t>
  </si>
  <si>
    <t>All staff to admin staff ratio</t>
  </si>
  <si>
    <t>Pupil to adult ratio</t>
  </si>
  <si>
    <t>Pupil to Ed support staff ratio</t>
  </si>
  <si>
    <t xml:space="preserve">Teacher contact ratio </t>
  </si>
  <si>
    <t>25 teacher periods per week used for pupil extraction work in a learning support base</t>
  </si>
  <si>
    <t>10 teacher periods per week for one to one activity</t>
  </si>
  <si>
    <t>Length of timetable cycle (Copied from the DEPLOYMENT SHEETS)</t>
  </si>
  <si>
    <t>PERCENTAGE CHANGES IN REVENUE AND  COSTS FROM PREVIOUS YEAR</t>
  </si>
  <si>
    <t>7 groups for 16 periods, 8 option subjects per block  in three 3 period blocks</t>
  </si>
  <si>
    <t>5 x  5 period option blocks, 7 subjects per block including retakes and enrichment</t>
  </si>
  <si>
    <t>5 x  5 period option blocks, 6 subjects per block including enrichment</t>
  </si>
  <si>
    <t>25 teacher periods per week for support work with extracted pupils</t>
  </si>
  <si>
    <t>10 teacher periods per week for targeted 1:1 work and team teaching</t>
  </si>
  <si>
    <t>FTE teachers required</t>
  </si>
  <si>
    <t>FTE TEACHERS REQUIRED BY THIS DEPLOYMENT</t>
  </si>
  <si>
    <t>TEACHER  IMPLICATIONS</t>
  </si>
  <si>
    <t>Average Class Size (PTR in the curriculum)</t>
  </si>
  <si>
    <t>Total tp allocated in years 7 to11</t>
  </si>
  <si>
    <t>Calculation excluding whole school tp</t>
  </si>
  <si>
    <t>BASIC reference level of Teacher Periods for Average Class Size =27</t>
  </si>
  <si>
    <t>BONUS number of teacher periods</t>
  </si>
  <si>
    <t>Relative Curriculum Bonus ( BONUS as % of BASIC)</t>
  </si>
  <si>
    <t>Calculation including whole school tp</t>
  </si>
  <si>
    <t>10 teacher periods initially unallocated for timetable flexibility but eventually for use in intervention</t>
  </si>
  <si>
    <t>Average teaching load (Copied from the DEPLOYMENT SHEETS) Shown to 2 decimal places</t>
  </si>
  <si>
    <t>SUMMARY STATISTICS (Example  potential KPI and benchmark values )</t>
  </si>
  <si>
    <t>Teachers employed  to Ed support staff ratio</t>
  </si>
  <si>
    <t>This value copies from the Summary sheet.</t>
  </si>
  <si>
    <t>Contact ratio from DEPLOYMENT SHEETS (Shown to 2 decimal places)</t>
  </si>
  <si>
    <t>Name</t>
  </si>
  <si>
    <t>Employed Periods</t>
  </si>
  <si>
    <t>Contact periods</t>
  </si>
  <si>
    <t xml:space="preserve">Non contact periods </t>
  </si>
  <si>
    <t>Management</t>
  </si>
  <si>
    <t>Head</t>
  </si>
  <si>
    <t>Deputy</t>
  </si>
  <si>
    <t>Deputy Head</t>
  </si>
  <si>
    <t>Assistant head One</t>
  </si>
  <si>
    <t>Assistant Head Two</t>
  </si>
  <si>
    <t>Teacher with TLR 1 One</t>
  </si>
  <si>
    <t>Teacher with TLR 1 Two</t>
  </si>
  <si>
    <t>Teacher with TLR 1 Three</t>
  </si>
  <si>
    <t>Teacher with TLR 1 Four</t>
  </si>
  <si>
    <t>Teacher with TLR 2 One</t>
  </si>
  <si>
    <t>Teacher with TLR 2 Two</t>
  </si>
  <si>
    <t>Teacher with TLR 2 Three</t>
  </si>
  <si>
    <t>Teacher with TLR 2 Four</t>
  </si>
  <si>
    <t>Teacher with TLR 2 Five</t>
  </si>
  <si>
    <t>Teacher with TLR 2 Six</t>
  </si>
  <si>
    <t>Teacher with TLR 2 Seven</t>
  </si>
  <si>
    <t>Teacher with TLR 2 Eight</t>
  </si>
  <si>
    <t>Classroom teacher One</t>
  </si>
  <si>
    <t>Classroom teacher Two</t>
  </si>
  <si>
    <t>Classroom teacher Three</t>
  </si>
  <si>
    <t>Classroom teacher Four</t>
  </si>
  <si>
    <t>Classroom teacher Five</t>
  </si>
  <si>
    <t>Classroom teacher Six</t>
  </si>
  <si>
    <t>Classroom teacher Seven</t>
  </si>
  <si>
    <t>Classroom teacher Eight</t>
  </si>
  <si>
    <t>Classroom teacher Nine</t>
  </si>
  <si>
    <t>Classroom teacher Ten</t>
  </si>
  <si>
    <t>Classroom teacher Eleven</t>
  </si>
  <si>
    <t>Classroom teacher Twelve</t>
  </si>
  <si>
    <t>Classroom teacher Thirteeen</t>
  </si>
  <si>
    <t>Classroom teacher Fourteen</t>
  </si>
  <si>
    <t>Classroom teacher Fifteen</t>
  </si>
  <si>
    <t>Classroom teacher Sixteen</t>
  </si>
  <si>
    <t>Classroom teacher Seventeen</t>
  </si>
  <si>
    <t>Classroom teacher Eighteen</t>
  </si>
  <si>
    <t>Classroom teacher Nineteen</t>
  </si>
  <si>
    <t>Classroom teacher Twenty</t>
  </si>
  <si>
    <t>Part Time teacher One</t>
  </si>
  <si>
    <t>Part Time teacher Two</t>
  </si>
  <si>
    <t>Periods in the cycle</t>
  </si>
  <si>
    <t>Teacher with TLR 2 Nine</t>
  </si>
  <si>
    <t>Total contact periods provided</t>
  </si>
  <si>
    <t>Average Load</t>
  </si>
  <si>
    <t>Periods per cycle</t>
  </si>
  <si>
    <t>Contact ratio</t>
  </si>
  <si>
    <t>Check Total</t>
  </si>
  <si>
    <t>PPA as % of Contact Periods</t>
  </si>
  <si>
    <t>PPA as % of Contact</t>
  </si>
  <si>
    <t>Assistant Head</t>
  </si>
  <si>
    <t>Subject Leader</t>
  </si>
  <si>
    <t>Head of Faculty</t>
  </si>
  <si>
    <t>Teacher</t>
  </si>
  <si>
    <t>PPA as % of employed periods</t>
  </si>
  <si>
    <t>Management as % of employed periods</t>
  </si>
  <si>
    <t>Teacher periods allocated on the timetable</t>
  </si>
  <si>
    <t>Periods in the timetable cycle</t>
  </si>
  <si>
    <t>Average number of teachers in teaching contact on any one period</t>
  </si>
  <si>
    <t>Average number of pupils per teacher on any one period (=AVERAGE CLASS SIZE)</t>
  </si>
  <si>
    <t>Average size of a teaching group</t>
  </si>
  <si>
    <t>FTE Teachers employed ( or planned to be employed in future years) COPIED FROM LINE 20 below</t>
  </si>
  <si>
    <t>CURRICULUM DATA</t>
  </si>
  <si>
    <t>Curriculum BONUS as a percentage of BASIC for 11 to 16 section of curriculum only (Relative Curriculum Bonus)</t>
  </si>
  <si>
    <t>Includes whole school teacher periods</t>
  </si>
  <si>
    <t>Excludes whole school teacher periods</t>
  </si>
  <si>
    <t>Average Class Size on DEPLOYMENT SHEETS ( see comment attached to cell)</t>
  </si>
  <si>
    <t>Proportion of revenue spent on staff costs</t>
  </si>
  <si>
    <t>FTE Teachers</t>
  </si>
  <si>
    <t>PTR</t>
  </si>
  <si>
    <t>Teacher period budget (tp)  at target teacher contact ratio</t>
  </si>
  <si>
    <t>Estimated percentage change in average teacher cost from the KNOWN ACADEMIC YEAR to the PLANNED ACADEMIC YEAR (enter reduction as -ve)</t>
  </si>
  <si>
    <t>Length of timetable cycle in the KNOWN ACADEMIC YEAR</t>
  </si>
  <si>
    <t>Average teaching load in the KNOWN ACADEMIC YEAR</t>
  </si>
  <si>
    <t>Teacher contact ratio in the KNOWN ACADEMIC YEAR</t>
  </si>
  <si>
    <t>Total pupils on roll in September of the KNOWN ACADEMIC YEAR</t>
  </si>
  <si>
    <t>Target teacher contact ratio for the PLANNED ACADEMIC YEAR</t>
  </si>
  <si>
    <t>Timetable cycle for the PLANNED ACADEMIC YEAR</t>
  </si>
  <si>
    <t>Average teacher load for the PLANNED ACADEMIC YEAR</t>
  </si>
  <si>
    <t>Total number of teacher periods on the timetable in the KNOWN ACADEMIC YEAR</t>
  </si>
  <si>
    <t>Estimated average teacher cost for the PLANNED ACADEMIC YEAR</t>
  </si>
  <si>
    <t>Average class size for target teacher contact ratio</t>
  </si>
  <si>
    <t>Calculation: Line 3 divided by line 4</t>
  </si>
  <si>
    <t>Calculation: Line 2 divided by line 5</t>
  </si>
  <si>
    <t>Calculation: Line 10 divided by line 11</t>
  </si>
  <si>
    <t>Calculation: Line 9 divided by line 12</t>
  </si>
  <si>
    <t>Number of periods out of the cycle for which pupils attend lessons on average</t>
  </si>
  <si>
    <t>Calculation:line 14 divided by line 11</t>
  </si>
  <si>
    <t>Calculation:line 13 multiplied by line 15</t>
  </si>
  <si>
    <t>Proportion of the cycle for which pupils attend lessons</t>
  </si>
  <si>
    <t>Art</t>
  </si>
  <si>
    <t>Biology</t>
  </si>
  <si>
    <t>Chemistry</t>
  </si>
  <si>
    <t>Drama</t>
  </si>
  <si>
    <t>English</t>
  </si>
  <si>
    <t>French</t>
  </si>
  <si>
    <t>Food</t>
  </si>
  <si>
    <t>Geography</t>
  </si>
  <si>
    <t>ETC</t>
  </si>
  <si>
    <t>Curriculum subject areas</t>
  </si>
  <si>
    <t>Assitant Head Three</t>
  </si>
  <si>
    <t>Using BONUS AND BASIC to describe an existing curriculum</t>
  </si>
  <si>
    <t>Total teacher periods allocated</t>
  </si>
  <si>
    <t>Average teacher load</t>
  </si>
  <si>
    <t>Teacher contact ratio</t>
  </si>
  <si>
    <t xml:space="preserve">Year Group </t>
  </si>
  <si>
    <t>Actual tp allocation</t>
  </si>
  <si>
    <t>Relative Bonus</t>
  </si>
  <si>
    <t>Notes describing curriculum structure</t>
  </si>
  <si>
    <t>6 classes for 23 periods 8 Tk groups for 2 periods</t>
  </si>
  <si>
    <t>7 classes for 16 periods 3 option blocks, 3 periods each  8 subjects per block</t>
  </si>
  <si>
    <t>Average class size</t>
  </si>
  <si>
    <t>BASIC tp</t>
  </si>
  <si>
    <t>BONUS tp</t>
  </si>
  <si>
    <t>7 classes for 16 periods 3 option blocks, 3 periods each  9 subjects per block</t>
  </si>
  <si>
    <t>Total</t>
  </si>
  <si>
    <t>6 classes for 23 periods 10 Tk groups for 2 periods</t>
  </si>
  <si>
    <t>5 classes for 21 periods, 6 Pe groups for 2 periods, 8 Tk groups for 2 periods</t>
  </si>
  <si>
    <t>Teacher Contact ratio</t>
  </si>
  <si>
    <t>Pupil Roll total for years 7 to 11</t>
  </si>
  <si>
    <t>BASIC at average class size of 27</t>
  </si>
  <si>
    <t>Total tp available (Basic plus 8% of Basic as BONUS)</t>
  </si>
  <si>
    <t>Number of teachers required at contact ratio above</t>
  </si>
  <si>
    <t>Pupil to teacher ratio</t>
  </si>
  <si>
    <t>Limiting level of relative bonus (enter percentage)</t>
  </si>
  <si>
    <t>User input</t>
  </si>
  <si>
    <t>Planning parameters and pupil to teacher ratio benchmark result using BONUS and BASIC</t>
  </si>
  <si>
    <t>Planning parameters and pupil to teacher ratio benchmark result Using Average Class Size</t>
  </si>
  <si>
    <t>Upper limit for Average Class Size</t>
  </si>
  <si>
    <t>Pupil Roll total for years 7 to11</t>
  </si>
  <si>
    <t>Total tp available</t>
  </si>
  <si>
    <t>The average class size approach. It requires one less calculation line than the previous approach</t>
  </si>
  <si>
    <t>Estimated Average Teacher Cost</t>
  </si>
  <si>
    <t>Estimated total revenue</t>
  </si>
  <si>
    <t>Estimated spend on everything except teachers ( this could include putting some funding on reserve)</t>
  </si>
  <si>
    <t>Periods in timetable cycle</t>
  </si>
  <si>
    <t>Year /Area</t>
  </si>
  <si>
    <t>Whole school learning support</t>
  </si>
  <si>
    <t>Whole school intervention</t>
  </si>
  <si>
    <t>Per pupil teacher period allocation at an 'at cost' level (shown to 2 places of decimals but not rounded)</t>
  </si>
  <si>
    <t>At cost tp</t>
  </si>
  <si>
    <t>Actual tp Allocation</t>
  </si>
  <si>
    <t>Tp reserve or overuse (-ve)</t>
  </si>
  <si>
    <t>Curriculum structure notes</t>
  </si>
  <si>
    <t>5 classes for 21 periods, 6 pe classes for 2 periods, 8 Tk classes for 2 periods</t>
  </si>
  <si>
    <t>6 classes for 23 periods, 8 Tk classes for 2 periods</t>
  </si>
  <si>
    <t>7 classes for 16 periods, 3 option blocks, 3 periods per block 8 subjects per block</t>
  </si>
  <si>
    <t>Five five period option blocks, seven subjects per block</t>
  </si>
  <si>
    <t>Five five period option blocks, six subjects per block</t>
  </si>
  <si>
    <t>25tp allocated</t>
  </si>
  <si>
    <t>20 tp allocated</t>
  </si>
  <si>
    <t>Positive value= timetabling flexibility. Negative level=teacher overspend</t>
  </si>
  <si>
    <t>Revenue cost of one teacher period</t>
  </si>
  <si>
    <t>Subsidy</t>
  </si>
  <si>
    <t>Subsidy as % of total revenue</t>
  </si>
  <si>
    <t>Total teaching cost</t>
  </si>
  <si>
    <t>Total revenue expenditure</t>
  </si>
  <si>
    <t>Overall pupil to teacher ratio</t>
  </si>
  <si>
    <t>Overall Average class size</t>
  </si>
  <si>
    <t>Total Teacher period allocation</t>
  </si>
  <si>
    <t>Year 7 to 11 pupil roll</t>
  </si>
  <si>
    <t>Year 7 to 11 BASIC reference level of teacher time</t>
  </si>
  <si>
    <t>Year 7 to 11 ACTUAL tp( Includes whole school periods)</t>
  </si>
  <si>
    <t>tp allocation with Whole school areas shared across y7 to y11</t>
  </si>
  <si>
    <t>FTE teachers employed in the school</t>
  </si>
  <si>
    <t>Teacher cost</t>
  </si>
  <si>
    <t>Average teacher cost</t>
  </si>
  <si>
    <t>Teacher cost of one tp</t>
  </si>
  <si>
    <t>Revenue cost of one tp</t>
  </si>
  <si>
    <t>Revenue Cost</t>
  </si>
  <si>
    <t>Year 7 to 11 BONUS teacher time in tp</t>
  </si>
  <si>
    <t>Year 7 to 11 Relative Bonus (BONUS as % of BASIC)</t>
  </si>
  <si>
    <t>BASIC</t>
  </si>
  <si>
    <t>BONUS</t>
  </si>
  <si>
    <t>Whole School Areas</t>
  </si>
  <si>
    <t>Pupils as % of total roll</t>
  </si>
  <si>
    <t>Revenue cost as % of total revenue</t>
  </si>
  <si>
    <t>Teacher cost as % of total teacher cost</t>
  </si>
  <si>
    <t>tp allocation as percentage of total tp allocation</t>
  </si>
  <si>
    <t>Total estimated pupils on roll at September of the PLANNED ACADEMIC YEAR</t>
  </si>
  <si>
    <t>Percentage change in Average Teacher Cost</t>
  </si>
  <si>
    <t>Percentage change in Admin and Clerical staff cost</t>
  </si>
  <si>
    <t>Average Teacher cost in the KNOWN academic year</t>
  </si>
  <si>
    <t>Projected finance data and calculations for the PLANNED academic year</t>
  </si>
  <si>
    <t>Total available revenue for the KNOWN academic year</t>
  </si>
  <si>
    <t>In year balance for the KNOWN academic year</t>
  </si>
  <si>
    <t>Cumulative balance at the end of the KNOWN year</t>
  </si>
  <si>
    <t>FTE number of teachers in the KNOWN academic year</t>
  </si>
  <si>
    <t>Comment</t>
  </si>
  <si>
    <t>Average teacher cost copied from the KNOWN ACADEMIC YEAR above</t>
  </si>
  <si>
    <t>Percentage change in revenue from KNOWN year (above) to PLANNED year</t>
  </si>
  <si>
    <t>Percentage change in minimum spend on everything except teacher costs from KNOWN year (above) to PLANNED year</t>
  </si>
  <si>
    <t>Total expenditure on everything except teacher costs in the KNOWN academic year</t>
  </si>
  <si>
    <t>Carry forward or deficit (shown as negative) from known to PLANNED ACADEMIC YEAR copied from above</t>
  </si>
  <si>
    <t>Finance data and calculations from the current 'KNOWN' academic year at typical point in time (e.g. October 1st)</t>
  </si>
  <si>
    <t>Curriculum data for the PLANNED academic year</t>
  </si>
  <si>
    <t>Value copied from line 20 above</t>
  </si>
  <si>
    <t>User input FTE (Test Value)</t>
  </si>
  <si>
    <t>Relative bonus (ONLY APPLICABLE IF THE SCHOOL IS AN 11 to 16 SCHOOL) SEE NOTE LINKED TO CELL</t>
  </si>
  <si>
    <t>FTE TEACHERS EMPLOYED</t>
  </si>
  <si>
    <t>Proportion of revenue available for teacher cost</t>
  </si>
  <si>
    <t>SUMMARY STATISTICS</t>
  </si>
  <si>
    <t>The product of these two quantities equals</t>
  </si>
  <si>
    <t>the Pupil to Teacher Ratio in the school.</t>
  </si>
  <si>
    <t>Either the deployment plan or the employed value on the SUMMARY DATA sheet should be adjusted until this cell shows green or yellow.</t>
  </si>
  <si>
    <t>Red = insufficient employed staff. Green = employed and deployment match. Yellow = Employed greater than deployment.</t>
  </si>
  <si>
    <t>Either the deployment plan or the employed value on the SUMMARY DATA sheet should be adjusted until this cell shows green  or yellow.</t>
  </si>
  <si>
    <t>Red = insufficient employed staff. Green = employed and deployment match. Yellow = Employed greater than deployment</t>
  </si>
  <si>
    <t>The SUMMARY DATA is the main finance and overview sheet and this has links to and from the  three DEPLOYMENT SHEETS.</t>
  </si>
  <si>
    <t xml:space="preserve">The key input data on the DEPLOYMENT BASE YEAR sheet is the number of teacher periods allocated to the existing timetable and the number of periods in the timetable cycle. The FTE teachers employed in the school and the pupil roll numbers are copied from the SUMMARY DATA sheet. </t>
  </si>
  <si>
    <t>The contact ratio can also be used as a benchmarking value for comparison with other schools where relevant like for like data is available.</t>
  </si>
  <si>
    <t>The output data is a value for average teacher load which is a function of the number of periods in the BASE YEAR timetable cycle and a value for teacher contact ratio.</t>
  </si>
  <si>
    <t xml:space="preserve">The contact ratio is independent of the number of periods in the timetable cycle and can therefore be used as a reference value for future years should a different cycle be used. </t>
  </si>
  <si>
    <t>The DEPLOYMENT PLANNED YEAR and DEPLOYMENT PROJECTION YEAR sheets are for planning the timetable cost envelopes in teacher periods for the years following the BASE YEAR.</t>
  </si>
  <si>
    <t>The result for each sheet  is the number of FTE teachers required to deliver the total deployment plan. This value transfers as a reference to the SUMMARY DATA sheet.</t>
  </si>
  <si>
    <t xml:space="preserve">The key inputs for these sheets are the planned teacher period allocations to each year group and area and the overall teacher contact ratio the school hopes to use in those years. For both sheets the pupil roll numbers and other data link to relevant columns on the SUMMARY DATA sheet. </t>
  </si>
  <si>
    <t>The stand alone sheet, MODELLING  CONTACT, can be used to investigate possible values for the teacher contact ratio.</t>
  </si>
  <si>
    <t xml:space="preserve">If teachers who teach have the level of PPA time recommended in School Teachers Pay and Conditions, changing the contact ratio usually implies changing the management structure and levels of management time rather than impacting on the workload of classroom teachers. </t>
  </si>
  <si>
    <t>There is clearly an implication for management workloads and the work life balance of those with management responsibility.</t>
  </si>
  <si>
    <t xml:space="preserve">A standard Excel timetable planning sheet similar to the illustration on the WHAT IS CONTACT RATIO sheet  or commercial software can also be used to model contact ratio. </t>
  </si>
  <si>
    <t>Once reconciliation has been reached between the FTE requirements of the Teacher Deployment Plans and the number of teachers the school intends to employ as given on the SUMMARY sheet, standard timetable analysis should take place either in Excel or in the timetable software used in the school as a detailed check.</t>
  </si>
  <si>
    <t>The overall deployment analysis and balance of teacher allocation against department needs  can then be checked for feasibility using the  the ANALYSIS window.</t>
  </si>
  <si>
    <t>It may be necessary to adopt an iterative approach at this stage revisiting the link with the finances and the curriculum plan and teacher contact detail  to ensure the optimum values for FTE staff employed and their use in delivering the best curriculum that can be achieved within the relevant financial parameters.</t>
  </si>
  <si>
    <t>For example in NOVA-T6 the cost envelopes  and notes of the deployment analysis should be developed into curriculum plans using the MODEL WINDOW.</t>
  </si>
  <si>
    <t xml:space="preserve">Individual teacher loads in line with the MODELLING TEACHER CONTACT sheet  and the allocation of those teacher loads to individual departments should be carried out using the TEACHER PLAN, and TEACHER DEPARTMENT routines. </t>
  </si>
  <si>
    <t>This is an outline example of the type of spreadsheet that is used to summarise teaching contact where the teaching staff are known or mostly known.</t>
  </si>
  <si>
    <t>All data in the sheet as supplied is illustrative and does not represent recommended values.</t>
  </si>
  <si>
    <t>For a full definition of PPA and Management time readers are strongly recommended to look at the current copy of the School Teachers' Pay</t>
  </si>
  <si>
    <t>and Conditions of Service document (STPCD). There is also a separate document available covering the teaching time allocation for NQT staff.</t>
  </si>
  <si>
    <t>Teachers who teach must be allocated PPA time acording to STPCD. Paragraph 52.5 in the 2018 edition states, "PPA time must be provided in units</t>
  </si>
  <si>
    <t xml:space="preserve">of not less than half an hour during the school’s timetabled teaching week and must amount to not less than 10% of the teacher’s timetabled teaching time." </t>
  </si>
  <si>
    <t>those two quantities that matters. It is worth noting that if all teachers have the minimum allocation of PPA time then the factor that influences</t>
  </si>
  <si>
    <t xml:space="preserve">the size of the contact ratio is the allocation of Management Time. </t>
  </si>
  <si>
    <t xml:space="preserve">It is virtually certain that applying this will result in an overall percentage allocation of PPA time as a proportion of teaching time slightly higher than 10%. </t>
  </si>
  <si>
    <t>A key driver in ICFP is the teacher contact ratio. It is important not to consider this metric in isolation from the average class size as it is the product of</t>
  </si>
  <si>
    <t>Columns should be continued to the right to cover all the subject areas of the curriculum. In some software the same data is organised by year area so the totals of those columns can be matched with those on the teacher deployment chart.</t>
  </si>
  <si>
    <t>Totals for teacher periods available in each subject area at the foot of these columns must be equal to or less than the totals required in each subject in the full curriculum plan for a timetable to be feasible.</t>
  </si>
  <si>
    <t xml:space="preserve">In most schools it will not be possible to write a satisfactory timetable with a zero balance  of teacher periods as a result of different teachers having differing subject expertise. </t>
  </si>
  <si>
    <t xml:space="preserve">The level of surplus tp required depends on the curriculum structure and the skill of the timetable team and the time taken to construct a timetable. </t>
  </si>
  <si>
    <t xml:space="preserve">Many schools already used detailed spreadsheets to carry out this initial timetable analysis. The analysis can also be carried out completely within timetable software. </t>
  </si>
  <si>
    <t>This sheet alllows the investigation of contact ratio by role to take place and to look at the impact of management time allocations on the overall contact ratio.</t>
  </si>
  <si>
    <t>This approach can produce a slightly more accurate result than entering part time staff as a simple fraction of a full time member of staff given some of the idiosyncracy schools use in the time part time staff spend teaching.</t>
  </si>
  <si>
    <t>Users are referred to the current guidance on PPA and management time in School Teachers Pay and Conditions of Service. The document concerning Newly Qualified Teachers on the GOV.UK website is also essential reading.</t>
  </si>
  <si>
    <t>This formula is developed stepwise on lines 5 and 6 above to illustrate how it is derived.</t>
  </si>
  <si>
    <t>Average class size is independent of the number of periods in the timetable cycle so it can be used as a metric to compare the outcome of teacher time in terms of the pupil to teacher ratio between timetables with different cycle lengths.</t>
  </si>
  <si>
    <t>There is a difference between the Average Class Size and the size of an average teaching group when pupils do not attend all of the timetabled lessons for example in post 16 where there may be some private study periods.</t>
  </si>
  <si>
    <t>The second section of the spreadsheet illustrates this.</t>
  </si>
  <si>
    <t>The term BASIC is frequently misinterpreted as being an ideal or desirable level of teacher time. It would have been better termed 'Reference level' or 'Zero for measurement of teacher time'.</t>
  </si>
  <si>
    <t xml:space="preserve">To simplify calculations he set the BASIC reference level of teacher periods (in a nine period cycle) numerically equal to the roll number divded by 3. </t>
  </si>
  <si>
    <r>
      <t xml:space="preserve">Average Class Size is the traditional name for the pupil to teacher ratio in the timetable. In a timetable cycle of length </t>
    </r>
    <r>
      <rPr>
        <i/>
        <sz val="11"/>
        <rFont val="Calibri"/>
        <family val="2"/>
        <scheme val="minor"/>
      </rPr>
      <t>w</t>
    </r>
    <r>
      <rPr>
        <sz val="11"/>
        <rFont val="Calibri"/>
        <family val="2"/>
        <scheme val="minor"/>
      </rPr>
      <t xml:space="preserve"> with </t>
    </r>
    <r>
      <rPr>
        <i/>
        <sz val="11"/>
        <rFont val="Calibri"/>
        <family val="2"/>
        <scheme val="minor"/>
      </rPr>
      <t>T</t>
    </r>
    <r>
      <rPr>
        <sz val="11"/>
        <rFont val="Calibri"/>
        <family val="2"/>
        <scheme val="minor"/>
      </rPr>
      <t xml:space="preserve"> teacher periods allocated and a roll of </t>
    </r>
    <r>
      <rPr>
        <i/>
        <sz val="11"/>
        <rFont val="Calibri"/>
        <family val="2"/>
        <scheme val="minor"/>
      </rPr>
      <t>R</t>
    </r>
    <r>
      <rPr>
        <sz val="11"/>
        <rFont val="Calibri"/>
        <family val="2"/>
        <scheme val="minor"/>
      </rPr>
      <t xml:space="preserve"> pupils the calculation is: Rw / T</t>
    </r>
  </si>
  <si>
    <t xml:space="preserve">Substituted into the equation above (T = R/3, w=9) shows that this is equivalent to an average class size of 27. </t>
  </si>
  <si>
    <t xml:space="preserve">In a teacher deployment analysis the average class size for individual year groups can be used to 'check for sense' if the user is aware of the likely range of values.  </t>
  </si>
  <si>
    <t>Average class size cannot be calculated for an allocation of teacher periods that is not associated with a roll number.</t>
  </si>
  <si>
    <t>BASIC and BONUS calculations are also not possible in that situation.</t>
  </si>
  <si>
    <t>The relationship between Relative Curriculum Bonus and Average Class Size is given in the spreadsheet BONUS AND BASIC.</t>
  </si>
  <si>
    <t>There are no user inputs on this sheet as it is purely illustrative of a particular set of figures. Calculation formula can be seen by clicking on the relevant cell.</t>
  </si>
  <si>
    <t>Where the BONUS and Relative Bonus are negative in year 7 the Average Class Size is above 27. This is all that negative bonus means.</t>
  </si>
  <si>
    <t>The Average Class Size column has been added at the end to highlight both similarity and difference.</t>
  </si>
  <si>
    <t>The relative curriculum bonus is actually the percentage of teacher time allocated which changes the average class size from 27.</t>
  </si>
  <si>
    <t>The mathematical link between the two quantities is: Average Class size = 2700 / (100 + relative bonus)</t>
  </si>
  <si>
    <t>Alternatively, relative bonus = 2700 / ACS - 100</t>
  </si>
  <si>
    <t>Average class size has the advantage over relative bonus of being applicable  from Reception to year 13  provided the distinction between class size and teaching group size is understood in post 16. (see WHAT IS AVERAGE CLASS SIZE sheet).</t>
  </si>
  <si>
    <t>There are two approaches to planning a curriculum using bonus.</t>
  </si>
  <si>
    <t>The first is to decide the best timetable structure as indicated in the notes column in the light of the roll number, calculate the tp required then calculate the figures for BASIC, BONUS and RELATIVE BONUS.</t>
  </si>
  <si>
    <t>One then takes a view as to whether that is what is required using the BONUS or RELATIVE bonus figures to see which year groups are getting a larger share of teacher time than others.</t>
  </si>
  <si>
    <t>In essence there is little difference from the table above except a final decision on the teacher contact ratio which converts the tp total into a number of FTE teachers required.</t>
  </si>
  <si>
    <t>Exactly the same judgement can be arrived at by using Average Class Size instead of BONUS and BASIC  but with fewer spreadsheet columns and more comprehensible metric.</t>
  </si>
  <si>
    <t>The second approach is to define a total curriculum cost envelope for 11 to 16 in terms of a Relative Bonus percentage and a teacher contact ratio.</t>
  </si>
  <si>
    <t>For example the Outwood Grange Academies Trust Annual Report and Finance Statements for the year ended August 31 2016 state "The parameter we set for teaching costs is  a 0.79 contact ratio with less than 8% curriculum bonus."</t>
  </si>
  <si>
    <t>8% curriculum bonus in 11 to 16 means an average class size of 25. Multiplying that by a contact ratio of 0.79 gives a Pupil to Teacher ratio of 19.75. The phrase in the accounts means that if there are 750 pupils in total in years 7 to 11 then just under 38 FTE teachers will be employed to teach the curriculum.</t>
  </si>
  <si>
    <t>If they work to a contact ratio of 0.79 in a timetable cycle of 25 periods the overall teacher period budget will be  limited to  750 tp. This coincidence occurs because the average class size that is the same thing as 8% relative curriculum bonus equals the number of periods in the cycle.</t>
  </si>
  <si>
    <t>This can be explored with the section of spreadsheet below.</t>
  </si>
  <si>
    <t>There is a simpler way of arriving at the same point by simply stating what the PTR the school intends to use will be.</t>
  </si>
  <si>
    <t xml:space="preserve">That approach is valid across any combination of age ranges and could therefore include post 16 and be extended to primary schools. That approach which bypasses BONUS and BASIC is covered in the AT COST REFERENCING sheet. </t>
  </si>
  <si>
    <t>The second calculation below uses a variation of this where the lower limit for an average class size is used. The average class size multiplied by a contact ratio is the same thing as a PTR value.</t>
  </si>
  <si>
    <t>For a given per pupil funding level, a proportion of revenue spend on everything except teachers and an average teacher cost there is a PTR value that the school can afford in a balanced budget. This is explained in the article on the fundamental equation governing ICFP.</t>
  </si>
  <si>
    <t>Since the PTR value is equal to the contact ratio multiplied by the average class size it is possible to rearrange those parameters to give the number of teacher periods  on the timetable the school can afford per pupil.</t>
  </si>
  <si>
    <r>
      <t xml:space="preserve">In a school where </t>
    </r>
    <r>
      <rPr>
        <i/>
        <sz val="11"/>
        <rFont val="Calibri"/>
        <family val="2"/>
        <scheme val="minor"/>
      </rPr>
      <t>S</t>
    </r>
    <r>
      <rPr>
        <sz val="11"/>
        <rFont val="Calibri"/>
        <family val="2"/>
        <scheme val="minor"/>
      </rPr>
      <t xml:space="preserve">=Average Teacher cost, </t>
    </r>
    <r>
      <rPr>
        <i/>
        <sz val="11"/>
        <rFont val="Calibri"/>
        <family val="2"/>
        <scheme val="minor"/>
      </rPr>
      <t>w</t>
    </r>
    <r>
      <rPr>
        <sz val="11"/>
        <rFont val="Calibri"/>
        <family val="2"/>
        <scheme val="minor"/>
      </rPr>
      <t xml:space="preserve"> = periods in the timetable cycle, </t>
    </r>
    <r>
      <rPr>
        <i/>
        <sz val="11"/>
        <rFont val="Calibri"/>
        <family val="2"/>
        <scheme val="minor"/>
      </rPr>
      <t>p</t>
    </r>
    <r>
      <rPr>
        <sz val="11"/>
        <rFont val="Calibri"/>
        <family val="2"/>
        <scheme val="minor"/>
      </rPr>
      <t xml:space="preserve">=proportion of revenue available for teacher cost, </t>
    </r>
    <r>
      <rPr>
        <i/>
        <sz val="11"/>
        <rFont val="Calibri"/>
        <family val="2"/>
        <scheme val="minor"/>
      </rPr>
      <t xml:space="preserve">c </t>
    </r>
    <r>
      <rPr>
        <sz val="11"/>
        <rFont val="Calibri"/>
        <family val="2"/>
        <scheme val="minor"/>
      </rPr>
      <t xml:space="preserve">=teacher contact ratio and </t>
    </r>
    <r>
      <rPr>
        <i/>
        <sz val="11"/>
        <rFont val="Calibri"/>
        <family val="2"/>
        <scheme val="minor"/>
      </rPr>
      <t xml:space="preserve">I </t>
    </r>
    <r>
      <rPr>
        <sz val="11"/>
        <rFont val="Calibri"/>
        <family val="2"/>
        <scheme val="minor"/>
      </rPr>
      <t>is the overall per pupil revenue the periods per pupil in a balanced budget are given by:</t>
    </r>
  </si>
  <si>
    <t>Periods per pupil = cwlp / S</t>
  </si>
  <si>
    <t>This formula can be used in a spreadsheet to gve a reference level of per pupil teacher periods. The difference between the actual allocation and the reference level shows the extent to which one part of the school is subsidising or being subsidised by another.</t>
  </si>
  <si>
    <t>What the value of knowing that is is an interesting point but notwithstanding that some schools find it a useful thing to know. The sheet below illustrates the idea in an 11 to 18 school.</t>
  </si>
  <si>
    <t>There are no user inputs on this sheet as it is intended as an illustration of a particular set of figures. The subsidy % can be displayed as a bar chart.</t>
  </si>
  <si>
    <t>The deployment analysis below omits the curriculum structure description but has several columns of metrics added.</t>
  </si>
  <si>
    <t>Other general metrics are illustrated at the foot of the SUMMARY DATA sheet  and above the deployment section below.</t>
  </si>
  <si>
    <t>The metrics here are examples of some which some schools find useful. Many more are possible. Some of them are effectively duplicates of each other or offer parallel information but are included for reference.</t>
  </si>
  <si>
    <t>It is highly improbable that any one school would find all of the metrics illustrated here useful. As indicated in other spreadsheets there is little point in using both the BONUS/BASIC related metrics as well as the Average Class size.</t>
  </si>
  <si>
    <t>As stated in the text guidance for this workbook it is suggested that schools limit themselves to those metrics which are useful ,necessary and valid in the context of the schools operation.</t>
  </si>
  <si>
    <t>The last two columns in particular have been added to illustrate how easy it is to duplicate information under different titles.</t>
  </si>
  <si>
    <t>One bar chart has been added although it is common to see many types of chart in different schools using this sort of analysis some of which have questionable validity.</t>
  </si>
  <si>
    <t>The critical metric is the PTR in relation to the PTR the school can afford. This is alluded to in the AT COST REFERENCING sheet and covered in detail in the article on the fundamental equation.</t>
  </si>
  <si>
    <t>One important point of observation is that if this example school has in year funding higher than the total revenue expenditure it can afford to run the curriculum shown with the chosen contact ratio and average class size no matter what value they have in relation to external benchmarks.</t>
  </si>
  <si>
    <t>Total expenditure on teacher salary plus oncost in the KNOWN academic year</t>
  </si>
  <si>
    <t>Carry forward or deficit (enter as negative) brought into the KNOWN year from previous years</t>
  </si>
  <si>
    <t>Estimated available revenue for the PLANNED academic year (excluding carry forward or deficit)</t>
  </si>
  <si>
    <t>Estimated minimum spend on everything except teacher costs for the PLANNED academic year (could include a planned reserve)</t>
  </si>
  <si>
    <t>In-year revenue available for teaching costs</t>
  </si>
  <si>
    <t>Curriculum data for the KNOWN academic year at the same point in time (e.g. October 1st)</t>
  </si>
  <si>
    <t>FTE Teachers in the KNOWN ACADEMIC YEAR copied from the finance section above</t>
  </si>
  <si>
    <t>Average class size (pupil to teacher ratio in the classroom) in the KNOWN ACADEMIC YEAR</t>
  </si>
  <si>
    <t>Pupil to teacher ratio (PTR) in the school in the KNOWN ACADEMIC YEAR</t>
  </si>
  <si>
    <t>Estimated number of affordable teachers (FTE) in PLANNED ACADEMIC YEAR in a balanced in-year budget (rounded down to 1 dp) (CALLED IN YEAR FTE)</t>
  </si>
  <si>
    <t>Approximate FTE teachers required in the PLANNED ACADEMIC YEAR for approximate zero cumulative balance at the end of that year (CALLED CUMULATIVE FTE)</t>
  </si>
  <si>
    <t>Proposed number of teachers to be employed in the PLANNED ACADEMIC YEAR (A user decision guided by the information above) (CALLED FINANCE FTE)</t>
  </si>
  <si>
    <t>This workbook contains illustrative spreadsheets that can be adapted for individual school use.
All data in the sheets as supplied is purely illustrative and does not represent any actual school nor is it intended to provide recommended values.
This workbook of sheets has not been written as a standalone item. It should be used in parallel with the written Technical Guidance.
These sheets have been compiled by Sam Ellis, in association with Susan Fielden, as part of the technical ICFP support notes written for the DfE.</t>
  </si>
  <si>
    <t>Sam Ellis and Susan Fielden
August 2019</t>
  </si>
  <si>
    <t>This sheet is illustrative of a calculation process. If it were used for actual ICFP analysis it would have the key weakness of not indicating any sense of a trend in the financial situation. It also omits any reference to metrics or KPI values. Because this sheet is set out as an explanation, there are more lines shown than are necessary for a basic ICFP type calculation.</t>
  </si>
  <si>
    <r>
      <t xml:space="preserve">Details of every calculation are outlined in column C  and there are specific notes attached to some lines indicated with a red flag in the top right corner of the cell. Where figures are described as </t>
    </r>
    <r>
      <rPr>
        <u/>
        <sz val="11"/>
        <color theme="1"/>
        <rFont val="Calibri"/>
        <family val="2"/>
        <scheme val="minor"/>
      </rPr>
      <t xml:space="preserve">shown </t>
    </r>
    <r>
      <rPr>
        <sz val="11"/>
        <color theme="1"/>
        <rFont val="Calibri"/>
        <family val="2"/>
        <scheme val="minor"/>
      </rPr>
      <t>to a number of decimal places these have not been rounded and subsequent calculations using those figures are accurate to the limit of the spreadsheet.</t>
    </r>
    <r>
      <rPr>
        <sz val="11"/>
        <color theme="1"/>
        <rFont val="Calibri"/>
        <family val="2"/>
        <scheme val="minor"/>
      </rPr>
      <t xml:space="preserve">
Some figures are rounded up or down to give an estimate that errs on the side of caution. For example this is done where the idea of a fraction of a teacher period is not a useful answer.</t>
    </r>
  </si>
  <si>
    <t>Curriculum impact for the PLANNED academic year based on different numbers of Teachers</t>
  </si>
  <si>
    <t xml:space="preserve"> (negative values display a minus sign and are in a red font)</t>
  </si>
  <si>
    <t>calculation line</t>
  </si>
  <si>
    <t>user input line</t>
  </si>
  <si>
    <r>
      <t xml:space="preserve">Financial Impact of FTE value on </t>
    </r>
    <r>
      <rPr>
        <u/>
        <sz val="11"/>
        <rFont val="Calibri"/>
        <family val="2"/>
        <scheme val="minor"/>
      </rPr>
      <t>IN YEAR BALANCE</t>
    </r>
    <r>
      <rPr>
        <sz val="11"/>
        <rFont val="Calibri"/>
        <family val="2"/>
        <scheme val="minor"/>
      </rPr>
      <t xml:space="preserve"> shown as a possible reserve (positive) or deficit (negative)</t>
    </r>
  </si>
  <si>
    <r>
      <t xml:space="preserve">Financial Impact of FTE value on </t>
    </r>
    <r>
      <rPr>
        <u/>
        <sz val="11"/>
        <rFont val="Calibri"/>
        <family val="2"/>
        <scheme val="minor"/>
      </rPr>
      <t>CUMULATIVE BALANCE</t>
    </r>
    <r>
      <rPr>
        <sz val="11"/>
        <rFont val="Calibri"/>
        <family val="2"/>
        <scheme val="minor"/>
      </rPr>
      <t xml:space="preserve"> shown as a possible reserve (positive) or deficit (negative)</t>
    </r>
  </si>
  <si>
    <t>Column B is a copy of cell B26, column C is a copy of cell B29, column D is a user input to test any other value</t>
  </si>
  <si>
    <t>Change in the number of FTE teachers implied by carry forward or deficit required for no carry forward from PLANNED ACADEMIC YEAR (SHOWN to 1 dp) (see note attached to cell)</t>
  </si>
  <si>
    <t>user input line (column B)</t>
  </si>
  <si>
    <t>Curriculum BONUS as a percentage of BASIC for 11 to 16 section of curriculum only (Relative Curriculum Bonus) see note 1 below</t>
  </si>
  <si>
    <t>Year in which the academic year starts (user to enter information in cell B2)</t>
  </si>
  <si>
    <t>Sum of line 8 and 9 subtracted from line 7</t>
  </si>
  <si>
    <t>line 8 divided by line 13</t>
  </si>
  <si>
    <t>Line 19 subtracted from line 17</t>
  </si>
  <si>
    <t>Value copied from line 14 above</t>
  </si>
  <si>
    <t>Line 43 multiplied by line 44</t>
  </si>
  <si>
    <t xml:space="preserve">This sheet sets out the ICFP process as a series of stepwise calculations starting from the finance perspective and ending with the curriculum perspective. It is possible to write this sheet in the reverse order starting from the curriculum perspective. </t>
  </si>
  <si>
    <t xml:space="preserve">To inform the reconcilation process between finance and curriculum views, there are four sections at the end of the curriculum section showing the curriculum impact of different FTE values. One of these is a Curriculum user input value. The key question is whether or not the curriculum timetable budget in teacher periods is adequate for the educational aims of the school. The approximate financial implications of each of the four options are shown. </t>
  </si>
  <si>
    <t>sum of lines 10 and 11</t>
  </si>
  <si>
    <t>Change from line 7 to line 17 as a percentage of line 7</t>
  </si>
  <si>
    <t>Change from line 9 to line 19 as a percentage of line 9</t>
  </si>
  <si>
    <t>Line 14 modified by the percentage entered on line 23</t>
  </si>
  <si>
    <t>Line 21 divided by line 24 rounded down to one decimal place. Referred to below as "In year FTE".</t>
  </si>
  <si>
    <t>Value copied from line 12 above</t>
  </si>
  <si>
    <t>Line 26 divided by line 24 and rounded to 1 decimal place to give an estimate of the FTE teacher equivalent of line 19</t>
  </si>
  <si>
    <t>Sum of line 25 and line 27. Referred to below as "Cumulative balance FTE"</t>
  </si>
  <si>
    <t>Line 32 divided by line 34 shown to 2 decimal places</t>
  </si>
  <si>
    <t>Line 35 divided by line 33 shown to 3 decimal places</t>
  </si>
  <si>
    <t>Line 37 multiplied by line 33 and the answer divided by line 32 (see note attched to cell in column C)</t>
  </si>
  <si>
    <t xml:space="preserve"> Line 37 divided by line 34 (n.b. Line 36 multiplied by line 38 gives the same answer see attached note)</t>
  </si>
  <si>
    <t>Line 42 divided by the relevant line 49 value</t>
  </si>
  <si>
    <t>The relevant line 50 value divided by line 43 (see note attached to cell)</t>
  </si>
  <si>
    <t>Line 42 multiplied by line 44 and the answer divided by the relevant line 51 value (see note attached to cell)</t>
  </si>
  <si>
    <t>27 divided by line 51 with 1 subtracted from the answer and expressed as a percentage</t>
  </si>
  <si>
    <t>Column FTE subtracted from line 25 and the answer multiplied by line 24</t>
  </si>
  <si>
    <t>Column FTE subtracted from line 28 and the answer multiplied by line 24</t>
  </si>
  <si>
    <t xml:space="preserve">
The sheet can be populated with actual data in the BASE year and then with expected values and changes for the PLANNED and PROJECTION years to determine a possible ICFP strategy.</t>
  </si>
  <si>
    <t>The data in the red tab sheets as supplied is sample data and does not represent any particular school at any point in time. The three years shown are initially identical  in data terms.</t>
  </si>
  <si>
    <t>FTE Teachers Required in future years  (Copied from the DEPLOYMENT SHEETS) (see note attached to cell)</t>
  </si>
  <si>
    <t>Average class size i.e. pupil to teacher ratio in the curriculum (Copied from DEPLOYMENT SHEETS) shown to 2 decimal places (see note attached to cell)</t>
  </si>
  <si>
    <t>This section records the actual teacher period allocations and brief curriculum descriptions of the actual timetable in use in the base year.</t>
  </si>
  <si>
    <t>Timetable cycle length in periods
 (user entry)</t>
  </si>
  <si>
    <t>user entry column C: 5 groups for 21 periods, 6 groups for 2 periods,8 groups for 2 periods</t>
  </si>
  <si>
    <t>Timetable cycle length in periods (user entry)</t>
  </si>
  <si>
    <t>This section records the intended teacher period allocations and brief curriculum descriptions for timetable planning in the year following the BASE YEAR called the PLANNED YEAR.</t>
  </si>
  <si>
    <t>Contact Ratio (user entry)</t>
  </si>
  <si>
    <t>TEACHER DEPLOYMENT PLAN FOR THE PROJECTION YEAR</t>
  </si>
  <si>
    <t>This section records the intended teacher period allocations and brief curriculum descriptions for timetable planning in the year following the PLANNED YEAR called the PROJECTED YEAR.</t>
  </si>
  <si>
    <t>Sum of FTE values in column G</t>
  </si>
  <si>
    <t>Sum of contact periods in column I</t>
  </si>
  <si>
    <t>Cycle length in periods (user entry)</t>
  </si>
  <si>
    <t>user entry line</t>
  </si>
  <si>
    <t xml:space="preserve">user entry e.g. if there are 5, 5period option blocks and all pupils attend subjects in four of the five blocks this input is 20 </t>
  </si>
  <si>
    <t>The cells in this area (columns O to Y) are populated with tp allocations to different subjects when staff and their subject expertise are known.</t>
  </si>
  <si>
    <t>The total allocation must match with the member of staff's contact period allocation in column I</t>
  </si>
  <si>
    <r>
      <t xml:space="preserve">With </t>
    </r>
    <r>
      <rPr>
        <b/>
        <sz val="11"/>
        <color rgb="FFC00000"/>
        <rFont val="Calibri"/>
        <family val="2"/>
        <scheme val="minor"/>
      </rPr>
      <t>IN YEAR FTE</t>
    </r>
  </si>
  <si>
    <r>
      <t>With</t>
    </r>
    <r>
      <rPr>
        <b/>
        <sz val="11"/>
        <color rgb="FFFF0000"/>
        <rFont val="Calibri"/>
        <family val="2"/>
        <scheme val="minor"/>
      </rPr>
      <t xml:space="preserve"> </t>
    </r>
    <r>
      <rPr>
        <b/>
        <sz val="11"/>
        <color rgb="FFC00000"/>
        <rFont val="Calibri"/>
        <family val="2"/>
        <scheme val="minor"/>
      </rPr>
      <t>CUMULATIVE FTE</t>
    </r>
  </si>
  <si>
    <r>
      <t xml:space="preserve">With </t>
    </r>
    <r>
      <rPr>
        <b/>
        <sz val="11"/>
        <color rgb="FFC00000"/>
        <rFont val="Calibri"/>
        <family val="2"/>
        <scheme val="minor"/>
      </rPr>
      <t>FINANCE FTE</t>
    </r>
  </si>
  <si>
    <t>user input</t>
  </si>
  <si>
    <t>Learning Support (user input)</t>
  </si>
  <si>
    <t>Intervention activity (user input)</t>
  </si>
  <si>
    <t>Other teacher contact time (user input)</t>
  </si>
  <si>
    <t>user input cell E49</t>
  </si>
  <si>
    <t>Calculation: B4 divided by B3</t>
  </si>
  <si>
    <t>Copy of value in F1</t>
  </si>
  <si>
    <t>Calculation: B5 divided by B6</t>
  </si>
  <si>
    <t>Calculation: J44 divided by I44</t>
  </si>
  <si>
    <t xml:space="preserve">Calculation: J44 divided by H44 </t>
  </si>
  <si>
    <t xml:space="preserve">Calculation: K44 divided by H44 </t>
  </si>
  <si>
    <t>The example below is descriptive of an existing curriculum. Below the example are some lines illustrating  approaches to a planned curriculum using BASIC and BONUS.</t>
  </si>
  <si>
    <r>
      <rPr>
        <b/>
        <sz val="14"/>
        <rFont val="Calibri"/>
        <family val="2"/>
        <scheme val="minor"/>
      </rPr>
      <t>DEFINITIONS</t>
    </r>
    <r>
      <rPr>
        <sz val="14"/>
        <rFont val="Calibri"/>
        <family val="2"/>
        <scheme val="minor"/>
      </rPr>
      <t>:</t>
    </r>
    <r>
      <rPr>
        <sz val="11"/>
        <rFont val="Calibri"/>
        <family val="2"/>
        <scheme val="minor"/>
      </rPr>
      <t xml:space="preserve"> One critical issue is the meaning of the terms BASIC and BONUS. These are still in current use but are frequently misinterpreted or interpreted in a way which can work for the school in question but not in a manner that is necessarily transferrable to other schools.
</t>
    </r>
    <r>
      <rPr>
        <b/>
        <sz val="14"/>
        <rFont val="Calibri"/>
        <family val="2"/>
        <scheme val="minor"/>
      </rPr>
      <t xml:space="preserve">BASIC: </t>
    </r>
    <r>
      <rPr>
        <sz val="11"/>
        <rFont val="Calibri"/>
        <family val="2"/>
        <scheme val="minor"/>
      </rPr>
      <t xml:space="preserve">a reference level of teacher time in the timetable. This is used as the point from which the actual allocation of teacher time is measured so that the final answer is a small number. The original definition was equivalent to an average class size of twenty-seven pupils in years 7 to 11 and fifteen in post 16.  
The idea of applying BASIC and hence BONUS to post 16 has fallen into disuse due to the complexity of doing so (See Johnson section 5.13 p 76 and Davies p118). The reference level is only applied to year 7 to 11.
This is correctly termed the RELATIVE CURRICULUM BONUS or just the RELATIVE BONUS. Colloquially some users call it the "percentage bonus" which is actually an erroneous expression but nevertheless in fairly common use.
</t>
    </r>
    <r>
      <rPr>
        <b/>
        <sz val="14"/>
        <rFont val="Calibri"/>
        <family val="2"/>
        <scheme val="minor"/>
      </rPr>
      <t>BONUS:</t>
    </r>
    <r>
      <rPr>
        <sz val="11"/>
        <rFont val="Calibri"/>
        <family val="2"/>
        <scheme val="minor"/>
      </rPr>
      <t xml:space="preserve"> the difference in teacher time between what is actually allocated to the timetable and the BASIC level. It  does not therefore mean 'benefit' or anything similar as it can do in everyday language!
If the ACTUAL allocation is lower than the BASIC level then the BONUS is a negative number of teacher periods.
</t>
    </r>
  </si>
  <si>
    <t xml:space="preserve">G51 multiplied by G52 and divided by 27 </t>
  </si>
  <si>
    <t>G54 divided by the product of G52 and G49 and rounded up to 1dp</t>
  </si>
  <si>
    <t>G51 divided by G55</t>
  </si>
  <si>
    <t>G62 multiplied by G63 and divided by G61 rounded down to the nearest whole number</t>
  </si>
  <si>
    <t>G64 divided by the product of G60 and G63 and rounded up to 1dp</t>
  </si>
  <si>
    <t>G62 divided by G65</t>
  </si>
  <si>
    <t>G53 increased by percentage in G50 rounded down to the nearest whole number</t>
  </si>
  <si>
    <r>
      <rPr>
        <b/>
        <sz val="14"/>
        <rFont val="Calibri"/>
        <family val="2"/>
        <scheme val="minor"/>
      </rPr>
      <t>BACKGROUND TO THE TERMS BASIC AND BONUS:</t>
    </r>
    <r>
      <rPr>
        <sz val="11"/>
        <rFont val="Calibri"/>
        <family val="2"/>
        <scheme val="minor"/>
      </rPr>
      <t xml:space="preserve"> In 1969, T.I.Davies wrote a book called 'School Organisation' in which he described a system for outlining a curriculum framework and for discussing the allocation of teachers to that framework with a Local Education Authority. 
His system was devised so that calculations used small numbers because computers and calculators were not available for use in schools in 1969. Teachers were also allocated to schools using a local PTR based system by the Local Education Authority. His system was based on observations of Welsh secondary schools in 1966 and uses two ideas, BASIC and BONUS. The original text is very difficult to read and was reinterpreted and added to in timetabling and curriculum courses in the 1970's.
Keith Johnson uses this material in his timetabling books, the most recent and clearest account being in Chapter 5 of 'A Timetabler's Cookbook'  which is available on the web and is a recommended read for anyone working with timetables or wishing to understand more about them.
There are elements in Johnson's account which do not appear in the original Davies text.  
It is probably fair to say that whilst many people quote Davies and allude to what he is supposed to have written it is clear if the original text is studied that the quoted information is very much second hand, frequently reinterpreted and sometimes actually wrong!</t>
    </r>
  </si>
  <si>
    <r>
      <rPr>
        <b/>
        <sz val="14"/>
        <color theme="1"/>
        <rFont val="Calibri"/>
        <family val="2"/>
        <scheme val="minor"/>
      </rPr>
      <t>NOTE ON RELATIVE CURRICULUM BONUS:</t>
    </r>
    <r>
      <rPr>
        <sz val="11"/>
        <color theme="1"/>
        <rFont val="Calibri"/>
        <family val="2"/>
        <scheme val="minor"/>
      </rPr>
      <t xml:space="preserve"> In the original form, all calculations were referenced to a nine period week as a common starting point making initial calculations common across any group of 11 to 16 schools. Once the initial planning framework had been established it was up to an individual school to convert from the nine period cycle to its actual cycle. Note here that the original model was a planning tool and not a post hoc analysis tool. The nine period cycle is no longer used so to compare the level of bonus between timetable cycles of different lengths the BONUS as a percentage of BASIC is used.
This is correctly termed the RELATIVE CURRICULUM BONUS or just the RELATIVE BONUS.  Colloquially some users call it the "percentage bonus" which is actually an erroneous expression but nevertheless in fairly common use.
The relative curriculum bonus is used by some schools as a metric to describe or control an aspect of curriculum cost.  The average class size can be used to do exactly the same thing. Both these aspects are illustrated in the sample teacher deployment analysis shown below.
For simplicity post 16 and separate areas such as Learning support have been omitted. it can be seen how these can be included on the stand alone sheet METRICS. 
</t>
    </r>
  </si>
  <si>
    <t>Post-16 example</t>
  </si>
  <si>
    <t xml:space="preserve">In the use of BASIC and BONUS ideas (see tab 11) the inventor of the system, T.I. Davies working in 1969 before calculators or computers were available in schools, used a nine period cycle  and a reference level of teacher time which he called BASIC as a starting point for curriculum measurements.  </t>
  </si>
  <si>
    <t>Years 7 to 11 whole school example</t>
  </si>
  <si>
    <t xml:space="preserve">The size of this excess will vary depending upon the number of periods in the timetable cycle but is unlikely to be zero. </t>
  </si>
  <si>
    <t>Workbook updated in January 2025 to improve accessibility for users
Any errors noticed by users should be notified by email to sbp.policy@education.gov.uk</t>
  </si>
  <si>
    <r>
      <rPr>
        <b/>
        <sz val="11"/>
        <color rgb="FF000000"/>
        <rFont val="Calibri"/>
        <family val="2"/>
        <scheme val="minor"/>
      </rPr>
      <t xml:space="preserve">All sheets are locked with the password PASSWORD. </t>
    </r>
    <r>
      <rPr>
        <sz val="11"/>
        <color rgb="FF000000"/>
        <rFont val="Calibri"/>
        <family val="2"/>
        <scheme val="minor"/>
      </rPr>
      <t xml:space="preserve">
Users wishing to correct any errors they find in these sheets, modify them for individual school use, or unlock them to use a screen reader, can do so by using the password PASSWORD.
User input cells have a </t>
    </r>
    <r>
      <rPr>
        <sz val="11"/>
        <color rgb="FF006DAA"/>
        <rFont val="Calibri"/>
        <family val="2"/>
        <scheme val="minor"/>
      </rPr>
      <t>blue font on a white background</t>
    </r>
    <r>
      <rPr>
        <sz val="11"/>
        <color rgb="FF000000"/>
        <rFont val="Calibri"/>
        <family val="2"/>
        <scheme val="minor"/>
      </rPr>
      <t xml:space="preserve"> and are not locked. For those using a screen reader, the words "user input" are written next to these cells.  
The section of sheets wi</t>
    </r>
    <r>
      <rPr>
        <sz val="11"/>
        <rFont val="Calibri"/>
        <family val="2"/>
        <scheme val="minor"/>
      </rPr>
      <t>th</t>
    </r>
    <r>
      <rPr>
        <sz val="11"/>
        <color rgb="FFCC0000"/>
        <rFont val="Calibri"/>
        <family val="2"/>
        <scheme val="minor"/>
      </rPr>
      <t xml:space="preserve"> red tabs (tabs 4-7)</t>
    </r>
    <r>
      <rPr>
        <sz val="11"/>
        <color rgb="FF000000"/>
        <rFont val="Calibri"/>
        <family val="2"/>
        <scheme val="minor"/>
      </rPr>
      <t xml:space="preserve"> have links between them. Other sheets are independent of the rest of the workbook.
</t>
    </r>
  </si>
  <si>
    <r>
      <t>tp Allocatio</t>
    </r>
    <r>
      <rPr>
        <sz val="11"/>
        <color theme="1"/>
        <rFont val="Calibri"/>
        <family val="2"/>
        <scheme val="minor"/>
      </rPr>
      <t>n (user input column)</t>
    </r>
  </si>
  <si>
    <t>Note 1:  cell A73
BASIC is defined as the number of teacher periods required to give an average class size of 27 in years 7 to 11.
BONUS is the difference in teacher periods between the actual allocation and the BASIC reference level
The relative curriculum bonus is a percentage that is independent of the number of periods in the timetable cycle and can therfore be used as a benchmark for 11 to 16 curricula in different cycles..
This staistic is included on the Deploymen sheets and referenced here because some school like to use it. It is not included in the CURRICULUM DATA above because it does not provide any more information than is already contained in the average class size, it is poorly understood and it is only applicable to years 7 to 11 and does not include post 16. 
To convert relative curriculum bonus to an average class size value add the percentage value to 100 and divide the answer into 2700.
To convert the resulting average class size value to the PTR value in 11 to 16 multiply it by the teacher contact ratio.
Hence a statement such as " The curriculum metric used is 8% relative curriculum bonus and a teacher contact ratio of 0.79" means that in such a school the Pupil  to teacher ratio for the 11 to 16 curriculum is limited to 19.75.</t>
  </si>
  <si>
    <t xml:space="preserve">Whilst every effort has been made to check the sheets in this workbook, they cannot be guaranteed for accuracy and should not be used in any context other than as a template for further development or as worked examples to match with the Technical Guidance notes they support.  
The authors accept no liability for the accuracy of plans produced by these spreadsheets, as they must be adapted to suit local context and checked for errors, both within the template spreadsheet and through school use.
</t>
  </si>
  <si>
    <t xml:space="preserve">The average teaching load and hence the contact ratio are the key OUTPUTS for this section. The AVERAGE LOAD is simply the total number of tp allocated divided by the FTE number of teachers employed. 
The contact ratio is then given by dividing the average load by the number of periods in the cycle.
Average Load is shown to two places of decimals.
The contact ratio is shown to three places of decimals on the deployment sheets to give a reasonable level of accuracy.
The value for contact ratio should be used to inform the view of the value to be used on sheets for future years. 
</t>
  </si>
  <si>
    <t xml:space="preserve">The contact ratio is the key input for this section. It determines the average teaching load and hence the number of FTE teachers required to
deliver the number of teacher periods outlined in the deployment above. The value for the FTE required must either equal or be lower than
value for the FTE teachers to be employed if the deployment is going to fit within the financial plan on the summary sheet. The FTE value 
required by the deployment can be reduced by increasing the contact ratio or increasing the average class size which is achieved by reducing
the number of teacher periods allocated in the plan. Alternatively the financial plan can be modified to increase the FTE value available.
N.B. the FTE teacher value required by the deployment is rounded up to one decimal place.
</t>
  </si>
  <si>
    <t xml:space="preserve">The contact ratio is the key input for this section. It determines the average teaching load and hence the number of FTE teachers required to
deliver the number of teacher periods outlined in the deployment above. The value for the FTE required must either equal or be lower than
value for the FTE teachers to be employed if the deployment is going to fit within the financial plan on the summary sheet. The FTE value 
required by the deployment can be reduced by increasing the contact ratio or increasing the average class size which is achieved by reducing
the number of teacher periods allocated in the plan. Alternatively the financial plan can be modified to increase the FTE value available.
N.B. the FTE teacher value required by the deployment is rounded up to one decimal place.
</t>
  </si>
  <si>
    <t xml:space="preserve">The following data is shown for users who wish to reference their 11 to 16 curriculum to the BASIC/BONUS model with the BASIC reference line being the teacher periods required for an average class size of 27 in years 7 to 11. Note that these calculations both exclude any post 16 curriculum teacher periods.
</t>
  </si>
  <si>
    <t xml:space="preserve">The following data is shown for users who wish to reference their 11 to 16 curriculum to the BASIC/BONUS model with the BASIC reference line being the teacher periods required for an average class size of 27 in years 7 to 11.
Note that these calculations both exclude any post 16 curriculum teacher periods.
</t>
  </si>
  <si>
    <t xml:space="preserve">The following data is shown for users who wish to reference their 11 to 16 curriculum to the BASIC/BONUS model with the BASIC reference line being the teacher periods required for an average class size of 27 in years 7 to 11. Note that these calculations both exclude any post 16 curriculum teacher periods.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</si>
</sst>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Red]\-&quot;£&quot;#,##0"/>
    <numFmt numFmtId="164" formatCode="&quot;£&quot;#,##0"/>
    <numFmt numFmtId="165" formatCode="0.00_ ;[Red]\-0.00\ "/>
    <numFmt numFmtId="166" formatCode="0.0_ ;[Red]\-0.0\ "/>
    <numFmt numFmtId="167" formatCode="0.0"/>
    <numFmt numFmtId="168" formatCode="#,##0.0"/>
    <numFmt numFmtId="169" formatCode="0.0%"/>
    <numFmt numFmtId="170" formatCode="#,##0.00000"/>
    <numFmt numFmtId="171" formatCode="#,##0.0_ ;[Red]\-#,##0.0\ "/>
    <numFmt numFmtId="172" formatCode="#,##0_ ;[Red]\-#,##0\ "/>
    <numFmt numFmtId="173" formatCode="0.000"/>
    <numFmt numFmtId="174" formatCode="#,##0.000_ ;[Red]\-#,##0.000\ "/>
    <numFmt numFmtId="175" formatCode="#,##0.00_ ;[Red]\-#,##0.00\ "/>
    <numFmt numFmtId="176" formatCode="0_ ;[Red]\-0\ "/>
    <numFmt numFmtId="177" formatCode="&quot;£&quot;#,##0.0"/>
  </numFmts>
  <fonts count="28" x14ac:knownFonts="1">
    <font>
      <sz val="11"/>
      <color theme="1"/>
      <name val="Calibri"/>
      <family val="2"/>
      <scheme val="minor"/>
    </font>
    <font>
      <b/>
      <sz val="11"/>
      <color theme="1"/>
      <name val="Calibri"/>
      <family val="2"/>
      <scheme val="minor"/>
    </font>
    <font>
      <b/>
      <sz val="11"/>
      <color rgb="FF0070C0"/>
      <name val="Calibri"/>
      <family val="2"/>
      <scheme val="minor"/>
    </font>
    <font>
      <b/>
      <sz val="11"/>
      <name val="Calibri"/>
      <family val="2"/>
      <scheme val="minor"/>
    </font>
    <font>
      <b/>
      <sz val="11"/>
      <color theme="0"/>
      <name val="Calibri"/>
      <family val="2"/>
      <scheme val="minor"/>
    </font>
    <font>
      <sz val="9"/>
      <color indexed="81"/>
      <name val="Tahoma"/>
      <family val="2"/>
    </font>
    <font>
      <b/>
      <sz val="9"/>
      <color indexed="81"/>
      <name val="Tahoma"/>
      <family val="2"/>
    </font>
    <font>
      <b/>
      <sz val="11"/>
      <color rgb="FFFF0000"/>
      <name val="Calibri"/>
      <family val="2"/>
      <scheme val="minor"/>
    </font>
    <font>
      <sz val="9"/>
      <color indexed="81"/>
      <name val="Calibri"/>
      <family val="2"/>
    </font>
    <font>
      <sz val="11"/>
      <color rgb="FF000000"/>
      <name val="Calibri"/>
      <family val="2"/>
      <scheme val="minor"/>
    </font>
    <font>
      <sz val="11"/>
      <color rgb="FF0070C0"/>
      <name val="Calibri"/>
      <family val="2"/>
      <scheme val="minor"/>
    </font>
    <font>
      <b/>
      <sz val="11"/>
      <color rgb="FF000000"/>
      <name val="Calibri"/>
      <family val="2"/>
      <scheme val="minor"/>
    </font>
    <font>
      <sz val="11"/>
      <name val="Calibri"/>
      <family val="2"/>
      <scheme val="minor"/>
    </font>
    <font>
      <i/>
      <sz val="11"/>
      <name val="Calibri"/>
      <family val="2"/>
      <scheme val="minor"/>
    </font>
    <font>
      <sz val="11"/>
      <color rgb="FFCC0000"/>
      <name val="Calibri"/>
      <family val="2"/>
      <scheme val="minor"/>
    </font>
    <font>
      <u/>
      <sz val="11"/>
      <color theme="1"/>
      <name val="Calibri"/>
      <family val="2"/>
      <scheme val="minor"/>
    </font>
    <font>
      <sz val="14"/>
      <name val="Calibri"/>
      <family val="2"/>
      <scheme val="minor"/>
    </font>
    <font>
      <u/>
      <sz val="11"/>
      <name val="Calibri"/>
      <family val="2"/>
      <scheme val="minor"/>
    </font>
    <font>
      <b/>
      <sz val="20"/>
      <color rgb="FF0070C0"/>
      <name val="Calibri"/>
      <family val="2"/>
      <scheme val="minor"/>
    </font>
    <font>
      <b/>
      <sz val="20"/>
      <color theme="1"/>
      <name val="Calibri"/>
      <family val="2"/>
      <scheme val="minor"/>
    </font>
    <font>
      <b/>
      <sz val="16"/>
      <color theme="1"/>
      <name val="Calibri"/>
      <family val="2"/>
      <scheme val="minor"/>
    </font>
    <font>
      <b/>
      <sz val="16"/>
      <color rgb="FF0070C0"/>
      <name val="Calibri"/>
      <family val="2"/>
      <scheme val="minor"/>
    </font>
    <font>
      <b/>
      <sz val="14"/>
      <name val="Calibri"/>
      <family val="2"/>
      <scheme val="minor"/>
    </font>
    <font>
      <b/>
      <sz val="14"/>
      <color theme="1"/>
      <name val="Calibri"/>
      <family val="2"/>
      <scheme val="minor"/>
    </font>
    <font>
      <b/>
      <sz val="14"/>
      <color rgb="FF0070C0"/>
      <name val="Calibri"/>
      <family val="2"/>
      <scheme val="minor"/>
    </font>
    <font>
      <b/>
      <sz val="11"/>
      <color rgb="FFC00000"/>
      <name val="Calibri"/>
      <family val="2"/>
      <scheme val="minor"/>
    </font>
    <font>
      <sz val="11"/>
      <color rgb="FF006DAA"/>
      <name val="Calibri"/>
      <family val="2"/>
      <scheme val="minor"/>
    </font>
    <font>
      <sz val="14"/>
      <color theme="1"/>
      <name val="Calibri"/>
      <family val="2"/>
      <scheme val="minor"/>
    </font>
  </fonts>
  <fills count="8">
    <fill>
      <patternFill patternType="none"/>
    </fill>
    <fill>
      <patternFill patternType="gray125"/>
    </fill>
    <fill>
      <patternFill patternType="solid">
        <fgColor theme="8" tint="0.79998168889431442"/>
        <bgColor indexed="64"/>
      </patternFill>
    </fill>
    <fill>
      <patternFill patternType="solid">
        <fgColor rgb="FFFFC000"/>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451">
    <xf numFmtId="0" fontId="0" fillId="0" borderId="0" xfId="0"/>
    <xf numFmtId="0" fontId="1" fillId="0" borderId="0" xfId="0" applyFont="1"/>
    <xf numFmtId="0" fontId="2" fillId="0" borderId="1" xfId="0" applyFont="1" applyBorder="1" applyProtection="1">
      <protection locked="0"/>
    </xf>
    <xf numFmtId="164" fontId="1" fillId="0" borderId="0" xfId="0" applyNumberFormat="1" applyFont="1"/>
    <xf numFmtId="0" fontId="1" fillId="2" borderId="1" xfId="0" applyFont="1" applyFill="1" applyBorder="1"/>
    <xf numFmtId="1" fontId="2" fillId="0" borderId="1" xfId="0" applyNumberFormat="1" applyFont="1" applyBorder="1" applyProtection="1">
      <protection locked="0"/>
    </xf>
    <xf numFmtId="0" fontId="1" fillId="5" borderId="1" xfId="0" applyFont="1" applyFill="1" applyBorder="1"/>
    <xf numFmtId="1" fontId="1" fillId="5" borderId="2" xfId="0" applyNumberFormat="1" applyFont="1" applyFill="1" applyBorder="1"/>
    <xf numFmtId="169" fontId="1" fillId="5" borderId="1" xfId="0" applyNumberFormat="1" applyFont="1" applyFill="1" applyBorder="1" applyAlignment="1">
      <alignment horizontal="center" vertical="center"/>
    </xf>
    <xf numFmtId="167" fontId="1" fillId="5" borderId="1" xfId="0" applyNumberFormat="1" applyFont="1" applyFill="1" applyBorder="1"/>
    <xf numFmtId="2" fontId="1" fillId="0" borderId="0" xfId="0" applyNumberFormat="1" applyFont="1"/>
    <xf numFmtId="0" fontId="2" fillId="0" borderId="4" xfId="0" applyFont="1" applyBorder="1" applyProtection="1">
      <protection locked="0"/>
    </xf>
    <xf numFmtId="0" fontId="1" fillId="0" borderId="0" xfId="0" applyFont="1" applyAlignment="1">
      <alignment wrapText="1"/>
    </xf>
    <xf numFmtId="1" fontId="1" fillId="0" borderId="0" xfId="0" applyNumberFormat="1" applyFont="1"/>
    <xf numFmtId="0" fontId="1" fillId="0" borderId="1" xfId="0" applyFont="1" applyBorder="1"/>
    <xf numFmtId="0" fontId="1" fillId="0" borderId="1" xfId="0" applyFont="1" applyBorder="1" applyProtection="1">
      <protection locked="0"/>
    </xf>
    <xf numFmtId="0" fontId="12" fillId="0" borderId="0" xfId="0" applyFont="1"/>
    <xf numFmtId="0" fontId="12" fillId="0" borderId="0" xfId="0" applyFont="1" applyAlignment="1">
      <alignment horizontal="left" vertical="center"/>
    </xf>
    <xf numFmtId="0" fontId="3" fillId="3" borderId="12" xfId="0" applyFont="1" applyFill="1" applyBorder="1" applyAlignment="1">
      <alignment vertical="center"/>
    </xf>
    <xf numFmtId="0" fontId="3" fillId="3" borderId="16" xfId="0" applyFont="1" applyFill="1" applyBorder="1" applyAlignment="1">
      <alignment vertical="center"/>
    </xf>
    <xf numFmtId="0" fontId="3" fillId="3" borderId="4" xfId="0" applyFont="1" applyFill="1" applyBorder="1" applyAlignment="1">
      <alignment vertical="center"/>
    </xf>
    <xf numFmtId="2" fontId="3" fillId="3" borderId="12" xfId="0" applyNumberFormat="1" applyFont="1" applyFill="1" applyBorder="1" applyAlignment="1">
      <alignment vertical="center"/>
    </xf>
    <xf numFmtId="2" fontId="3" fillId="3" borderId="16" xfId="0" applyNumberFormat="1" applyFont="1" applyFill="1" applyBorder="1" applyAlignment="1">
      <alignment vertical="center"/>
    </xf>
    <xf numFmtId="2" fontId="3" fillId="3" borderId="4" xfId="0" applyNumberFormat="1" applyFont="1" applyFill="1" applyBorder="1" applyAlignment="1">
      <alignment vertical="center"/>
    </xf>
    <xf numFmtId="0" fontId="1" fillId="5" borderId="2" xfId="0" applyFont="1" applyFill="1" applyBorder="1"/>
    <xf numFmtId="0" fontId="1" fillId="5" borderId="3" xfId="0" applyFont="1" applyFill="1" applyBorder="1"/>
    <xf numFmtId="0" fontId="1" fillId="5" borderId="8" xfId="0" applyFont="1" applyFill="1" applyBorder="1"/>
    <xf numFmtId="0" fontId="1" fillId="0" borderId="14" xfId="0" applyFont="1" applyBorder="1"/>
    <xf numFmtId="0" fontId="1" fillId="0" borderId="16" xfId="0" applyFont="1" applyBorder="1"/>
    <xf numFmtId="0" fontId="1" fillId="0" borderId="5" xfId="0" applyFont="1" applyBorder="1"/>
    <xf numFmtId="0" fontId="1" fillId="0" borderId="9" xfId="0" applyFont="1" applyBorder="1"/>
    <xf numFmtId="0" fontId="1" fillId="0" borderId="10" xfId="0" applyFont="1" applyBorder="1"/>
    <xf numFmtId="0" fontId="1" fillId="0" borderId="11" xfId="0" applyFont="1" applyBorder="1"/>
    <xf numFmtId="0" fontId="1" fillId="0" borderId="15" xfId="0" applyFont="1" applyBorder="1"/>
    <xf numFmtId="0" fontId="1" fillId="0" borderId="5" xfId="0" applyFont="1" applyBorder="1" applyAlignment="1">
      <alignment horizontal="centerContinuous"/>
    </xf>
    <xf numFmtId="0" fontId="2" fillId="0" borderId="4" xfId="0" applyFont="1" applyBorder="1" applyAlignment="1" applyProtection="1">
      <alignment textRotation="90"/>
      <protection locked="0"/>
    </xf>
    <xf numFmtId="0" fontId="0" fillId="0" borderId="0" xfId="0" applyAlignment="1">
      <alignment vertical="top" wrapText="1"/>
    </xf>
    <xf numFmtId="0" fontId="0" fillId="0" borderId="0" xfId="0" applyAlignment="1">
      <alignment vertical="top"/>
    </xf>
    <xf numFmtId="0" fontId="1" fillId="6" borderId="0" xfId="0" applyFont="1" applyFill="1"/>
    <xf numFmtId="0" fontId="3" fillId="0" borderId="0" xfId="0" applyFont="1"/>
    <xf numFmtId="0" fontId="1" fillId="0" borderId="0" xfId="0" applyFont="1" applyAlignment="1">
      <alignment horizontal="center"/>
    </xf>
    <xf numFmtId="0" fontId="1" fillId="0" borderId="6" xfId="0" applyFont="1" applyBorder="1" applyAlignment="1">
      <alignment horizontal="center"/>
    </xf>
    <xf numFmtId="0" fontId="0" fillId="6" borderId="1" xfId="0" applyFill="1" applyBorder="1" applyAlignment="1">
      <alignment horizontal="center" vertical="center"/>
    </xf>
    <xf numFmtId="164" fontId="1" fillId="5" borderId="1" xfId="0" applyNumberFormat="1" applyFont="1" applyFill="1" applyBorder="1" applyAlignment="1">
      <alignment horizontal="center"/>
    </xf>
    <xf numFmtId="6" fontId="1" fillId="5" borderId="1" xfId="0" applyNumberFormat="1" applyFont="1" applyFill="1" applyBorder="1" applyAlignment="1">
      <alignment horizontal="center"/>
    </xf>
    <xf numFmtId="10" fontId="1" fillId="5" borderId="1" xfId="0" applyNumberFormat="1" applyFont="1" applyFill="1" applyBorder="1" applyAlignment="1">
      <alignment horizontal="center"/>
    </xf>
    <xf numFmtId="167" fontId="1" fillId="5" borderId="1" xfId="0" applyNumberFormat="1" applyFont="1" applyFill="1" applyBorder="1" applyAlignment="1">
      <alignment horizontal="center"/>
    </xf>
    <xf numFmtId="0" fontId="0" fillId="5" borderId="1" xfId="0" applyFill="1" applyBorder="1" applyAlignment="1">
      <alignment horizontal="right"/>
    </xf>
    <xf numFmtId="0" fontId="0" fillId="6" borderId="6" xfId="0" applyFill="1" applyBorder="1" applyAlignment="1">
      <alignment horizontal="right" vertical="center"/>
    </xf>
    <xf numFmtId="0" fontId="0" fillId="5" borderId="1" xfId="0" applyFill="1" applyBorder="1" applyAlignment="1">
      <alignment horizontal="right" vertical="center"/>
    </xf>
    <xf numFmtId="0" fontId="1" fillId="6" borderId="1" xfId="0" applyFont="1" applyFill="1" applyBorder="1" applyAlignment="1">
      <alignment horizontal="center" vertical="center"/>
    </xf>
    <xf numFmtId="0" fontId="1" fillId="5" borderId="1" xfId="0" applyFont="1" applyFill="1" applyBorder="1" applyAlignment="1">
      <alignment horizontal="center"/>
    </xf>
    <xf numFmtId="2" fontId="1" fillId="5" borderId="1" xfId="0" applyNumberFormat="1" applyFont="1" applyFill="1" applyBorder="1" applyAlignment="1">
      <alignment horizontal="center"/>
    </xf>
    <xf numFmtId="0" fontId="0" fillId="5" borderId="1" xfId="0" applyFill="1" applyBorder="1" applyAlignment="1">
      <alignment horizontal="center" vertical="center"/>
    </xf>
    <xf numFmtId="0" fontId="1" fillId="0" borderId="0" xfId="0" applyFont="1" applyAlignment="1">
      <alignment horizontal="center" vertical="center"/>
    </xf>
    <xf numFmtId="6" fontId="2" fillId="0" borderId="1" xfId="0" applyNumberFormat="1" applyFont="1" applyBorder="1" applyAlignment="1" applyProtection="1">
      <alignment horizontal="center" vertical="center"/>
      <protection locked="0"/>
    </xf>
    <xf numFmtId="164" fontId="1" fillId="5" borderId="1" xfId="0" applyNumberFormat="1" applyFont="1" applyFill="1" applyBorder="1" applyAlignment="1">
      <alignment horizontal="center" vertical="center"/>
    </xf>
    <xf numFmtId="6" fontId="1" fillId="5" borderId="1" xfId="0" applyNumberFormat="1" applyFont="1" applyFill="1" applyBorder="1" applyAlignment="1">
      <alignment horizontal="center" vertical="center"/>
    </xf>
    <xf numFmtId="171" fontId="2" fillId="0" borderId="1" xfId="0" applyNumberFormat="1" applyFont="1" applyBorder="1" applyAlignment="1" applyProtection="1">
      <alignment horizontal="center" vertical="center"/>
      <protection locked="0"/>
    </xf>
    <xf numFmtId="0" fontId="1" fillId="6" borderId="6" xfId="0" applyFont="1" applyFill="1" applyBorder="1" applyAlignment="1">
      <alignment horizontal="center" vertical="center"/>
    </xf>
    <xf numFmtId="10" fontId="1" fillId="5" borderId="1" xfId="0" applyNumberFormat="1" applyFont="1" applyFill="1" applyBorder="1" applyAlignment="1">
      <alignment horizontal="center" vertical="center"/>
    </xf>
    <xf numFmtId="167" fontId="1" fillId="5" borderId="1" xfId="0" applyNumberFormat="1" applyFont="1" applyFill="1" applyBorder="1" applyAlignment="1">
      <alignment horizontal="center" vertical="center"/>
    </xf>
    <xf numFmtId="166" fontId="1" fillId="5" borderId="1" xfId="0" applyNumberFormat="1" applyFont="1" applyFill="1" applyBorder="1" applyAlignment="1">
      <alignment horizontal="center" vertical="center"/>
    </xf>
    <xf numFmtId="0" fontId="0" fillId="0" borderId="6" xfId="0" applyBorder="1" applyAlignment="1">
      <alignment horizontal="center" vertical="center"/>
    </xf>
    <xf numFmtId="0" fontId="1" fillId="0" borderId="6" xfId="0" applyFont="1" applyBorder="1" applyAlignment="1">
      <alignment horizontal="center" vertical="center"/>
    </xf>
    <xf numFmtId="172" fontId="2" fillId="0" borderId="1" xfId="0" applyNumberFormat="1" applyFont="1" applyBorder="1" applyAlignment="1" applyProtection="1">
      <alignment horizontal="center" vertical="center"/>
      <protection locked="0"/>
    </xf>
    <xf numFmtId="2" fontId="1" fillId="5" borderId="1" xfId="0" applyNumberFormat="1" applyFont="1" applyFill="1" applyBorder="1" applyAlignment="1">
      <alignment horizontal="center" vertical="center"/>
    </xf>
    <xf numFmtId="173" fontId="1" fillId="5" borderId="1" xfId="0" applyNumberFormat="1" applyFont="1" applyFill="1" applyBorder="1" applyAlignment="1">
      <alignment horizontal="center" vertical="center"/>
    </xf>
    <xf numFmtId="174" fontId="2" fillId="0" borderId="1" xfId="0" applyNumberFormat="1" applyFont="1" applyBorder="1" applyAlignment="1" applyProtection="1">
      <alignment horizontal="center" vertical="center"/>
      <protection locked="0"/>
    </xf>
    <xf numFmtId="0" fontId="1" fillId="0" borderId="0" xfId="0" applyFont="1" applyAlignment="1">
      <alignment horizontal="right" vertical="center"/>
    </xf>
    <xf numFmtId="0" fontId="1" fillId="6" borderId="3" xfId="0" applyFont="1" applyFill="1" applyBorder="1" applyAlignment="1">
      <alignment horizontal="right" vertical="center"/>
    </xf>
    <xf numFmtId="0" fontId="1" fillId="6" borderId="8" xfId="0" applyFont="1" applyFill="1" applyBorder="1" applyAlignment="1">
      <alignment horizontal="right" vertical="center"/>
    </xf>
    <xf numFmtId="0" fontId="1" fillId="5" borderId="3" xfId="0" applyFont="1" applyFill="1" applyBorder="1" applyAlignment="1">
      <alignment horizontal="right" vertical="center"/>
    </xf>
    <xf numFmtId="0" fontId="1" fillId="5" borderId="8" xfId="0" applyFont="1" applyFill="1" applyBorder="1" applyAlignment="1">
      <alignment horizontal="right" vertical="center"/>
    </xf>
    <xf numFmtId="6" fontId="1" fillId="5" borderId="1" xfId="0" applyNumberFormat="1" applyFont="1" applyFill="1" applyBorder="1" applyAlignment="1">
      <alignment horizontal="right" vertical="center"/>
    </xf>
    <xf numFmtId="171" fontId="2" fillId="0" borderId="1" xfId="0" applyNumberFormat="1" applyFont="1" applyBorder="1" applyAlignment="1" applyProtection="1">
      <alignment horizontal="right" vertical="center"/>
      <protection locked="0"/>
    </xf>
    <xf numFmtId="0" fontId="1" fillId="6" borderId="6" xfId="0" applyFont="1" applyFill="1" applyBorder="1" applyAlignment="1">
      <alignment horizontal="right" vertical="center"/>
    </xf>
    <xf numFmtId="0" fontId="1" fillId="6" borderId="0" xfId="0" applyFont="1" applyFill="1" applyAlignment="1">
      <alignment horizontal="right" vertical="center"/>
    </xf>
    <xf numFmtId="0" fontId="0" fillId="6" borderId="3" xfId="0" applyFill="1" applyBorder="1" applyAlignment="1">
      <alignment horizontal="right" vertical="center"/>
    </xf>
    <xf numFmtId="0" fontId="0" fillId="6" borderId="8" xfId="0" applyFill="1" applyBorder="1" applyAlignment="1">
      <alignment horizontal="right" vertical="center"/>
    </xf>
    <xf numFmtId="0" fontId="0" fillId="5" borderId="3" xfId="0" applyFill="1" applyBorder="1" applyAlignment="1">
      <alignment horizontal="right" vertical="center"/>
    </xf>
    <xf numFmtId="0" fontId="0" fillId="5" borderId="8" xfId="0" applyFill="1" applyBorder="1" applyAlignment="1">
      <alignment horizontal="right" vertical="center"/>
    </xf>
    <xf numFmtId="0" fontId="0" fillId="0" borderId="6" xfId="0" applyBorder="1" applyAlignment="1">
      <alignment horizontal="right" vertical="center"/>
    </xf>
    <xf numFmtId="0" fontId="1" fillId="0" borderId="6" xfId="0" applyFont="1" applyBorder="1" applyAlignment="1">
      <alignment horizontal="right" vertical="center"/>
    </xf>
    <xf numFmtId="2" fontId="1" fillId="5" borderId="1" xfId="0" applyNumberFormat="1" applyFont="1" applyFill="1" applyBorder="1" applyAlignment="1">
      <alignment horizontal="right" vertical="center"/>
    </xf>
    <xf numFmtId="0" fontId="0" fillId="0" borderId="0" xfId="0" applyAlignment="1">
      <alignment horizontal="right" vertical="center"/>
    </xf>
    <xf numFmtId="0" fontId="0" fillId="5" borderId="3" xfId="0" applyFill="1" applyBorder="1" applyAlignment="1">
      <alignment horizontal="right"/>
    </xf>
    <xf numFmtId="0" fontId="1" fillId="0" borderId="0" xfId="0" applyFont="1" applyAlignment="1">
      <alignment horizontal="left" vertical="center"/>
    </xf>
    <xf numFmtId="0" fontId="3" fillId="0" borderId="0" xfId="0" applyFont="1" applyAlignment="1">
      <alignment horizontal="left" vertical="center"/>
    </xf>
    <xf numFmtId="0" fontId="1" fillId="6" borderId="2" xfId="0" applyFont="1" applyFill="1" applyBorder="1" applyAlignment="1">
      <alignment horizontal="left" vertical="center"/>
    </xf>
    <xf numFmtId="0" fontId="0" fillId="5" borderId="2" xfId="0" applyFill="1" applyBorder="1" applyAlignment="1">
      <alignment horizontal="left" vertical="center"/>
    </xf>
    <xf numFmtId="0" fontId="0" fillId="6" borderId="2" xfId="0" applyFill="1" applyBorder="1" applyAlignment="1">
      <alignment horizontal="left" vertical="center"/>
    </xf>
    <xf numFmtId="0" fontId="1" fillId="6" borderId="6" xfId="0" applyFont="1" applyFill="1" applyBorder="1" applyAlignment="1">
      <alignment horizontal="left" vertical="center"/>
    </xf>
    <xf numFmtId="0" fontId="1" fillId="0" borderId="6" xfId="0" applyFont="1" applyBorder="1" applyAlignment="1">
      <alignment horizontal="left" vertical="center"/>
    </xf>
    <xf numFmtId="0" fontId="0" fillId="5" borderId="1" xfId="0" applyFill="1" applyBorder="1" applyAlignment="1">
      <alignment horizontal="left" vertical="center"/>
    </xf>
    <xf numFmtId="0" fontId="3" fillId="0" borderId="0" xfId="0" applyFont="1" applyAlignment="1">
      <alignment horizontal="center" vertical="center"/>
    </xf>
    <xf numFmtId="177" fontId="1" fillId="0" borderId="0" xfId="0" applyNumberFormat="1" applyFont="1" applyAlignment="1">
      <alignment horizontal="center" vertical="center"/>
    </xf>
    <xf numFmtId="0" fontId="1" fillId="5" borderId="1" xfId="0" applyFont="1" applyFill="1" applyBorder="1" applyAlignment="1">
      <alignment horizontal="center" vertical="center"/>
    </xf>
    <xf numFmtId="0" fontId="1" fillId="5" borderId="1" xfId="0" applyFont="1" applyFill="1" applyBorder="1" applyAlignment="1">
      <alignment horizontal="left" vertical="center"/>
    </xf>
    <xf numFmtId="0" fontId="1" fillId="5" borderId="1" xfId="0" applyFont="1" applyFill="1" applyBorder="1" applyAlignment="1">
      <alignment horizontal="right" vertical="center"/>
    </xf>
    <xf numFmtId="0" fontId="12" fillId="5" borderId="1" xfId="0" applyFont="1" applyFill="1" applyBorder="1" applyAlignment="1">
      <alignment horizontal="right" vertical="center"/>
    </xf>
    <xf numFmtId="2" fontId="1" fillId="5" borderId="1" xfId="0" applyNumberFormat="1" applyFont="1" applyFill="1" applyBorder="1" applyAlignment="1">
      <alignment horizontal="left" vertical="center"/>
    </xf>
    <xf numFmtId="169" fontId="1" fillId="5" borderId="1" xfId="0" applyNumberFormat="1" applyFont="1" applyFill="1" applyBorder="1" applyAlignment="1">
      <alignment horizontal="left" vertical="center"/>
    </xf>
    <xf numFmtId="169" fontId="1" fillId="5" borderId="1" xfId="0" applyNumberFormat="1" applyFont="1" applyFill="1" applyBorder="1" applyAlignment="1">
      <alignment horizontal="right" vertical="center"/>
    </xf>
    <xf numFmtId="6" fontId="1" fillId="5" borderId="1" xfId="0" applyNumberFormat="1" applyFont="1" applyFill="1" applyBorder="1" applyAlignment="1">
      <alignment horizontal="left" vertical="center"/>
    </xf>
    <xf numFmtId="0" fontId="0" fillId="5" borderId="1" xfId="0" applyFill="1" applyBorder="1" applyAlignment="1">
      <alignment horizontal="right" vertical="center" wrapText="1"/>
    </xf>
    <xf numFmtId="0" fontId="9" fillId="7" borderId="12" xfId="0" applyFont="1" applyFill="1" applyBorder="1" applyAlignment="1">
      <alignment vertical="top" wrapText="1"/>
    </xf>
    <xf numFmtId="0" fontId="9" fillId="7" borderId="16" xfId="0" applyFont="1" applyFill="1" applyBorder="1" applyAlignment="1">
      <alignment vertical="top" wrapText="1"/>
    </xf>
    <xf numFmtId="0" fontId="11" fillId="7" borderId="16" xfId="0" applyFont="1" applyFill="1" applyBorder="1" applyAlignment="1">
      <alignment vertical="top" wrapText="1"/>
    </xf>
    <xf numFmtId="0" fontId="9" fillId="7" borderId="4" xfId="0" applyFont="1" applyFill="1" applyBorder="1" applyAlignment="1">
      <alignment vertical="top" wrapText="1"/>
    </xf>
    <xf numFmtId="0" fontId="0" fillId="0" borderId="0" xfId="0" applyAlignment="1">
      <alignment horizontal="right"/>
    </xf>
    <xf numFmtId="0" fontId="0" fillId="7" borderId="0" xfId="0" applyFill="1" applyAlignment="1">
      <alignment wrapText="1"/>
    </xf>
    <xf numFmtId="0" fontId="9" fillId="7" borderId="16" xfId="0" applyFont="1" applyFill="1" applyBorder="1" applyAlignment="1">
      <alignment wrapText="1"/>
    </xf>
    <xf numFmtId="0" fontId="0" fillId="7" borderId="16" xfId="0" applyFill="1" applyBorder="1" applyAlignment="1">
      <alignment wrapText="1"/>
    </xf>
    <xf numFmtId="0" fontId="4" fillId="0" borderId="0" xfId="0" applyFont="1" applyAlignment="1">
      <alignment horizontal="centerContinuous" vertical="center" wrapText="1"/>
    </xf>
    <xf numFmtId="0" fontId="3" fillId="5" borderId="5" xfId="0" applyFont="1" applyFill="1" applyBorder="1" applyAlignment="1">
      <alignment horizontal="left" vertical="center"/>
    </xf>
    <xf numFmtId="0" fontId="3" fillId="5" borderId="13" xfId="0" applyFont="1" applyFill="1" applyBorder="1" applyAlignment="1">
      <alignment horizontal="centerContinuous" vertical="center" wrapText="1"/>
    </xf>
    <xf numFmtId="0" fontId="3" fillId="5" borderId="10" xfId="0" applyFont="1" applyFill="1" applyBorder="1" applyAlignment="1">
      <alignment horizontal="left" vertical="center"/>
    </xf>
    <xf numFmtId="0" fontId="3" fillId="5" borderId="15" xfId="0" applyFont="1" applyFill="1" applyBorder="1" applyAlignment="1">
      <alignment horizontal="centerContinuous" vertical="center" wrapText="1"/>
    </xf>
    <xf numFmtId="0" fontId="3" fillId="5" borderId="1" xfId="0" applyFont="1" applyFill="1" applyBorder="1" applyAlignment="1">
      <alignment horizontal="left"/>
    </xf>
    <xf numFmtId="0" fontId="3" fillId="5" borderId="1" xfId="0" applyFont="1" applyFill="1" applyBorder="1" applyAlignment="1">
      <alignment horizontal="centerContinuous"/>
    </xf>
    <xf numFmtId="0" fontId="4" fillId="0" borderId="0" xfId="0" applyFont="1" applyAlignment="1">
      <alignment horizontal="centerContinuous"/>
    </xf>
    <xf numFmtId="0" fontId="3" fillId="7" borderId="1" xfId="0" applyFont="1" applyFill="1" applyBorder="1" applyAlignment="1">
      <alignment horizontal="right" vertical="center"/>
    </xf>
    <xf numFmtId="0" fontId="3" fillId="7" borderId="2" xfId="0" applyFont="1" applyFill="1" applyBorder="1" applyAlignment="1">
      <alignment horizontal="right" vertical="center"/>
    </xf>
    <xf numFmtId="0" fontId="3" fillId="7" borderId="5" xfId="0" applyFont="1" applyFill="1" applyBorder="1" applyAlignment="1">
      <alignment horizontal="right"/>
    </xf>
    <xf numFmtId="0" fontId="3" fillId="7" borderId="2" xfId="0" applyFont="1" applyFill="1" applyBorder="1" applyAlignment="1">
      <alignment horizontal="right"/>
    </xf>
    <xf numFmtId="0" fontId="0" fillId="0" borderId="5" xfId="0" applyBorder="1" applyAlignment="1">
      <alignment horizontal="right"/>
    </xf>
    <xf numFmtId="0" fontId="1" fillId="7" borderId="1" xfId="0" applyFont="1" applyFill="1" applyBorder="1"/>
    <xf numFmtId="0" fontId="0" fillId="0" borderId="0" xfId="0" applyAlignment="1">
      <alignment horizontal="center" vertical="center"/>
    </xf>
    <xf numFmtId="0" fontId="0" fillId="0" borderId="6" xfId="0" applyBorder="1" applyAlignment="1">
      <alignment horizontal="right"/>
    </xf>
    <xf numFmtId="0" fontId="1" fillId="7" borderId="8" xfId="0" applyFont="1" applyFill="1" applyBorder="1"/>
    <xf numFmtId="1" fontId="18" fillId="0" borderId="1" xfId="0" applyNumberFormat="1" applyFont="1" applyBorder="1" applyAlignment="1" applyProtection="1">
      <alignment horizontal="center"/>
      <protection locked="0"/>
    </xf>
    <xf numFmtId="1" fontId="2" fillId="0" borderId="6" xfId="0" applyNumberFormat="1" applyFont="1" applyBorder="1" applyAlignment="1" applyProtection="1">
      <alignment horizontal="center"/>
      <protection locked="0"/>
    </xf>
    <xf numFmtId="0" fontId="3" fillId="7" borderId="6" xfId="0" applyFont="1" applyFill="1" applyBorder="1" applyAlignment="1">
      <alignment horizontal="center"/>
    </xf>
    <xf numFmtId="1" fontId="2" fillId="0" borderId="1" xfId="0" applyNumberFormat="1" applyFont="1" applyBorder="1" applyAlignment="1" applyProtection="1">
      <alignment horizontal="center"/>
      <protection locked="0"/>
    </xf>
    <xf numFmtId="0" fontId="3" fillId="5" borderId="1" xfId="0" applyFont="1" applyFill="1" applyBorder="1" applyAlignment="1">
      <alignment horizontal="center"/>
    </xf>
    <xf numFmtId="0" fontId="3" fillId="0" borderId="6" xfId="0" applyFont="1" applyBorder="1" applyAlignment="1">
      <alignment horizontal="center"/>
    </xf>
    <xf numFmtId="0" fontId="3" fillId="7" borderId="3" xfId="0" applyFont="1" applyFill="1" applyBorder="1" applyAlignment="1">
      <alignment horizontal="center"/>
    </xf>
    <xf numFmtId="167" fontId="2" fillId="0" borderId="1" xfId="0" applyNumberFormat="1" applyFont="1" applyBorder="1" applyAlignment="1" applyProtection="1">
      <alignment horizontal="center"/>
      <protection locked="0"/>
    </xf>
    <xf numFmtId="164" fontId="2" fillId="0" borderId="1" xfId="0" applyNumberFormat="1" applyFont="1" applyBorder="1" applyAlignment="1" applyProtection="1">
      <alignment horizontal="center"/>
      <protection locked="0"/>
    </xf>
    <xf numFmtId="166" fontId="2" fillId="0" borderId="1" xfId="0" applyNumberFormat="1" applyFont="1" applyBorder="1" applyAlignment="1" applyProtection="1">
      <alignment horizontal="center"/>
      <protection locked="0"/>
    </xf>
    <xf numFmtId="0" fontId="19" fillId="5" borderId="1" xfId="0" applyFont="1" applyFill="1" applyBorder="1" applyAlignment="1">
      <alignment horizontal="center"/>
    </xf>
    <xf numFmtId="1" fontId="1" fillId="5" borderId="1" xfId="0" applyNumberFormat="1" applyFont="1" applyFill="1" applyBorder="1" applyAlignment="1">
      <alignment horizontal="center"/>
    </xf>
    <xf numFmtId="0" fontId="0" fillId="5" borderId="12" xfId="0" applyFill="1" applyBorder="1" applyAlignment="1">
      <alignment horizontal="right"/>
    </xf>
    <xf numFmtId="0" fontId="0" fillId="5" borderId="7" xfId="0" applyFill="1" applyBorder="1" applyAlignment="1">
      <alignment horizontal="right"/>
    </xf>
    <xf numFmtId="6" fontId="3" fillId="5" borderId="1" xfId="0" applyNumberFormat="1" applyFont="1" applyFill="1" applyBorder="1" applyAlignment="1">
      <alignment horizontal="center"/>
    </xf>
    <xf numFmtId="165" fontId="1" fillId="5" borderId="1" xfId="0" applyNumberFormat="1" applyFont="1" applyFill="1" applyBorder="1" applyAlignment="1">
      <alignment horizontal="center"/>
    </xf>
    <xf numFmtId="170" fontId="1" fillId="5" borderId="1" xfId="0" applyNumberFormat="1" applyFont="1" applyFill="1" applyBorder="1" applyAlignment="1">
      <alignment horizontal="center"/>
    </xf>
    <xf numFmtId="4" fontId="1" fillId="5" borderId="1" xfId="0" applyNumberFormat="1" applyFont="1" applyFill="1" applyBorder="1" applyAlignment="1">
      <alignment horizontal="center"/>
    </xf>
    <xf numFmtId="9" fontId="1" fillId="5" borderId="1" xfId="0" applyNumberFormat="1" applyFont="1" applyFill="1" applyBorder="1" applyAlignment="1">
      <alignment horizontal="center"/>
    </xf>
    <xf numFmtId="169" fontId="1" fillId="5" borderId="1" xfId="0" applyNumberFormat="1" applyFont="1" applyFill="1" applyBorder="1" applyAlignment="1">
      <alignment horizontal="center"/>
    </xf>
    <xf numFmtId="168" fontId="1" fillId="5" borderId="1" xfId="0" applyNumberFormat="1" applyFont="1" applyFill="1" applyBorder="1" applyAlignment="1">
      <alignment horizontal="center"/>
    </xf>
    <xf numFmtId="167" fontId="1" fillId="5" borderId="12" xfId="0" applyNumberFormat="1" applyFont="1" applyFill="1" applyBorder="1" applyAlignment="1">
      <alignment horizontal="center"/>
    </xf>
    <xf numFmtId="169" fontId="1" fillId="5" borderId="12" xfId="0" applyNumberFormat="1" applyFont="1" applyFill="1" applyBorder="1" applyAlignment="1">
      <alignment horizontal="center"/>
    </xf>
    <xf numFmtId="0" fontId="0" fillId="6" borderId="5" xfId="0" applyFill="1" applyBorder="1" applyAlignment="1">
      <alignment horizontal="right"/>
    </xf>
    <xf numFmtId="164" fontId="1" fillId="6" borderId="6" xfId="0" applyNumberFormat="1" applyFont="1" applyFill="1" applyBorder="1" applyAlignment="1">
      <alignment horizontal="center"/>
    </xf>
    <xf numFmtId="0" fontId="0" fillId="6" borderId="0" xfId="0" applyFill="1" applyAlignment="1">
      <alignment horizontal="center" vertical="center"/>
    </xf>
    <xf numFmtId="6" fontId="3" fillId="6" borderId="6" xfId="0" applyNumberFormat="1" applyFont="1" applyFill="1" applyBorder="1" applyAlignment="1">
      <alignment horizontal="center"/>
    </xf>
    <xf numFmtId="0" fontId="0" fillId="5" borderId="4" xfId="0" applyFill="1" applyBorder="1" applyAlignment="1">
      <alignment horizontal="right"/>
    </xf>
    <xf numFmtId="0" fontId="1" fillId="5" borderId="4" xfId="0" applyFont="1" applyFill="1" applyBorder="1" applyAlignment="1">
      <alignment horizontal="center"/>
    </xf>
    <xf numFmtId="166" fontId="2" fillId="0" borderId="4" xfId="0" applyNumberFormat="1" applyFont="1" applyBorder="1" applyAlignment="1" applyProtection="1">
      <alignment horizontal="center"/>
      <protection locked="0"/>
    </xf>
    <xf numFmtId="0" fontId="4" fillId="7" borderId="3" xfId="0" applyFont="1" applyFill="1" applyBorder="1" applyAlignment="1">
      <alignment horizontal="center"/>
    </xf>
    <xf numFmtId="0" fontId="0" fillId="7" borderId="1" xfId="0" applyFill="1" applyBorder="1" applyAlignment="1">
      <alignment horizontal="left" wrapText="1"/>
    </xf>
    <xf numFmtId="167" fontId="20" fillId="5" borderId="1" xfId="0" applyNumberFormat="1" applyFont="1" applyFill="1" applyBorder="1" applyAlignment="1">
      <alignment horizontal="center"/>
    </xf>
    <xf numFmtId="10" fontId="1" fillId="0" borderId="6" xfId="0" applyNumberFormat="1" applyFont="1" applyBorder="1" applyAlignment="1">
      <alignment horizontal="center"/>
    </xf>
    <xf numFmtId="0" fontId="3" fillId="7" borderId="8" xfId="0" applyFont="1" applyFill="1" applyBorder="1"/>
    <xf numFmtId="2" fontId="1" fillId="0" borderId="0" xfId="0" applyNumberFormat="1" applyFont="1" applyAlignment="1">
      <alignment horizontal="center"/>
    </xf>
    <xf numFmtId="0" fontId="0" fillId="5" borderId="3" xfId="0" applyFill="1" applyBorder="1" applyAlignment="1">
      <alignment horizontal="left" vertical="center"/>
    </xf>
    <xf numFmtId="0" fontId="12" fillId="7" borderId="0" xfId="0" applyFont="1" applyFill="1"/>
    <xf numFmtId="0" fontId="1" fillId="7" borderId="0" xfId="0" applyFont="1" applyFill="1"/>
    <xf numFmtId="0" fontId="12" fillId="7" borderId="0" xfId="0" applyFont="1" applyFill="1" applyAlignment="1">
      <alignment horizontal="left" vertical="center"/>
    </xf>
    <xf numFmtId="0" fontId="0" fillId="5" borderId="1" xfId="0" applyFill="1" applyBorder="1" applyAlignment="1">
      <alignment horizontal="right" wrapText="1"/>
    </xf>
    <xf numFmtId="0" fontId="4" fillId="7" borderId="0" xfId="0" applyFont="1" applyFill="1" applyAlignment="1">
      <alignment horizontal="centerContinuous"/>
    </xf>
    <xf numFmtId="0" fontId="1" fillId="7" borderId="1" xfId="0" applyFont="1" applyFill="1" applyBorder="1" applyAlignment="1">
      <alignment wrapText="1"/>
    </xf>
    <xf numFmtId="0" fontId="1" fillId="7" borderId="1" xfId="0" applyFont="1" applyFill="1" applyBorder="1" applyAlignment="1">
      <alignment horizontal="center" vertical="center" wrapText="1"/>
    </xf>
    <xf numFmtId="0" fontId="1" fillId="7" borderId="0" xfId="0" applyFont="1" applyFill="1" applyAlignment="1">
      <alignment horizontal="centerContinuous"/>
    </xf>
    <xf numFmtId="0" fontId="20" fillId="7" borderId="0" xfId="0" applyFont="1" applyFill="1" applyAlignment="1">
      <alignment horizontal="centerContinuous"/>
    </xf>
    <xf numFmtId="0" fontId="1" fillId="7" borderId="12" xfId="0" applyFont="1" applyFill="1" applyBorder="1" applyAlignment="1">
      <alignment horizontal="center" vertical="center" wrapText="1"/>
    </xf>
    <xf numFmtId="0" fontId="1" fillId="7" borderId="15" xfId="0" applyFont="1" applyFill="1" applyBorder="1" applyAlignment="1">
      <alignment horizontal="centerContinuous" wrapText="1"/>
    </xf>
    <xf numFmtId="0" fontId="1" fillId="7" borderId="1" xfId="0" applyFont="1" applyFill="1" applyBorder="1" applyAlignment="1">
      <alignment horizontal="right" vertical="center" wrapText="1"/>
    </xf>
    <xf numFmtId="0" fontId="1" fillId="7" borderId="15" xfId="0" applyFont="1" applyFill="1" applyBorder="1" applyAlignment="1">
      <alignment horizontal="left" wrapText="1"/>
    </xf>
    <xf numFmtId="0" fontId="0" fillId="7" borderId="1" xfId="0" applyFill="1" applyBorder="1" applyAlignment="1">
      <alignment horizontal="centerContinuous"/>
    </xf>
    <xf numFmtId="0" fontId="1" fillId="7" borderId="1" xfId="0" applyFont="1" applyFill="1" applyBorder="1" applyAlignment="1">
      <alignment horizontal="centerContinuous"/>
    </xf>
    <xf numFmtId="0" fontId="0" fillId="5" borderId="1" xfId="0" applyFill="1" applyBorder="1"/>
    <xf numFmtId="0" fontId="1" fillId="2" borderId="1" xfId="0" applyFont="1" applyFill="1" applyBorder="1" applyAlignment="1">
      <alignment horizontal="right"/>
    </xf>
    <xf numFmtId="0" fontId="1" fillId="7" borderId="1" xfId="0" applyFont="1" applyFill="1" applyBorder="1" applyAlignment="1">
      <alignment horizontal="center" wrapText="1"/>
    </xf>
    <xf numFmtId="0" fontId="0" fillId="6" borderId="3" xfId="0" applyFill="1" applyBorder="1" applyAlignment="1">
      <alignment horizontal="right"/>
    </xf>
    <xf numFmtId="0" fontId="1" fillId="6" borderId="3" xfId="0" applyFont="1" applyFill="1" applyBorder="1"/>
    <xf numFmtId="0" fontId="2" fillId="6" borderId="3" xfId="0" applyFont="1" applyFill="1" applyBorder="1" applyProtection="1">
      <protection locked="0"/>
    </xf>
    <xf numFmtId="2" fontId="3" fillId="6" borderId="3" xfId="0" applyNumberFormat="1" applyFont="1" applyFill="1" applyBorder="1"/>
    <xf numFmtId="0" fontId="1" fillId="7" borderId="1" xfId="0" applyFont="1" applyFill="1" applyBorder="1" applyAlignment="1">
      <alignment horizontal="centerContinuous" vertical="center" wrapText="1"/>
    </xf>
    <xf numFmtId="0" fontId="3" fillId="6" borderId="0" xfId="0" applyFont="1" applyFill="1" applyAlignment="1">
      <alignment horizontal="center" vertical="center"/>
    </xf>
    <xf numFmtId="2" fontId="3" fillId="6" borderId="0" xfId="0" applyNumberFormat="1" applyFont="1" applyFill="1" applyAlignment="1">
      <alignment vertical="center"/>
    </xf>
    <xf numFmtId="0" fontId="1" fillId="6" borderId="0" xfId="0" applyFont="1" applyFill="1" applyAlignment="1">
      <alignment horizontal="centerContinuous" vertical="center" wrapText="1"/>
    </xf>
    <xf numFmtId="2" fontId="1" fillId="5" borderId="1" xfId="0" applyNumberFormat="1" applyFont="1" applyFill="1" applyBorder="1"/>
    <xf numFmtId="173" fontId="1" fillId="5" borderId="1" xfId="0" applyNumberFormat="1" applyFont="1" applyFill="1" applyBorder="1"/>
    <xf numFmtId="0" fontId="1" fillId="7" borderId="1" xfId="0" applyFont="1" applyFill="1" applyBorder="1" applyAlignment="1">
      <alignment horizontal="center"/>
    </xf>
    <xf numFmtId="0" fontId="1" fillId="7" borderId="1" xfId="0" applyFont="1" applyFill="1" applyBorder="1" applyAlignment="1">
      <alignment horizontal="right" vertical="center"/>
    </xf>
    <xf numFmtId="0" fontId="21" fillId="6" borderId="1" xfId="0" applyFont="1" applyFill="1" applyBorder="1" applyAlignment="1" applyProtection="1">
      <alignment horizontal="center" vertical="center"/>
      <protection locked="0"/>
    </xf>
    <xf numFmtId="1" fontId="20" fillId="7" borderId="1" xfId="0" applyNumberFormat="1" applyFont="1" applyFill="1" applyBorder="1" applyAlignment="1">
      <alignment horizontal="center" vertical="center"/>
    </xf>
    <xf numFmtId="0" fontId="20" fillId="7" borderId="1" xfId="0" applyFont="1" applyFill="1" applyBorder="1" applyAlignment="1">
      <alignment horizontal="center" vertical="center"/>
    </xf>
    <xf numFmtId="0" fontId="1" fillId="7" borderId="12" xfId="0" applyFont="1" applyFill="1" applyBorder="1" applyAlignment="1">
      <alignment horizontal="center" wrapText="1"/>
    </xf>
    <xf numFmtId="0" fontId="2" fillId="6" borderId="0" xfId="0" applyFont="1" applyFill="1" applyProtection="1">
      <protection locked="0"/>
    </xf>
    <xf numFmtId="2" fontId="3" fillId="6" borderId="0" xfId="0" applyNumberFormat="1" applyFont="1" applyFill="1"/>
    <xf numFmtId="0" fontId="10" fillId="0" borderId="1" xfId="0" applyFont="1" applyBorder="1" applyProtection="1">
      <protection locked="0"/>
    </xf>
    <xf numFmtId="0" fontId="1" fillId="7" borderId="0" xfId="0" applyFont="1" applyFill="1" applyAlignment="1">
      <alignment horizontal="center"/>
    </xf>
    <xf numFmtId="0" fontId="1" fillId="7" borderId="1" xfId="0" applyFont="1" applyFill="1" applyBorder="1" applyAlignment="1">
      <alignment vertical="center" wrapText="1"/>
    </xf>
    <xf numFmtId="0" fontId="2" fillId="0" borderId="1" xfId="0" applyFont="1" applyBorder="1" applyAlignment="1" applyProtection="1">
      <alignment horizontal="center"/>
      <protection locked="0"/>
    </xf>
    <xf numFmtId="0" fontId="1" fillId="7" borderId="1" xfId="0" applyFont="1" applyFill="1" applyBorder="1" applyAlignment="1">
      <alignment horizontal="left"/>
    </xf>
    <xf numFmtId="2" fontId="3" fillId="5" borderId="1" xfId="0" applyNumberFormat="1" applyFont="1" applyFill="1" applyBorder="1" applyAlignment="1">
      <alignment horizontal="center"/>
    </xf>
    <xf numFmtId="0" fontId="0" fillId="7" borderId="12" xfId="0" applyFill="1" applyBorder="1" applyAlignment="1">
      <alignment horizontal="centerContinuous" vertical="center" wrapText="1"/>
    </xf>
    <xf numFmtId="0" fontId="0" fillId="7" borderId="16" xfId="0" applyFill="1" applyBorder="1" applyAlignment="1">
      <alignment horizontal="centerContinuous" vertical="center" wrapText="1"/>
    </xf>
    <xf numFmtId="0" fontId="0" fillId="7" borderId="4" xfId="0" applyFill="1" applyBorder="1" applyAlignment="1">
      <alignment horizontal="centerContinuous" vertical="center" wrapText="1"/>
    </xf>
    <xf numFmtId="0" fontId="0" fillId="5" borderId="2" xfId="0" applyFill="1" applyBorder="1"/>
    <xf numFmtId="0" fontId="0" fillId="5" borderId="3" xfId="0" applyFill="1" applyBorder="1"/>
    <xf numFmtId="0" fontId="0" fillId="5" borderId="8" xfId="0" applyFill="1" applyBorder="1"/>
    <xf numFmtId="0" fontId="20" fillId="0" borderId="0" xfId="0" applyFont="1"/>
    <xf numFmtId="0" fontId="1" fillId="7" borderId="0" xfId="0" applyFont="1" applyFill="1" applyAlignment="1">
      <alignment horizontal="left"/>
    </xf>
    <xf numFmtId="0" fontId="3" fillId="3" borderId="16" xfId="0" applyFont="1" applyFill="1" applyBorder="1" applyAlignment="1">
      <alignment horizontal="right" vertical="center"/>
    </xf>
    <xf numFmtId="0" fontId="1" fillId="7" borderId="2" xfId="0" applyFont="1" applyFill="1" applyBorder="1" applyAlignment="1">
      <alignment horizontal="centerContinuous"/>
    </xf>
    <xf numFmtId="0" fontId="1" fillId="7" borderId="3" xfId="0" applyFont="1" applyFill="1" applyBorder="1" applyAlignment="1">
      <alignment horizontal="centerContinuous"/>
    </xf>
    <xf numFmtId="0" fontId="1" fillId="7" borderId="8" xfId="0" applyFont="1" applyFill="1" applyBorder="1" applyAlignment="1">
      <alignment horizontal="centerContinuous"/>
    </xf>
    <xf numFmtId="0" fontId="1" fillId="7" borderId="4" xfId="0" applyFont="1" applyFill="1" applyBorder="1" applyAlignment="1">
      <alignment horizontal="center" wrapText="1"/>
    </xf>
    <xf numFmtId="0" fontId="1" fillId="7" borderId="2" xfId="0" applyFont="1" applyFill="1" applyBorder="1" applyAlignment="1">
      <alignment horizontal="right"/>
    </xf>
    <xf numFmtId="0" fontId="1" fillId="7" borderId="3" xfId="0" applyFont="1" applyFill="1" applyBorder="1"/>
    <xf numFmtId="0" fontId="23" fillId="7" borderId="1" xfId="0" applyFont="1" applyFill="1" applyBorder="1" applyAlignment="1">
      <alignment horizontal="centerContinuous"/>
    </xf>
    <xf numFmtId="0" fontId="23" fillId="7" borderId="2" xfId="0" applyFont="1" applyFill="1" applyBorder="1" applyAlignment="1">
      <alignment horizontal="centerContinuous"/>
    </xf>
    <xf numFmtId="0" fontId="23" fillId="7" borderId="3" xfId="0" applyFont="1" applyFill="1" applyBorder="1" applyAlignment="1">
      <alignment horizontal="centerContinuous"/>
    </xf>
    <xf numFmtId="0" fontId="23" fillId="7" borderId="8" xfId="0" applyFont="1" applyFill="1" applyBorder="1" applyAlignment="1">
      <alignment horizontal="centerContinuous"/>
    </xf>
    <xf numFmtId="0" fontId="23" fillId="0" borderId="0" xfId="0" applyFont="1"/>
    <xf numFmtId="0" fontId="3" fillId="6" borderId="0" xfId="0" applyFont="1" applyFill="1" applyAlignment="1">
      <alignment vertical="center"/>
    </xf>
    <xf numFmtId="0" fontId="0" fillId="5" borderId="8" xfId="0" applyFill="1" applyBorder="1" applyAlignment="1">
      <alignment horizontal="right"/>
    </xf>
    <xf numFmtId="0" fontId="0" fillId="5" borderId="2" xfId="0" applyFill="1" applyBorder="1" applyAlignment="1">
      <alignment horizontal="left"/>
    </xf>
    <xf numFmtId="0" fontId="1" fillId="7" borderId="13" xfId="0" applyFont="1" applyFill="1" applyBorder="1" applyAlignment="1">
      <alignment horizontal="centerContinuous"/>
    </xf>
    <xf numFmtId="0" fontId="1" fillId="7" borderId="15" xfId="0" applyFont="1" applyFill="1" applyBorder="1" applyAlignment="1">
      <alignment horizontal="centerContinuous"/>
    </xf>
    <xf numFmtId="0" fontId="10" fillId="0" borderId="6" xfId="0" applyFont="1" applyBorder="1" applyProtection="1">
      <protection locked="0"/>
    </xf>
    <xf numFmtId="0" fontId="0" fillId="7" borderId="5" xfId="0" applyFill="1" applyBorder="1" applyAlignment="1">
      <alignment horizontal="centerContinuous" vertical="center" wrapText="1"/>
    </xf>
    <xf numFmtId="173" fontId="2" fillId="6" borderId="1" xfId="0" applyNumberFormat="1" applyFont="1" applyFill="1" applyBorder="1" applyProtection="1">
      <protection locked="0"/>
    </xf>
    <xf numFmtId="0" fontId="3" fillId="6" borderId="6" xfId="0" applyFont="1" applyFill="1" applyBorder="1" applyAlignment="1">
      <alignment vertical="center"/>
    </xf>
    <xf numFmtId="2" fontId="3" fillId="6" borderId="6" xfId="0" applyNumberFormat="1" applyFont="1" applyFill="1" applyBorder="1" applyAlignment="1">
      <alignment vertical="center"/>
    </xf>
    <xf numFmtId="0" fontId="0" fillId="6" borderId="6" xfId="0" applyFill="1" applyBorder="1" applyAlignment="1">
      <alignment horizontal="centerContinuous" vertical="center" wrapText="1"/>
    </xf>
    <xf numFmtId="0" fontId="1" fillId="5" borderId="1" xfId="0" applyFont="1" applyFill="1" applyBorder="1" applyAlignment="1">
      <alignment horizontal="right"/>
    </xf>
    <xf numFmtId="0" fontId="2" fillId="6" borderId="1" xfId="0" applyFont="1" applyFill="1" applyBorder="1" applyProtection="1">
      <protection locked="0"/>
    </xf>
    <xf numFmtId="10" fontId="1" fillId="5" borderId="1" xfId="0" applyNumberFormat="1" applyFont="1" applyFill="1" applyBorder="1"/>
    <xf numFmtId="0" fontId="0" fillId="5" borderId="3" xfId="0" applyFill="1" applyBorder="1" applyAlignment="1">
      <alignment horizontal="left"/>
    </xf>
    <xf numFmtId="0" fontId="0" fillId="5" borderId="8" xfId="0" applyFill="1" applyBorder="1" applyAlignment="1">
      <alignment horizontal="left"/>
    </xf>
    <xf numFmtId="169" fontId="1" fillId="5" borderId="1" xfId="0" applyNumberFormat="1" applyFont="1" applyFill="1" applyBorder="1"/>
    <xf numFmtId="164" fontId="3" fillId="5" borderId="1" xfId="0" applyNumberFormat="1" applyFont="1" applyFill="1" applyBorder="1" applyAlignment="1">
      <alignment horizontal="center"/>
    </xf>
    <xf numFmtId="0" fontId="0" fillId="5" borderId="1" xfId="0" applyFill="1" applyBorder="1" applyAlignment="1">
      <alignment horizontal="center"/>
    </xf>
    <xf numFmtId="167" fontId="2" fillId="0" borderId="1" xfId="0" applyNumberFormat="1" applyFont="1" applyBorder="1" applyAlignment="1" applyProtection="1">
      <alignment horizontal="right"/>
      <protection locked="0"/>
    </xf>
    <xf numFmtId="164" fontId="2" fillId="0" borderId="1" xfId="0" applyNumberFormat="1" applyFont="1" applyBorder="1" applyAlignment="1" applyProtection="1">
      <alignment horizontal="right"/>
      <protection locked="0"/>
    </xf>
    <xf numFmtId="164" fontId="3" fillId="5" borderId="1" xfId="0" applyNumberFormat="1" applyFont="1" applyFill="1" applyBorder="1" applyAlignment="1">
      <alignment horizontal="right"/>
    </xf>
    <xf numFmtId="0" fontId="2" fillId="0" borderId="1" xfId="0" applyFont="1" applyBorder="1" applyAlignment="1" applyProtection="1">
      <alignment horizontal="right"/>
      <protection locked="0"/>
    </xf>
    <xf numFmtId="164" fontId="1" fillId="5" borderId="1" xfId="0" applyNumberFormat="1" applyFont="1" applyFill="1" applyBorder="1" applyAlignment="1">
      <alignment horizontal="right"/>
    </xf>
    <xf numFmtId="167" fontId="1" fillId="5" borderId="1" xfId="0" applyNumberFormat="1" applyFont="1" applyFill="1" applyBorder="1" applyAlignment="1">
      <alignment horizontal="right"/>
    </xf>
    <xf numFmtId="173" fontId="1" fillId="5" borderId="1" xfId="0" applyNumberFormat="1" applyFont="1" applyFill="1" applyBorder="1" applyAlignment="1">
      <alignment horizontal="right"/>
    </xf>
    <xf numFmtId="1" fontId="1" fillId="5" borderId="1" xfId="0" applyNumberFormat="1" applyFont="1" applyFill="1" applyBorder="1" applyAlignment="1">
      <alignment horizontal="right"/>
    </xf>
    <xf numFmtId="2" fontId="1" fillId="5" borderId="1" xfId="0" applyNumberFormat="1" applyFont="1" applyFill="1" applyBorder="1" applyAlignment="1">
      <alignment horizontal="right"/>
    </xf>
    <xf numFmtId="169" fontId="1" fillId="5" borderId="1" xfId="0" applyNumberFormat="1" applyFont="1" applyFill="1" applyBorder="1" applyAlignment="1">
      <alignment horizontal="right"/>
    </xf>
    <xf numFmtId="0" fontId="1" fillId="7" borderId="1" xfId="0" applyFont="1" applyFill="1" applyBorder="1" applyAlignment="1">
      <alignment horizontal="centerContinuous" vertical="center"/>
    </xf>
    <xf numFmtId="2" fontId="0" fillId="5" borderId="1" xfId="0" applyNumberFormat="1" applyFill="1" applyBorder="1"/>
    <xf numFmtId="10" fontId="0" fillId="5" borderId="1" xfId="0" applyNumberFormat="1" applyFill="1" applyBorder="1"/>
    <xf numFmtId="169" fontId="0" fillId="5" borderId="1" xfId="0" applyNumberFormat="1" applyFill="1" applyBorder="1"/>
    <xf numFmtId="0" fontId="1" fillId="7" borderId="14" xfId="0" applyFont="1" applyFill="1" applyBorder="1"/>
    <xf numFmtId="0" fontId="12" fillId="7" borderId="5" xfId="0" applyFont="1" applyFill="1" applyBorder="1" applyAlignment="1">
      <alignment horizontal="left" vertical="center"/>
    </xf>
    <xf numFmtId="0" fontId="1" fillId="7" borderId="6" xfId="0" applyFont="1" applyFill="1" applyBorder="1"/>
    <xf numFmtId="0" fontId="1" fillId="7" borderId="13" xfId="0" applyFont="1" applyFill="1" applyBorder="1"/>
    <xf numFmtId="0" fontId="1" fillId="7" borderId="9" xfId="0" applyFont="1" applyFill="1" applyBorder="1"/>
    <xf numFmtId="0" fontId="12" fillId="7" borderId="9" xfId="0" applyFont="1" applyFill="1" applyBorder="1" applyAlignment="1">
      <alignment horizontal="left" vertical="center"/>
    </xf>
    <xf numFmtId="0" fontId="12" fillId="7" borderId="9" xfId="0" applyFont="1" applyFill="1" applyBorder="1"/>
    <xf numFmtId="0" fontId="0" fillId="7" borderId="9" xfId="0" applyFill="1" applyBorder="1"/>
    <xf numFmtId="0" fontId="0" fillId="7" borderId="10" xfId="0" applyFill="1" applyBorder="1"/>
    <xf numFmtId="0" fontId="1" fillId="7" borderId="11" xfId="0" applyFont="1" applyFill="1" applyBorder="1"/>
    <xf numFmtId="0" fontId="1" fillId="7" borderId="15" xfId="0" applyFont="1" applyFill="1" applyBorder="1"/>
    <xf numFmtId="0" fontId="1" fillId="7" borderId="12" xfId="0" applyFont="1" applyFill="1" applyBorder="1" applyAlignment="1">
      <alignment horizontal="center" vertical="center"/>
    </xf>
    <xf numFmtId="0" fontId="1" fillId="7" borderId="4" xfId="0" applyFont="1" applyFill="1" applyBorder="1" applyAlignment="1">
      <alignment vertical="center"/>
    </xf>
    <xf numFmtId="0" fontId="1" fillId="7" borderId="4" xfId="0" applyFont="1" applyFill="1" applyBorder="1" applyAlignment="1">
      <alignment vertical="center" wrapText="1"/>
    </xf>
    <xf numFmtId="0" fontId="1" fillId="7" borderId="4" xfId="0" applyFont="1" applyFill="1" applyBorder="1" applyAlignment="1">
      <alignment wrapText="1"/>
    </xf>
    <xf numFmtId="0" fontId="10" fillId="0" borderId="4" xfId="0" applyFont="1" applyBorder="1" applyProtection="1">
      <protection locked="0"/>
    </xf>
    <xf numFmtId="0" fontId="10" fillId="0" borderId="12" xfId="0" applyFont="1" applyBorder="1" applyAlignment="1" applyProtection="1">
      <alignment textRotation="90"/>
      <protection locked="0"/>
    </xf>
    <xf numFmtId="0" fontId="0" fillId="7" borderId="11" xfId="0" applyFill="1" applyBorder="1"/>
    <xf numFmtId="0" fontId="0" fillId="5" borderId="4" xfId="0" applyFill="1" applyBorder="1"/>
    <xf numFmtId="0" fontId="12" fillId="7" borderId="5" xfId="0" applyFont="1" applyFill="1" applyBorder="1"/>
    <xf numFmtId="0" fontId="12" fillId="7" borderId="10" xfId="0" applyFont="1" applyFill="1" applyBorder="1"/>
    <xf numFmtId="0" fontId="1" fillId="5" borderId="1" xfId="0" applyFont="1" applyFill="1" applyBorder="1" applyAlignment="1">
      <alignment wrapText="1"/>
    </xf>
    <xf numFmtId="0" fontId="1" fillId="5" borderId="2" xfId="0" applyFont="1" applyFill="1" applyBorder="1" applyAlignment="1">
      <alignment wrapText="1"/>
    </xf>
    <xf numFmtId="0" fontId="1" fillId="5" borderId="21" xfId="0" applyFont="1" applyFill="1" applyBorder="1" applyAlignment="1">
      <alignment wrapText="1"/>
    </xf>
    <xf numFmtId="0" fontId="1" fillId="5" borderId="22" xfId="0" applyFont="1" applyFill="1" applyBorder="1" applyAlignment="1">
      <alignment horizontal="center"/>
    </xf>
    <xf numFmtId="0" fontId="1" fillId="5" borderId="21" xfId="0" applyFont="1" applyFill="1" applyBorder="1"/>
    <xf numFmtId="169" fontId="1" fillId="5" borderId="22" xfId="0" applyNumberFormat="1" applyFont="1" applyFill="1" applyBorder="1" applyAlignment="1">
      <alignment horizontal="center" vertical="center"/>
    </xf>
    <xf numFmtId="1" fontId="3" fillId="5" borderId="21" xfId="0" applyNumberFormat="1" applyFont="1" applyFill="1" applyBorder="1"/>
    <xf numFmtId="0" fontId="1" fillId="5" borderId="22" xfId="0" applyFont="1" applyFill="1" applyBorder="1"/>
    <xf numFmtId="1" fontId="2" fillId="0" borderId="21" xfId="0" applyNumberFormat="1" applyFont="1" applyBorder="1" applyProtection="1">
      <protection locked="0"/>
    </xf>
    <xf numFmtId="1" fontId="2" fillId="0" borderId="22" xfId="0" applyNumberFormat="1" applyFont="1" applyBorder="1" applyProtection="1">
      <protection locked="0"/>
    </xf>
    <xf numFmtId="0" fontId="1" fillId="5" borderId="22" xfId="0" applyFont="1" applyFill="1" applyBorder="1" applyAlignment="1">
      <alignment wrapText="1"/>
    </xf>
    <xf numFmtId="1" fontId="2" fillId="0" borderId="3" xfId="0" applyNumberFormat="1" applyFont="1" applyBorder="1" applyProtection="1">
      <protection locked="0"/>
    </xf>
    <xf numFmtId="0" fontId="1" fillId="5" borderId="26" xfId="0" applyFont="1" applyFill="1" applyBorder="1"/>
    <xf numFmtId="0" fontId="1" fillId="5" borderId="27" xfId="0" applyFont="1" applyFill="1" applyBorder="1"/>
    <xf numFmtId="0" fontId="23" fillId="4" borderId="25" xfId="0" applyFont="1" applyFill="1" applyBorder="1"/>
    <xf numFmtId="0" fontId="23" fillId="4" borderId="23" xfId="0" applyFont="1" applyFill="1" applyBorder="1"/>
    <xf numFmtId="0" fontId="23" fillId="4" borderId="24" xfId="0" applyFont="1" applyFill="1" applyBorder="1"/>
    <xf numFmtId="0" fontId="23" fillId="5" borderId="28" xfId="0" applyFont="1" applyFill="1" applyBorder="1"/>
    <xf numFmtId="0" fontId="23" fillId="5" borderId="3" xfId="0" applyFont="1" applyFill="1" applyBorder="1"/>
    <xf numFmtId="0" fontId="23" fillId="5" borderId="23" xfId="0" applyFont="1" applyFill="1" applyBorder="1"/>
    <xf numFmtId="0" fontId="23" fillId="5" borderId="24" xfId="0" applyFont="1" applyFill="1" applyBorder="1"/>
    <xf numFmtId="0" fontId="23" fillId="5" borderId="25" xfId="0" applyFont="1" applyFill="1" applyBorder="1"/>
    <xf numFmtId="0" fontId="1" fillId="7" borderId="21" xfId="0" applyFont="1" applyFill="1" applyBorder="1"/>
    <xf numFmtId="0" fontId="1" fillId="7" borderId="22" xfId="0" applyFont="1" applyFill="1" applyBorder="1"/>
    <xf numFmtId="0" fontId="1" fillId="7" borderId="22" xfId="0" applyFont="1" applyFill="1" applyBorder="1" applyAlignment="1">
      <alignment horizontal="center" vertical="center"/>
    </xf>
    <xf numFmtId="0" fontId="1" fillId="7" borderId="27" xfId="0" applyFont="1" applyFill="1" applyBorder="1"/>
    <xf numFmtId="1" fontId="10" fillId="0" borderId="27" xfId="0" applyNumberFormat="1" applyFont="1" applyBorder="1" applyProtection="1">
      <protection locked="0"/>
    </xf>
    <xf numFmtId="0" fontId="0" fillId="5" borderId="27" xfId="0" applyFill="1" applyBorder="1"/>
    <xf numFmtId="0" fontId="1" fillId="5" borderId="18" xfId="0" applyFont="1" applyFill="1" applyBorder="1"/>
    <xf numFmtId="0" fontId="1" fillId="5" borderId="20" xfId="0" applyFont="1" applyFill="1" applyBorder="1"/>
    <xf numFmtId="0" fontId="1" fillId="5" borderId="18" xfId="0" applyFont="1" applyFill="1" applyBorder="1" applyAlignment="1">
      <alignment horizontal="centerContinuous"/>
    </xf>
    <xf numFmtId="0" fontId="1" fillId="5" borderId="19" xfId="0" applyFont="1" applyFill="1" applyBorder="1" applyAlignment="1">
      <alignment horizontal="centerContinuous"/>
    </xf>
    <xf numFmtId="0" fontId="1" fillId="5" borderId="20" xfId="0" applyFont="1" applyFill="1" applyBorder="1" applyAlignment="1">
      <alignment horizontal="centerContinuous"/>
    </xf>
    <xf numFmtId="0" fontId="1" fillId="5" borderId="11" xfId="0" applyFont="1" applyFill="1" applyBorder="1"/>
    <xf numFmtId="1" fontId="24" fillId="0" borderId="17" xfId="0" applyNumberFormat="1" applyFont="1" applyBorder="1" applyAlignment="1" applyProtection="1">
      <alignment horizontal="center"/>
      <protection locked="0"/>
    </xf>
    <xf numFmtId="0" fontId="0" fillId="7" borderId="6" xfId="0" applyFill="1" applyBorder="1"/>
    <xf numFmtId="0" fontId="0" fillId="7" borderId="13" xfId="0" applyFill="1" applyBorder="1"/>
    <xf numFmtId="0" fontId="0" fillId="7" borderId="0" xfId="0" applyFill="1"/>
    <xf numFmtId="0" fontId="0" fillId="7" borderId="14" xfId="0" applyFill="1" applyBorder="1"/>
    <xf numFmtId="0" fontId="0" fillId="7" borderId="15" xfId="0" applyFill="1" applyBorder="1"/>
    <xf numFmtId="0" fontId="0" fillId="0" borderId="9" xfId="0" applyBorder="1"/>
    <xf numFmtId="0" fontId="0" fillId="0" borderId="1" xfId="0" applyBorder="1"/>
    <xf numFmtId="0" fontId="1" fillId="7" borderId="3" xfId="0" applyFont="1" applyFill="1" applyBorder="1" applyAlignment="1">
      <alignment horizontal="centerContinuous" vertical="center"/>
    </xf>
    <xf numFmtId="166" fontId="1" fillId="5" borderId="1" xfId="0" applyNumberFormat="1" applyFont="1" applyFill="1" applyBorder="1"/>
    <xf numFmtId="0" fontId="0" fillId="5" borderId="1" xfId="0" applyFill="1" applyBorder="1" applyAlignment="1">
      <alignment horizontal="left"/>
    </xf>
    <xf numFmtId="6" fontId="1" fillId="5" borderId="1" xfId="0" applyNumberFormat="1" applyFont="1" applyFill="1" applyBorder="1"/>
    <xf numFmtId="175" fontId="1" fillId="5" borderId="1" xfId="0" applyNumberFormat="1" applyFont="1" applyFill="1" applyBorder="1"/>
    <xf numFmtId="172" fontId="1" fillId="5" borderId="1" xfId="0" applyNumberFormat="1" applyFont="1" applyFill="1" applyBorder="1"/>
    <xf numFmtId="174" fontId="1" fillId="5" borderId="1" xfId="0" applyNumberFormat="1" applyFont="1" applyFill="1" applyBorder="1"/>
    <xf numFmtId="0" fontId="0" fillId="5" borderId="2" xfId="0" applyFill="1" applyBorder="1" applyAlignment="1">
      <alignment vertical="center"/>
    </xf>
    <xf numFmtId="167" fontId="0" fillId="5" borderId="1" xfId="0" applyNumberFormat="1" applyFill="1" applyBorder="1"/>
    <xf numFmtId="176" fontId="0" fillId="5" borderId="1" xfId="0" applyNumberFormat="1" applyFill="1" applyBorder="1"/>
    <xf numFmtId="0" fontId="1" fillId="7" borderId="2" xfId="0" applyFont="1" applyFill="1" applyBorder="1" applyAlignment="1">
      <alignment horizontal="centerContinuous" vertical="center" wrapText="1"/>
    </xf>
    <xf numFmtId="0" fontId="1" fillId="7" borderId="3" xfId="0" applyFont="1" applyFill="1" applyBorder="1" applyAlignment="1">
      <alignment horizontal="centerContinuous" vertical="center" wrapText="1"/>
    </xf>
    <xf numFmtId="0" fontId="1" fillId="7" borderId="8" xfId="0" applyFont="1" applyFill="1" applyBorder="1" applyAlignment="1">
      <alignment horizontal="centerContinuous" vertical="center" wrapText="1"/>
    </xf>
    <xf numFmtId="6" fontId="25" fillId="5" borderId="1" xfId="0" applyNumberFormat="1" applyFont="1" applyFill="1" applyBorder="1"/>
    <xf numFmtId="0" fontId="1" fillId="0" borderId="0" xfId="0" applyFont="1" applyAlignment="1">
      <alignment vertical="top"/>
    </xf>
    <xf numFmtId="0" fontId="12" fillId="7" borderId="5" xfId="0" applyFont="1" applyFill="1" applyBorder="1" applyAlignment="1">
      <alignment horizontal="left"/>
    </xf>
    <xf numFmtId="0" fontId="12" fillId="7" borderId="9" xfId="0" applyFont="1" applyFill="1" applyBorder="1" applyAlignment="1">
      <alignment horizontal="left"/>
    </xf>
    <xf numFmtId="0" fontId="12" fillId="7" borderId="10" xfId="0" applyFont="1" applyFill="1" applyBorder="1" applyAlignment="1">
      <alignment horizontal="left"/>
    </xf>
    <xf numFmtId="0" fontId="3" fillId="7" borderId="2" xfId="0" applyFont="1" applyFill="1" applyBorder="1" applyAlignment="1">
      <alignment horizontal="left" vertical="center"/>
    </xf>
    <xf numFmtId="0" fontId="1" fillId="6" borderId="0" xfId="0" applyFont="1" applyFill="1" applyAlignment="1">
      <alignment horizontal="centerContinuous"/>
    </xf>
    <xf numFmtId="166" fontId="25" fillId="5" borderId="1" xfId="0" applyNumberFormat="1" applyFont="1" applyFill="1" applyBorder="1"/>
    <xf numFmtId="0" fontId="1" fillId="7" borderId="6" xfId="0" applyFont="1" applyFill="1" applyBorder="1" applyAlignment="1">
      <alignment horizontal="centerContinuous" vertical="center"/>
    </xf>
    <xf numFmtId="0" fontId="0" fillId="7" borderId="10" xfId="0" applyFill="1" applyBorder="1" applyAlignment="1">
      <alignment horizontal="centerContinuous" vertical="center"/>
    </xf>
    <xf numFmtId="0" fontId="1" fillId="7" borderId="11" xfId="0" applyFont="1" applyFill="1" applyBorder="1" applyAlignment="1">
      <alignment horizontal="centerContinuous" vertical="center"/>
    </xf>
    <xf numFmtId="0" fontId="0" fillId="7" borderId="1" xfId="0" applyFill="1" applyBorder="1" applyAlignment="1">
      <alignment horizontal="right" vertical="center"/>
    </xf>
    <xf numFmtId="0" fontId="0" fillId="7" borderId="1" xfId="0" applyFill="1" applyBorder="1" applyAlignment="1">
      <alignment horizontal="right" vertical="center" wrapText="1"/>
    </xf>
    <xf numFmtId="0" fontId="1" fillId="7" borderId="10" xfId="0" applyFont="1" applyFill="1" applyBorder="1" applyAlignment="1">
      <alignment horizontal="left" vertical="center"/>
    </xf>
    <xf numFmtId="0" fontId="1" fillId="7" borderId="11" xfId="0" applyFont="1" applyFill="1" applyBorder="1" applyAlignment="1">
      <alignment horizontal="centerContinuous" vertical="center" wrapText="1"/>
    </xf>
    <xf numFmtId="0" fontId="1" fillId="7" borderId="10" xfId="0" applyFont="1" applyFill="1" applyBorder="1" applyAlignment="1">
      <alignment horizontal="left" vertical="center" wrapText="1"/>
    </xf>
    <xf numFmtId="0" fontId="0" fillId="6" borderId="5" xfId="0" applyFill="1" applyBorder="1"/>
    <xf numFmtId="0" fontId="1" fillId="6" borderId="6" xfId="0" applyFont="1" applyFill="1" applyBorder="1" applyAlignment="1">
      <alignment horizontal="center"/>
    </xf>
    <xf numFmtId="0" fontId="2" fillId="6" borderId="6" xfId="0" applyFont="1" applyFill="1" applyBorder="1" applyAlignment="1" applyProtection="1">
      <alignment horizontal="center"/>
      <protection locked="0"/>
    </xf>
    <xf numFmtId="2" fontId="3" fillId="6" borderId="6" xfId="0" applyNumberFormat="1" applyFont="1" applyFill="1" applyBorder="1" applyAlignment="1">
      <alignment horizontal="center"/>
    </xf>
    <xf numFmtId="0" fontId="4" fillId="7" borderId="1" xfId="0" applyFont="1" applyFill="1" applyBorder="1" applyAlignment="1">
      <alignment horizontal="center" vertical="center"/>
    </xf>
    <xf numFmtId="0" fontId="3" fillId="7" borderId="1" xfId="0" applyFont="1" applyFill="1" applyBorder="1" applyAlignment="1">
      <alignment horizontal="center" vertical="center"/>
    </xf>
    <xf numFmtId="0" fontId="3" fillId="7" borderId="3" xfId="0" applyFont="1" applyFill="1" applyBorder="1" applyAlignment="1">
      <alignment horizontal="right" vertical="center"/>
    </xf>
    <xf numFmtId="0" fontId="1" fillId="7" borderId="8" xfId="0" applyFont="1" applyFill="1" applyBorder="1" applyAlignment="1">
      <alignment horizontal="right" vertical="center"/>
    </xf>
    <xf numFmtId="0" fontId="3" fillId="7" borderId="8" xfId="0" applyFont="1" applyFill="1" applyBorder="1" applyAlignment="1">
      <alignment horizontal="right" vertical="center"/>
    </xf>
    <xf numFmtId="0" fontId="12" fillId="7" borderId="12" xfId="0" applyFont="1" applyFill="1" applyBorder="1" applyAlignment="1">
      <alignment horizontal="left" vertical="center" wrapText="1"/>
    </xf>
    <xf numFmtId="0" fontId="12" fillId="7" borderId="16" xfId="0" applyFont="1" applyFill="1" applyBorder="1" applyAlignment="1">
      <alignment horizontal="left" vertical="center"/>
    </xf>
    <xf numFmtId="0" fontId="0" fillId="7" borderId="4" xfId="0" applyFill="1" applyBorder="1"/>
    <xf numFmtId="0" fontId="12" fillId="7" borderId="1" xfId="0" applyFont="1" applyFill="1" applyBorder="1" applyAlignment="1">
      <alignment horizontal="right"/>
    </xf>
    <xf numFmtId="0" fontId="3" fillId="7" borderId="1" xfId="0" applyFont="1" applyFill="1" applyBorder="1" applyAlignment="1">
      <alignment horizontal="center"/>
    </xf>
    <xf numFmtId="0" fontId="3" fillId="7" borderId="1" xfId="0" applyFont="1" applyFill="1" applyBorder="1" applyAlignment="1">
      <alignment horizontal="center" wrapText="1"/>
    </xf>
    <xf numFmtId="0" fontId="3" fillId="7" borderId="5" xfId="0" applyFont="1" applyFill="1" applyBorder="1" applyAlignment="1">
      <alignment horizontal="right" vertical="center"/>
    </xf>
    <xf numFmtId="0" fontId="0" fillId="5" borderId="2" xfId="0" applyFill="1" applyBorder="1" applyAlignment="1">
      <alignment horizontal="center" vertical="center"/>
    </xf>
    <xf numFmtId="0" fontId="4" fillId="7" borderId="4" xfId="0" applyFont="1" applyFill="1" applyBorder="1" applyAlignment="1">
      <alignment horizontal="right" vertical="center"/>
    </xf>
    <xf numFmtId="0" fontId="1" fillId="7" borderId="4" xfId="0" applyFont="1" applyFill="1" applyBorder="1" applyAlignment="1">
      <alignment horizontal="center" vertical="center" wrapText="1"/>
    </xf>
    <xf numFmtId="0" fontId="1" fillId="7" borderId="4" xfId="0" applyFont="1" applyFill="1" applyBorder="1" applyAlignment="1">
      <alignment horizontal="left" vertical="center" wrapText="1"/>
    </xf>
    <xf numFmtId="0" fontId="1" fillId="7" borderId="4" xfId="0" applyFont="1" applyFill="1" applyBorder="1" applyAlignment="1">
      <alignment horizontal="right" vertical="center" wrapText="1"/>
    </xf>
    <xf numFmtId="0" fontId="3" fillId="7" borderId="15" xfId="0" applyFont="1" applyFill="1" applyBorder="1" applyAlignment="1">
      <alignment horizontal="left" vertical="center"/>
    </xf>
    <xf numFmtId="0" fontId="4" fillId="6" borderId="11" xfId="0" applyFont="1" applyFill="1" applyBorder="1" applyAlignment="1">
      <alignment horizontal="center" vertical="center"/>
    </xf>
    <xf numFmtId="0" fontId="4" fillId="6" borderId="11" xfId="0" applyFont="1" applyFill="1" applyBorder="1" applyAlignment="1">
      <alignment horizontal="left" vertical="center"/>
    </xf>
    <xf numFmtId="0" fontId="4" fillId="6" borderId="11" xfId="0" applyFont="1" applyFill="1" applyBorder="1" applyAlignment="1">
      <alignment horizontal="right" vertical="center"/>
    </xf>
    <xf numFmtId="0" fontId="3" fillId="6" borderId="11" xfId="0" applyFont="1" applyFill="1" applyBorder="1" applyAlignment="1">
      <alignment horizontal="right" vertical="center"/>
    </xf>
    <xf numFmtId="0" fontId="1" fillId="6" borderId="11" xfId="0" applyFont="1" applyFill="1" applyBorder="1" applyAlignment="1">
      <alignment horizontal="right" vertical="center"/>
    </xf>
    <xf numFmtId="167" fontId="1" fillId="5" borderId="1" xfId="0" applyNumberFormat="1" applyFont="1" applyFill="1" applyBorder="1" applyAlignment="1">
      <alignment horizontal="left" vertical="center"/>
    </xf>
    <xf numFmtId="0" fontId="3" fillId="5" borderId="1" xfId="0" applyFont="1" applyFill="1" applyBorder="1" applyAlignment="1">
      <alignment horizontal="center" vertical="center"/>
    </xf>
    <xf numFmtId="2" fontId="22" fillId="5" borderId="1" xfId="0" applyNumberFormat="1" applyFont="1" applyFill="1" applyBorder="1" applyAlignment="1">
      <alignment vertical="center"/>
    </xf>
    <xf numFmtId="0" fontId="0" fillId="7" borderId="3" xfId="0" applyFill="1" applyBorder="1" applyAlignment="1">
      <alignment horizontal="centerContinuous" vertical="center" wrapText="1"/>
    </xf>
    <xf numFmtId="0" fontId="0" fillId="7" borderId="8" xfId="0" applyFill="1" applyBorder="1" applyAlignment="1">
      <alignment horizontal="centerContinuous" vertical="center" wrapText="1"/>
    </xf>
    <xf numFmtId="0" fontId="3" fillId="6" borderId="11" xfId="0" applyFont="1" applyFill="1" applyBorder="1"/>
    <xf numFmtId="0" fontId="24" fillId="0" borderId="1" xfId="0" applyFont="1" applyBorder="1" applyProtection="1">
      <protection locked="0"/>
    </xf>
    <xf numFmtId="0" fontId="1" fillId="6" borderId="9" xfId="0" applyFont="1" applyFill="1" applyBorder="1"/>
    <xf numFmtId="0" fontId="3" fillId="7" borderId="5" xfId="0" applyFont="1" applyFill="1" applyBorder="1" applyAlignment="1">
      <alignment horizontal="left" vertical="center"/>
    </xf>
    <xf numFmtId="0" fontId="3" fillId="7" borderId="10" xfId="0" applyFont="1" applyFill="1" applyBorder="1" applyAlignment="1">
      <alignment horizontal="left" vertical="center"/>
    </xf>
    <xf numFmtId="0" fontId="1" fillId="0" borderId="0" xfId="0" applyFont="1" applyAlignment="1">
      <alignment vertical="center"/>
    </xf>
    <xf numFmtId="0" fontId="23" fillId="7" borderId="5" xfId="0" applyFont="1" applyFill="1" applyBorder="1" applyAlignment="1">
      <alignment horizontal="right" vertical="center"/>
    </xf>
    <xf numFmtId="0" fontId="23" fillId="7" borderId="2" xfId="0" applyFont="1" applyFill="1" applyBorder="1" applyAlignment="1">
      <alignment horizontal="right"/>
    </xf>
    <xf numFmtId="0" fontId="27" fillId="7" borderId="8" xfId="0" applyFont="1" applyFill="1" applyBorder="1"/>
    <xf numFmtId="0" fontId="27" fillId="0" borderId="0" xfId="0" applyFont="1"/>
    <xf numFmtId="0" fontId="0" fillId="6" borderId="0" xfId="0" applyFill="1"/>
    <xf numFmtId="0" fontId="12" fillId="6" borderId="0" xfId="0" applyFont="1" applyFill="1"/>
    <xf numFmtId="0" fontId="1" fillId="7" borderId="1" xfId="0" applyFont="1" applyFill="1" applyBorder="1" applyAlignment="1">
      <alignment horizontal="right"/>
    </xf>
    <xf numFmtId="0" fontId="0" fillId="6" borderId="0" xfId="0" applyFill="1" applyAlignment="1">
      <alignment wrapText="1"/>
    </xf>
    <xf numFmtId="0" fontId="9" fillId="7" borderId="12" xfId="0" applyFont="1" applyFill="1" applyBorder="1" applyAlignment="1">
      <alignment wrapText="1"/>
    </xf>
    <xf numFmtId="0" fontId="9" fillId="7" borderId="4" xfId="0" applyFont="1" applyFill="1" applyBorder="1" applyAlignment="1">
      <alignment wrapText="1"/>
    </xf>
    <xf numFmtId="0" fontId="0" fillId="5" borderId="1" xfId="0" applyFill="1" applyBorder="1" applyAlignment="1">
      <alignment horizontal="left" vertical="center" wrapText="1"/>
    </xf>
    <xf numFmtId="0" fontId="0" fillId="7" borderId="5" xfId="0" applyFill="1" applyBorder="1" applyAlignment="1">
      <alignment horizontal="left" vertical="top" wrapText="1"/>
    </xf>
    <xf numFmtId="0" fontId="0" fillId="7" borderId="6" xfId="0" applyFill="1" applyBorder="1" applyAlignment="1">
      <alignment horizontal="left" vertical="top" wrapText="1"/>
    </xf>
    <xf numFmtId="0" fontId="0" fillId="7" borderId="13" xfId="0" applyFill="1" applyBorder="1" applyAlignment="1">
      <alignment horizontal="left" vertical="top" wrapText="1"/>
    </xf>
    <xf numFmtId="0" fontId="0" fillId="7" borderId="9" xfId="0" applyFill="1" applyBorder="1" applyAlignment="1">
      <alignment horizontal="left" vertical="top" wrapText="1"/>
    </xf>
    <xf numFmtId="0" fontId="0" fillId="7" borderId="0" xfId="0" applyFill="1" applyAlignment="1">
      <alignment horizontal="left" vertical="top" wrapText="1"/>
    </xf>
    <xf numFmtId="0" fontId="0" fillId="7" borderId="14" xfId="0" applyFill="1" applyBorder="1" applyAlignment="1">
      <alignment horizontal="left" vertical="top" wrapText="1"/>
    </xf>
    <xf numFmtId="0" fontId="0" fillId="7" borderId="10" xfId="0" applyFill="1" applyBorder="1" applyAlignment="1">
      <alignment horizontal="left" vertical="top" wrapText="1"/>
    </xf>
    <xf numFmtId="0" fontId="0" fillId="7" borderId="11" xfId="0" applyFill="1" applyBorder="1" applyAlignment="1">
      <alignment horizontal="left" vertical="top" wrapText="1"/>
    </xf>
    <xf numFmtId="0" fontId="0" fillId="7" borderId="15" xfId="0" applyFill="1" applyBorder="1" applyAlignment="1">
      <alignment horizontal="left" vertical="top" wrapText="1"/>
    </xf>
    <xf numFmtId="0" fontId="0" fillId="7" borderId="5" xfId="0" applyFill="1" applyBorder="1" applyAlignment="1">
      <alignment horizontal="left" vertical="center" wrapText="1"/>
    </xf>
    <xf numFmtId="0" fontId="0" fillId="7" borderId="6" xfId="0" applyFill="1" applyBorder="1" applyAlignment="1">
      <alignment horizontal="left" vertical="center" wrapText="1"/>
    </xf>
    <xf numFmtId="0" fontId="0" fillId="7" borderId="13" xfId="0" applyFill="1" applyBorder="1" applyAlignment="1">
      <alignment horizontal="left" vertical="center" wrapText="1"/>
    </xf>
    <xf numFmtId="0" fontId="0" fillId="7" borderId="9" xfId="0" applyFill="1" applyBorder="1" applyAlignment="1">
      <alignment horizontal="left" vertical="center" wrapText="1"/>
    </xf>
    <xf numFmtId="0" fontId="0" fillId="7" borderId="0" xfId="0" applyFill="1" applyAlignment="1">
      <alignment horizontal="left" vertical="center" wrapText="1"/>
    </xf>
    <xf numFmtId="0" fontId="0" fillId="7" borderId="14" xfId="0" applyFill="1" applyBorder="1" applyAlignment="1">
      <alignment horizontal="left" vertical="center" wrapText="1"/>
    </xf>
    <xf numFmtId="0" fontId="0" fillId="7" borderId="10" xfId="0" applyFill="1" applyBorder="1" applyAlignment="1">
      <alignment horizontal="left" vertical="center" wrapText="1"/>
    </xf>
    <xf numFmtId="0" fontId="0" fillId="7" borderId="11" xfId="0" applyFill="1" applyBorder="1" applyAlignment="1">
      <alignment horizontal="left" vertical="center" wrapText="1"/>
    </xf>
    <xf numFmtId="0" fontId="0" fillId="7" borderId="15" xfId="0" applyFill="1" applyBorder="1" applyAlignment="1">
      <alignment horizontal="left" vertical="center" wrapText="1"/>
    </xf>
    <xf numFmtId="0" fontId="1" fillId="7" borderId="2" xfId="0" applyFont="1" applyFill="1" applyBorder="1" applyAlignment="1">
      <alignment horizontal="center" vertical="center" wrapText="1"/>
    </xf>
    <xf numFmtId="0" fontId="1" fillId="7" borderId="3" xfId="0" applyFont="1" applyFill="1" applyBorder="1" applyAlignment="1">
      <alignment horizontal="center" vertical="center" wrapText="1"/>
    </xf>
    <xf numFmtId="0" fontId="1" fillId="7" borderId="8" xfId="0" applyFont="1" applyFill="1" applyBorder="1" applyAlignment="1">
      <alignment horizontal="center" vertical="center" wrapText="1"/>
    </xf>
    <xf numFmtId="0" fontId="12" fillId="7" borderId="5" xfId="0" applyFont="1" applyFill="1" applyBorder="1" applyAlignment="1">
      <alignment horizontal="left" wrapText="1"/>
    </xf>
    <xf numFmtId="0" fontId="12" fillId="7" borderId="6" xfId="0" applyFont="1" applyFill="1" applyBorder="1" applyAlignment="1">
      <alignment horizontal="left" wrapText="1"/>
    </xf>
    <xf numFmtId="0" fontId="12" fillId="7" borderId="5" xfId="0" applyFont="1" applyFill="1" applyBorder="1" applyAlignment="1">
      <alignment horizontal="left" vertical="center"/>
    </xf>
    <xf numFmtId="0" fontId="12" fillId="7" borderId="6" xfId="0" applyFont="1" applyFill="1" applyBorder="1" applyAlignment="1">
      <alignment horizontal="left" vertical="center"/>
    </xf>
    <xf numFmtId="0" fontId="12" fillId="7" borderId="5" xfId="0" applyFont="1" applyFill="1" applyBorder="1" applyAlignment="1">
      <alignment horizontal="left" vertical="center" wrapText="1"/>
    </xf>
    <xf numFmtId="0" fontId="12" fillId="7" borderId="6" xfId="0" applyFont="1" applyFill="1" applyBorder="1" applyAlignment="1">
      <alignment horizontal="left" vertical="center" wrapText="1"/>
    </xf>
    <xf numFmtId="0" fontId="12" fillId="7" borderId="13" xfId="0" applyFont="1" applyFill="1" applyBorder="1" applyAlignment="1">
      <alignment horizontal="left" vertical="center" wrapText="1"/>
    </xf>
    <xf numFmtId="0" fontId="12" fillId="7" borderId="9" xfId="0" applyFont="1" applyFill="1" applyBorder="1" applyAlignment="1">
      <alignment horizontal="left" vertical="top" wrapText="1"/>
    </xf>
    <xf numFmtId="0" fontId="12" fillId="7" borderId="0" xfId="0" applyFont="1" applyFill="1" applyAlignment="1">
      <alignment horizontal="left" vertical="top" wrapText="1"/>
    </xf>
    <xf numFmtId="0" fontId="12" fillId="7" borderId="14" xfId="0" applyFont="1" applyFill="1" applyBorder="1" applyAlignment="1">
      <alignment horizontal="left" vertical="top" wrapText="1"/>
    </xf>
    <xf numFmtId="0" fontId="1" fillId="7" borderId="2" xfId="0" applyFont="1" applyFill="1" applyBorder="1" applyAlignment="1">
      <alignment horizontal="right"/>
    </xf>
    <xf numFmtId="0" fontId="1" fillId="7" borderId="3" xfId="0" applyFont="1" applyFill="1" applyBorder="1" applyAlignment="1">
      <alignment horizontal="right"/>
    </xf>
    <xf numFmtId="0" fontId="1" fillId="7" borderId="8" xfId="0" applyFont="1" applyFill="1" applyBorder="1" applyAlignment="1">
      <alignment horizontal="right"/>
    </xf>
    <xf numFmtId="0" fontId="0" fillId="5" borderId="1" xfId="0" applyFill="1" applyBorder="1" applyAlignment="1">
      <alignment horizontal="left"/>
    </xf>
    <xf numFmtId="0" fontId="0" fillId="5" borderId="2" xfId="0" applyFill="1" applyBorder="1" applyAlignment="1">
      <alignment horizontal="left"/>
    </xf>
    <xf numFmtId="0" fontId="0" fillId="5" borderId="3" xfId="0" applyFill="1" applyBorder="1" applyAlignment="1">
      <alignment horizontal="left"/>
    </xf>
    <xf numFmtId="0" fontId="0" fillId="5" borderId="8" xfId="0" applyFill="1" applyBorder="1" applyAlignment="1">
      <alignment horizontal="left"/>
    </xf>
    <xf numFmtId="0" fontId="1" fillId="7" borderId="1" xfId="0" applyFont="1" applyFill="1" applyBorder="1" applyAlignment="1">
      <alignment horizontal="center"/>
    </xf>
    <xf numFmtId="0" fontId="0" fillId="6" borderId="1" xfId="0" applyFill="1" applyBorder="1" applyAlignment="1">
      <alignment horizontal="left"/>
    </xf>
    <xf numFmtId="0" fontId="1" fillId="7" borderId="2" xfId="0" applyFont="1" applyFill="1" applyBorder="1" applyAlignment="1">
      <alignment horizontal="center"/>
    </xf>
    <xf numFmtId="0" fontId="1" fillId="7" borderId="3" xfId="0" applyFont="1" applyFill="1" applyBorder="1" applyAlignment="1">
      <alignment horizontal="center"/>
    </xf>
    <xf numFmtId="0" fontId="1" fillId="7" borderId="8" xfId="0" applyFont="1" applyFill="1" applyBorder="1" applyAlignment="1">
      <alignment horizontal="center"/>
    </xf>
    <xf numFmtId="0" fontId="0" fillId="5" borderId="2" xfId="0" applyFill="1" applyBorder="1" applyAlignment="1">
      <alignment horizontal="center"/>
    </xf>
    <xf numFmtId="0" fontId="0" fillId="5" borderId="3" xfId="0" applyFill="1" applyBorder="1" applyAlignment="1">
      <alignment horizontal="center"/>
    </xf>
    <xf numFmtId="0" fontId="0" fillId="5" borderId="8" xfId="0" applyFill="1" applyBorder="1" applyAlignment="1">
      <alignment horizontal="center"/>
    </xf>
    <xf numFmtId="0" fontId="1" fillId="7" borderId="1" xfId="0" applyFont="1" applyFill="1" applyBorder="1" applyAlignment="1">
      <alignment horizontal="center" vertical="center"/>
    </xf>
  </cellXfs>
  <cellStyles count="1">
    <cellStyle name="Normal" xfId="0" builtinId="0"/>
  </cellStyles>
  <dxfs count="15">
    <dxf>
      <fill>
        <patternFill>
          <bgColor rgb="FFFF0000"/>
        </patternFill>
      </fill>
    </dxf>
    <dxf>
      <fill>
        <patternFill>
          <bgColor rgb="FFFF0000"/>
        </patternFill>
      </fill>
    </dxf>
    <dxf>
      <font>
        <b/>
        <i val="0"/>
      </font>
      <fill>
        <patternFill>
          <bgColor rgb="FFFF0000"/>
        </patternFill>
      </fill>
    </dxf>
    <dxf>
      <font>
        <b/>
        <i val="0"/>
      </font>
      <fill>
        <patternFill>
          <bgColor rgb="FF00B050"/>
        </patternFill>
      </fill>
    </dxf>
    <dxf>
      <font>
        <b/>
        <i val="0"/>
      </font>
      <fill>
        <patternFill>
          <bgColor rgb="FFFF0000"/>
        </patternFill>
      </fill>
    </dxf>
    <dxf>
      <font>
        <b/>
        <i val="0"/>
      </font>
      <fill>
        <patternFill>
          <bgColor rgb="FFFFFF00"/>
        </patternFill>
      </fill>
    </dxf>
    <dxf>
      <font>
        <b/>
        <i val="0"/>
      </font>
      <fill>
        <patternFill>
          <bgColor rgb="FF00B050"/>
        </patternFill>
      </fill>
    </dxf>
    <dxf>
      <font>
        <b/>
        <i val="0"/>
      </font>
      <fill>
        <patternFill>
          <bgColor rgb="FFFF0000"/>
        </patternFill>
      </fill>
    </dxf>
    <dxf>
      <font>
        <b/>
        <i val="0"/>
      </font>
      <fill>
        <patternFill>
          <bgColor rgb="FFFFFF00"/>
        </patternFill>
      </fill>
    </dxf>
    <dxf>
      <font>
        <b/>
        <i val="0"/>
      </font>
      <fill>
        <patternFill>
          <bgColor rgb="FF00B050"/>
        </patternFill>
      </fill>
    </dxf>
    <dxf>
      <font>
        <b/>
        <i val="0"/>
      </font>
      <fill>
        <patternFill>
          <bgColor rgb="FFFF0000"/>
        </patternFill>
      </fill>
    </dxf>
    <dxf>
      <font>
        <b/>
        <i val="0"/>
      </font>
      <fill>
        <patternFill>
          <bgColor rgb="FFFFFF00"/>
        </patternFill>
      </fill>
    </dxf>
    <dxf>
      <fill>
        <patternFill>
          <bgColor rgb="FFFF0000"/>
        </patternFill>
      </fill>
    </dxf>
    <dxf>
      <fill>
        <patternFill>
          <bgColor rgb="FF00B050"/>
        </patternFill>
      </fill>
    </dxf>
    <dxf>
      <fill>
        <patternFill>
          <bgColor rgb="FFFFC000"/>
        </patternFill>
      </fill>
    </dxf>
  </dxfs>
  <tableStyles count="0" defaultTableStyle="TableStyleMedium2" defaultPivotStyle="PivotStyleLight16"/>
  <colors>
    <mruColors>
      <color rgb="FF990033"/>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Balances</a:t>
            </a:r>
          </a:p>
        </c:rich>
      </c:tx>
      <c:overlay val="0"/>
    </c:title>
    <c:autoTitleDeleted val="0"/>
    <c:plotArea>
      <c:layout/>
      <c:barChart>
        <c:barDir val="col"/>
        <c:grouping val="clustered"/>
        <c:varyColors val="0"/>
        <c:ser>
          <c:idx val="0"/>
          <c:order val="0"/>
          <c:tx>
            <c:v>In-year balance</c:v>
          </c:tx>
          <c:invertIfNegative val="0"/>
          <c:cat>
            <c:numRef>
              <c:f>'4 summary data'!$B$2:$D$2</c:f>
              <c:numCache>
                <c:formatCode>General</c:formatCode>
                <c:ptCount val="3"/>
                <c:pt idx="0" formatCode="0">
                  <c:v>2024</c:v>
                </c:pt>
                <c:pt idx="1">
                  <c:v>2025</c:v>
                </c:pt>
                <c:pt idx="2">
                  <c:v>2026</c:v>
                </c:pt>
              </c:numCache>
            </c:numRef>
          </c:cat>
          <c:val>
            <c:numRef>
              <c:f>'4 summary data'!$B$42:$D$42</c:f>
              <c:numCache>
                <c:formatCode>"£"#,##0_);[Red]\("£"#,##0\)</c:formatCode>
                <c:ptCount val="3"/>
                <c:pt idx="0">
                  <c:v>10000</c:v>
                </c:pt>
                <c:pt idx="1">
                  <c:v>10000</c:v>
                </c:pt>
                <c:pt idx="2">
                  <c:v>10000</c:v>
                </c:pt>
              </c:numCache>
            </c:numRef>
          </c:val>
          <c:extLst>
            <c:ext xmlns:c16="http://schemas.microsoft.com/office/drawing/2014/chart" uri="{C3380CC4-5D6E-409C-BE32-E72D297353CC}">
              <c16:uniqueId val="{00000000-F7C7-4665-9A62-AF0F9A4A3736}"/>
            </c:ext>
          </c:extLst>
        </c:ser>
        <c:ser>
          <c:idx val="1"/>
          <c:order val="1"/>
          <c:tx>
            <c:v>Cumulative Balance</c:v>
          </c:tx>
          <c:invertIfNegative val="0"/>
          <c:cat>
            <c:numRef>
              <c:f>'4 summary data'!$B$2:$D$2</c:f>
              <c:numCache>
                <c:formatCode>General</c:formatCode>
                <c:ptCount val="3"/>
                <c:pt idx="0" formatCode="0">
                  <c:v>2024</c:v>
                </c:pt>
                <c:pt idx="1">
                  <c:v>2025</c:v>
                </c:pt>
                <c:pt idx="2">
                  <c:v>2026</c:v>
                </c:pt>
              </c:numCache>
            </c:numRef>
          </c:cat>
          <c:val>
            <c:numRef>
              <c:f>'4 summary data'!$B$44:$D$44</c:f>
              <c:numCache>
                <c:formatCode>"£"#,##0_);[Red]\("£"#,##0\)</c:formatCode>
                <c:ptCount val="3"/>
                <c:pt idx="0">
                  <c:v>10000</c:v>
                </c:pt>
                <c:pt idx="1">
                  <c:v>20000</c:v>
                </c:pt>
                <c:pt idx="2">
                  <c:v>30000</c:v>
                </c:pt>
              </c:numCache>
            </c:numRef>
          </c:val>
          <c:extLst>
            <c:ext xmlns:c16="http://schemas.microsoft.com/office/drawing/2014/chart" uri="{C3380CC4-5D6E-409C-BE32-E72D297353CC}">
              <c16:uniqueId val="{00000001-F7C7-4665-9A62-AF0F9A4A3736}"/>
            </c:ext>
          </c:extLst>
        </c:ser>
        <c:dLbls>
          <c:showLegendKey val="0"/>
          <c:showVal val="0"/>
          <c:showCatName val="0"/>
          <c:showSerName val="0"/>
          <c:showPercent val="0"/>
          <c:showBubbleSize val="0"/>
        </c:dLbls>
        <c:gapWidth val="150"/>
        <c:axId val="77261824"/>
        <c:axId val="77263616"/>
      </c:barChart>
      <c:catAx>
        <c:axId val="77261824"/>
        <c:scaling>
          <c:orientation val="minMax"/>
        </c:scaling>
        <c:delete val="0"/>
        <c:axPos val="b"/>
        <c:numFmt formatCode="0" sourceLinked="1"/>
        <c:majorTickMark val="out"/>
        <c:minorTickMark val="none"/>
        <c:tickLblPos val="nextTo"/>
        <c:crossAx val="77263616"/>
        <c:crosses val="autoZero"/>
        <c:auto val="1"/>
        <c:lblAlgn val="ctr"/>
        <c:lblOffset val="100"/>
        <c:noMultiLvlLbl val="0"/>
      </c:catAx>
      <c:valAx>
        <c:axId val="77263616"/>
        <c:scaling>
          <c:orientation val="minMax"/>
        </c:scaling>
        <c:delete val="0"/>
        <c:axPos val="l"/>
        <c:majorGridlines/>
        <c:numFmt formatCode="&quot;£&quot;#,##0_);[Red]\(&quot;£&quot;#,##0\)" sourceLinked="1"/>
        <c:majorTickMark val="out"/>
        <c:minorTickMark val="none"/>
        <c:tickLblPos val="nextTo"/>
        <c:crossAx val="77261824"/>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Balance</a:t>
            </a:r>
            <a:r>
              <a:rPr lang="en-GB" baseline="0"/>
              <a:t>s as percentage of in-year revenue</a:t>
            </a:r>
            <a:endParaRPr lang="en-GB"/>
          </a:p>
        </c:rich>
      </c:tx>
      <c:overlay val="0"/>
    </c:title>
    <c:autoTitleDeleted val="0"/>
    <c:plotArea>
      <c:layout/>
      <c:barChart>
        <c:barDir val="col"/>
        <c:grouping val="clustered"/>
        <c:varyColors val="0"/>
        <c:ser>
          <c:idx val="0"/>
          <c:order val="0"/>
          <c:tx>
            <c:v>In-year balance</c:v>
          </c:tx>
          <c:invertIfNegative val="0"/>
          <c:cat>
            <c:numRef>
              <c:f>'4 summary data'!$B$2:$D$2</c:f>
              <c:numCache>
                <c:formatCode>General</c:formatCode>
                <c:ptCount val="3"/>
                <c:pt idx="0" formatCode="0">
                  <c:v>2024</c:v>
                </c:pt>
                <c:pt idx="1">
                  <c:v>2025</c:v>
                </c:pt>
                <c:pt idx="2">
                  <c:v>2026</c:v>
                </c:pt>
              </c:numCache>
            </c:numRef>
          </c:cat>
          <c:val>
            <c:numRef>
              <c:f>'4 summary data'!$B$57:$D$57</c:f>
              <c:numCache>
                <c:formatCode>0.00_ ;[Red]\-0.00\ </c:formatCode>
                <c:ptCount val="3"/>
                <c:pt idx="0">
                  <c:v>0.22222222222222221</c:v>
                </c:pt>
                <c:pt idx="1">
                  <c:v>0.22222222222222221</c:v>
                </c:pt>
                <c:pt idx="2">
                  <c:v>0.22222222222222221</c:v>
                </c:pt>
              </c:numCache>
            </c:numRef>
          </c:val>
          <c:extLst>
            <c:ext xmlns:c16="http://schemas.microsoft.com/office/drawing/2014/chart" uri="{C3380CC4-5D6E-409C-BE32-E72D297353CC}">
              <c16:uniqueId val="{00000000-7F3E-466B-9E72-F0323C2DADF5}"/>
            </c:ext>
          </c:extLst>
        </c:ser>
        <c:ser>
          <c:idx val="1"/>
          <c:order val="1"/>
          <c:tx>
            <c:v>Cumulative balance</c:v>
          </c:tx>
          <c:invertIfNegative val="0"/>
          <c:cat>
            <c:numRef>
              <c:f>'4 summary data'!$B$2:$D$2</c:f>
              <c:numCache>
                <c:formatCode>General</c:formatCode>
                <c:ptCount val="3"/>
                <c:pt idx="0" formatCode="0">
                  <c:v>2024</c:v>
                </c:pt>
                <c:pt idx="1">
                  <c:v>2025</c:v>
                </c:pt>
                <c:pt idx="2">
                  <c:v>2026</c:v>
                </c:pt>
              </c:numCache>
            </c:numRef>
          </c:cat>
          <c:val>
            <c:numRef>
              <c:f>'4 summary data'!$B$58:$D$58</c:f>
              <c:numCache>
                <c:formatCode>0.00_ ;[Red]\-0.00\ </c:formatCode>
                <c:ptCount val="3"/>
                <c:pt idx="0">
                  <c:v>0.22222222222222221</c:v>
                </c:pt>
                <c:pt idx="1">
                  <c:v>0.44444444444444442</c:v>
                </c:pt>
                <c:pt idx="2">
                  <c:v>0.66666666666666663</c:v>
                </c:pt>
              </c:numCache>
            </c:numRef>
          </c:val>
          <c:extLst>
            <c:ext xmlns:c16="http://schemas.microsoft.com/office/drawing/2014/chart" uri="{C3380CC4-5D6E-409C-BE32-E72D297353CC}">
              <c16:uniqueId val="{00000001-7F3E-466B-9E72-F0323C2DADF5}"/>
            </c:ext>
          </c:extLst>
        </c:ser>
        <c:dLbls>
          <c:showLegendKey val="0"/>
          <c:showVal val="0"/>
          <c:showCatName val="0"/>
          <c:showSerName val="0"/>
          <c:showPercent val="0"/>
          <c:showBubbleSize val="0"/>
        </c:dLbls>
        <c:gapWidth val="150"/>
        <c:axId val="78915072"/>
        <c:axId val="78916608"/>
      </c:barChart>
      <c:catAx>
        <c:axId val="78915072"/>
        <c:scaling>
          <c:orientation val="minMax"/>
        </c:scaling>
        <c:delete val="0"/>
        <c:axPos val="b"/>
        <c:numFmt formatCode="0" sourceLinked="1"/>
        <c:majorTickMark val="out"/>
        <c:minorTickMark val="none"/>
        <c:tickLblPos val="nextTo"/>
        <c:crossAx val="78916608"/>
        <c:crosses val="autoZero"/>
        <c:auto val="1"/>
        <c:lblAlgn val="ctr"/>
        <c:lblOffset val="100"/>
        <c:noMultiLvlLbl val="0"/>
      </c:catAx>
      <c:valAx>
        <c:axId val="78916608"/>
        <c:scaling>
          <c:orientation val="minMax"/>
        </c:scaling>
        <c:delete val="0"/>
        <c:axPos val="l"/>
        <c:majorGridlines/>
        <c:title>
          <c:tx>
            <c:rich>
              <a:bodyPr rot="-5400000" vert="horz"/>
              <a:lstStyle/>
              <a:p>
                <a:pPr>
                  <a:defRPr/>
                </a:pPr>
                <a:r>
                  <a:rPr lang="en-US"/>
                  <a:t>Percentage of in-year revenue</a:t>
                </a:r>
              </a:p>
            </c:rich>
          </c:tx>
          <c:overlay val="0"/>
        </c:title>
        <c:numFmt formatCode="0.00_ ;[Red]\-0.00\ " sourceLinked="1"/>
        <c:majorTickMark val="out"/>
        <c:minorTickMark val="none"/>
        <c:tickLblPos val="nextTo"/>
        <c:crossAx val="78915072"/>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Roll and tp allocations compared</a:t>
            </a:r>
          </a:p>
        </c:rich>
      </c:tx>
      <c:overlay val="0"/>
    </c:title>
    <c:autoTitleDeleted val="0"/>
    <c:plotArea>
      <c:layout/>
      <c:barChart>
        <c:barDir val="col"/>
        <c:grouping val="clustered"/>
        <c:varyColors val="0"/>
        <c:ser>
          <c:idx val="0"/>
          <c:order val="0"/>
          <c:tx>
            <c:v>Pupils as % of total roll</c:v>
          </c:tx>
          <c:invertIfNegative val="0"/>
          <c:cat>
            <c:strRef>
              <c:f>'13 metrics'!$A$31:$A$37</c:f>
              <c:strCache>
                <c:ptCount val="7"/>
                <c:pt idx="0">
                  <c:v>Year 7</c:v>
                </c:pt>
                <c:pt idx="1">
                  <c:v>Year 8</c:v>
                </c:pt>
                <c:pt idx="2">
                  <c:v>Year 9</c:v>
                </c:pt>
                <c:pt idx="3">
                  <c:v>Year 10</c:v>
                </c:pt>
                <c:pt idx="4">
                  <c:v>Year 11</c:v>
                </c:pt>
                <c:pt idx="5">
                  <c:v>Year 12</c:v>
                </c:pt>
                <c:pt idx="6">
                  <c:v>Year 13</c:v>
                </c:pt>
              </c:strCache>
            </c:strRef>
          </c:cat>
          <c:val>
            <c:numRef>
              <c:f>'13 metrics'!$L$31:$L$37</c:f>
              <c:numCache>
                <c:formatCode>0.0</c:formatCode>
                <c:ptCount val="7"/>
                <c:pt idx="0">
                  <c:v>16.555555555555557</c:v>
                </c:pt>
                <c:pt idx="1">
                  <c:v>16.333333333333332</c:v>
                </c:pt>
                <c:pt idx="2">
                  <c:v>16.666666666666668</c:v>
                </c:pt>
                <c:pt idx="3">
                  <c:v>16.777777777777779</c:v>
                </c:pt>
                <c:pt idx="4">
                  <c:v>17</c:v>
                </c:pt>
                <c:pt idx="5">
                  <c:v>8.8888888888888893</c:v>
                </c:pt>
                <c:pt idx="6">
                  <c:v>7.7777777777777777</c:v>
                </c:pt>
              </c:numCache>
            </c:numRef>
          </c:val>
          <c:extLst>
            <c:ext xmlns:c16="http://schemas.microsoft.com/office/drawing/2014/chart" uri="{C3380CC4-5D6E-409C-BE32-E72D297353CC}">
              <c16:uniqueId val="{00000000-8AD9-4C13-8EF8-981F6DD60453}"/>
            </c:ext>
          </c:extLst>
        </c:ser>
        <c:ser>
          <c:idx val="1"/>
          <c:order val="1"/>
          <c:tx>
            <c:v>tp allocation as % of tp total</c:v>
          </c:tx>
          <c:invertIfNegative val="0"/>
          <c:cat>
            <c:strRef>
              <c:f>'13 metrics'!$A$31:$A$37</c:f>
              <c:strCache>
                <c:ptCount val="7"/>
                <c:pt idx="0">
                  <c:v>Year 7</c:v>
                </c:pt>
                <c:pt idx="1">
                  <c:v>Year 8</c:v>
                </c:pt>
                <c:pt idx="2">
                  <c:v>Year 9</c:v>
                </c:pt>
                <c:pt idx="3">
                  <c:v>Year 10</c:v>
                </c:pt>
                <c:pt idx="4">
                  <c:v>Year 11</c:v>
                </c:pt>
                <c:pt idx="5">
                  <c:v>Year 12</c:v>
                </c:pt>
                <c:pt idx="6">
                  <c:v>Year 13</c:v>
                </c:pt>
              </c:strCache>
            </c:strRef>
          </c:cat>
          <c:val>
            <c:numRef>
              <c:f>'13 metrics'!$M$31:$M$37</c:f>
              <c:numCache>
                <c:formatCode>0.0</c:formatCode>
                <c:ptCount val="7"/>
                <c:pt idx="0">
                  <c:v>12.578055307760927</c:v>
                </c:pt>
                <c:pt idx="1">
                  <c:v>12.578055307760927</c:v>
                </c:pt>
                <c:pt idx="2">
                  <c:v>14.451382694023193</c:v>
                </c:pt>
                <c:pt idx="3">
                  <c:v>15.700267618198037</c:v>
                </c:pt>
                <c:pt idx="4">
                  <c:v>15.700267618198037</c:v>
                </c:pt>
                <c:pt idx="5">
                  <c:v>15.611061552185548</c:v>
                </c:pt>
                <c:pt idx="6">
                  <c:v>13.380909901873327</c:v>
                </c:pt>
              </c:numCache>
            </c:numRef>
          </c:val>
          <c:extLst>
            <c:ext xmlns:c16="http://schemas.microsoft.com/office/drawing/2014/chart" uri="{C3380CC4-5D6E-409C-BE32-E72D297353CC}">
              <c16:uniqueId val="{00000001-8AD9-4C13-8EF8-981F6DD60453}"/>
            </c:ext>
          </c:extLst>
        </c:ser>
        <c:dLbls>
          <c:showLegendKey val="0"/>
          <c:showVal val="0"/>
          <c:showCatName val="0"/>
          <c:showSerName val="0"/>
          <c:showPercent val="0"/>
          <c:showBubbleSize val="0"/>
        </c:dLbls>
        <c:gapWidth val="150"/>
        <c:axId val="82896384"/>
        <c:axId val="82897920"/>
      </c:barChart>
      <c:catAx>
        <c:axId val="82896384"/>
        <c:scaling>
          <c:orientation val="minMax"/>
        </c:scaling>
        <c:delete val="0"/>
        <c:axPos val="b"/>
        <c:numFmt formatCode="General" sourceLinked="0"/>
        <c:majorTickMark val="out"/>
        <c:minorTickMark val="none"/>
        <c:tickLblPos val="nextTo"/>
        <c:crossAx val="82897920"/>
        <c:crosses val="autoZero"/>
        <c:auto val="1"/>
        <c:lblAlgn val="ctr"/>
        <c:lblOffset val="100"/>
        <c:noMultiLvlLbl val="0"/>
      </c:catAx>
      <c:valAx>
        <c:axId val="82897920"/>
        <c:scaling>
          <c:orientation val="minMax"/>
        </c:scaling>
        <c:delete val="0"/>
        <c:axPos val="l"/>
        <c:majorGridlines/>
        <c:title>
          <c:tx>
            <c:rich>
              <a:bodyPr rot="-5400000" vert="horz"/>
              <a:lstStyle/>
              <a:p>
                <a:pPr>
                  <a:defRPr/>
                </a:pPr>
                <a:r>
                  <a:rPr lang="en-US"/>
                  <a:t>Percentage</a:t>
                </a:r>
              </a:p>
            </c:rich>
          </c:tx>
          <c:overlay val="0"/>
        </c:title>
        <c:numFmt formatCode="0.0" sourceLinked="1"/>
        <c:majorTickMark val="out"/>
        <c:minorTickMark val="none"/>
        <c:tickLblPos val="nextTo"/>
        <c:crossAx val="82896384"/>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6</xdr:col>
      <xdr:colOff>6350</xdr:colOff>
      <xdr:row>3</xdr:row>
      <xdr:rowOff>14289</xdr:rowOff>
    </xdr:from>
    <xdr:to>
      <xdr:col>11</xdr:col>
      <xdr:colOff>452438</xdr:colOff>
      <xdr:row>21</xdr:row>
      <xdr:rowOff>14288</xdr:rowOff>
    </xdr:to>
    <xdr:graphicFrame macro="">
      <xdr:nvGraphicFramePr>
        <xdr:cNvPr id="2" name="Chart 1" descr="A bar chart showing amounts from £5,000 to £35,000 on the vertical axis and years from 2018 to 2020 on the horizontal axis. There are two bars, one showing in-year balance and one cumulative balance, which will vary from school to school.">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17461</xdr:colOff>
      <xdr:row>23</xdr:row>
      <xdr:rowOff>7938</xdr:rowOff>
    </xdr:from>
    <xdr:to>
      <xdr:col>11</xdr:col>
      <xdr:colOff>503464</xdr:colOff>
      <xdr:row>41</xdr:row>
      <xdr:rowOff>54429</xdr:rowOff>
    </xdr:to>
    <xdr:graphicFrame macro="">
      <xdr:nvGraphicFramePr>
        <xdr:cNvPr id="3" name="Chart 2" descr="A bar chart showing percentage of in-year revenue from 0% to 70% on the vertical axis and years from 2018 to 2020 on the horizontal axis. There are two bars, one showing in-year balance and one cumulative balance, which will vary from school to school.">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342899</xdr:colOff>
      <xdr:row>11</xdr:row>
      <xdr:rowOff>147637</xdr:rowOff>
    </xdr:from>
    <xdr:to>
      <xdr:col>12</xdr:col>
      <xdr:colOff>333374</xdr:colOff>
      <xdr:row>26</xdr:row>
      <xdr:rowOff>33337</xdr:rowOff>
    </xdr:to>
    <xdr:graphicFrame macro="">
      <xdr:nvGraphicFramePr>
        <xdr:cNvPr id="3" name="Chart 2" descr="A bar chart showing percentages from 0 to 18 on the vertical axis and year groups from Year 7 to Year 13 on the horizontal axis. There are two bars, one showing pupils as a percentage of total roll and teacher period allocation as a percentage of total teacher periods.">
          <a:extLst>
            <a:ext uri="{FF2B5EF4-FFF2-40B4-BE49-F238E27FC236}">
              <a16:creationId xmlns:a16="http://schemas.microsoft.com/office/drawing/2014/main" id="{00000000-0008-0000-0C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sheetPr>
  <dimension ref="A1:AI31"/>
  <sheetViews>
    <sheetView showGridLines="0" tabSelected="1" zoomScale="90" zoomScaleNormal="90" workbookViewId="0"/>
  </sheetViews>
  <sheetFormatPr defaultColWidth="0" defaultRowHeight="14.5" zeroHeight="1" x14ac:dyDescent="0.35"/>
  <cols>
    <col min="1" max="1" width="161" style="37" customWidth="1"/>
    <col min="2" max="34" width="9" customWidth="1"/>
    <col min="35" max="35" width="0" hidden="1" customWidth="1"/>
    <col min="36" max="16384" width="9" hidden="1"/>
  </cols>
  <sheetData>
    <row r="1" spans="1:1" ht="68.25" customHeight="1" x14ac:dyDescent="0.35">
      <c r="A1" s="106" t="s">
        <v>455</v>
      </c>
    </row>
    <row r="2" spans="1:1" ht="87" customHeight="1" x14ac:dyDescent="0.35">
      <c r="A2" s="107" t="s">
        <v>544</v>
      </c>
    </row>
    <row r="3" spans="1:1" ht="60.75" customHeight="1" x14ac:dyDescent="0.35">
      <c r="A3" s="108" t="s">
        <v>547</v>
      </c>
    </row>
    <row r="4" spans="1:1" ht="51" customHeight="1" x14ac:dyDescent="0.35">
      <c r="A4" s="107" t="s">
        <v>456</v>
      </c>
    </row>
    <row r="5" spans="1:1" ht="29" x14ac:dyDescent="0.35">
      <c r="A5" s="109" t="s">
        <v>543</v>
      </c>
    </row>
    <row r="6" spans="1:1" x14ac:dyDescent="0.35">
      <c r="A6" s="36"/>
    </row>
    <row r="7" spans="1:1" x14ac:dyDescent="0.35">
      <c r="A7" s="36"/>
    </row>
    <row r="8" spans="1:1" ht="14.65" hidden="1" customHeight="1" x14ac:dyDescent="0.35"/>
    <row r="9" spans="1:1" x14ac:dyDescent="0.35"/>
    <row r="10" spans="1:1" x14ac:dyDescent="0.35"/>
    <row r="11" spans="1:1" x14ac:dyDescent="0.35"/>
    <row r="12" spans="1:1" x14ac:dyDescent="0.35"/>
    <row r="13" spans="1:1" x14ac:dyDescent="0.35"/>
    <row r="14" spans="1:1" x14ac:dyDescent="0.35"/>
    <row r="15" spans="1:1" x14ac:dyDescent="0.35"/>
    <row r="16" spans="1:1" x14ac:dyDescent="0.35"/>
    <row r="17" x14ac:dyDescent="0.35"/>
    <row r="18" x14ac:dyDescent="0.35"/>
    <row r="19" x14ac:dyDescent="0.35"/>
    <row r="20" x14ac:dyDescent="0.35"/>
    <row r="21" x14ac:dyDescent="0.35"/>
    <row r="22" x14ac:dyDescent="0.35"/>
    <row r="23" x14ac:dyDescent="0.35"/>
    <row r="24" x14ac:dyDescent="0.35"/>
    <row r="25" x14ac:dyDescent="0.35"/>
    <row r="26" x14ac:dyDescent="0.35"/>
    <row r="27" x14ac:dyDescent="0.35"/>
    <row r="28" x14ac:dyDescent="0.35"/>
    <row r="29" x14ac:dyDescent="0.35"/>
    <row r="30" x14ac:dyDescent="0.35"/>
    <row r="31" x14ac:dyDescent="0.35"/>
  </sheetData>
  <sheetProtection algorithmName="SHA-512" hashValue="n7EjSjZVE6BNAR1ECH9KjzKlaDZ3BjEt8/iwUFgnTSHXeoPCkmsDmZPyrDXME4wCk1ib/YTENG2qDIPcJSrFRQ==" saltValue="V6I+dzfSPcQs/054sEjw5w==" spinCount="100000" sheet="1" selectLockedCells="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79998168889431442"/>
  </sheetPr>
  <dimension ref="A1:D31"/>
  <sheetViews>
    <sheetView showGridLines="0" zoomScale="75" zoomScaleNormal="75" workbookViewId="0"/>
  </sheetViews>
  <sheetFormatPr defaultRowHeight="14.5" x14ac:dyDescent="0.35"/>
  <cols>
    <col min="1" max="1" width="77.453125" customWidth="1"/>
    <col min="3" max="3" width="107.54296875" customWidth="1"/>
    <col min="4" max="4" width="17" customWidth="1"/>
  </cols>
  <sheetData>
    <row r="1" spans="1:3" ht="21.75" customHeight="1" x14ac:dyDescent="0.35">
      <c r="A1" s="393" t="s">
        <v>541</v>
      </c>
      <c r="B1" s="326"/>
      <c r="C1" s="319"/>
    </row>
    <row r="2" spans="1:3" ht="17.149999999999999" customHeight="1" x14ac:dyDescent="0.35">
      <c r="A2" s="47" t="s">
        <v>24</v>
      </c>
      <c r="B2" s="5">
        <v>800</v>
      </c>
      <c r="C2" s="325" t="s">
        <v>510</v>
      </c>
    </row>
    <row r="3" spans="1:3" ht="17.149999999999999" customHeight="1" x14ac:dyDescent="0.35">
      <c r="A3" s="47" t="s">
        <v>208</v>
      </c>
      <c r="B3" s="5">
        <v>1000</v>
      </c>
      <c r="C3" s="325" t="s">
        <v>510</v>
      </c>
    </row>
    <row r="4" spans="1:3" ht="17.149999999999999" customHeight="1" x14ac:dyDescent="0.35">
      <c r="A4" s="47" t="s">
        <v>209</v>
      </c>
      <c r="B4" s="5">
        <v>25</v>
      </c>
      <c r="C4" s="325" t="s">
        <v>510</v>
      </c>
    </row>
    <row r="5" spans="1:3" ht="17.149999999999999" customHeight="1" x14ac:dyDescent="0.35">
      <c r="A5" s="47" t="s">
        <v>210</v>
      </c>
      <c r="B5" s="6">
        <f>B3/B4</f>
        <v>40</v>
      </c>
      <c r="C5" s="183" t="s">
        <v>234</v>
      </c>
    </row>
    <row r="6" spans="1:3" ht="17.149999999999999" customHeight="1" x14ac:dyDescent="0.35">
      <c r="A6" s="47" t="s">
        <v>211</v>
      </c>
      <c r="B6" s="6">
        <f>B2/B5</f>
        <v>20</v>
      </c>
      <c r="C6" s="183" t="s">
        <v>235</v>
      </c>
    </row>
    <row r="7" spans="1:3" x14ac:dyDescent="0.35">
      <c r="A7" s="324"/>
    </row>
    <row r="8" spans="1:3" s="396" customFormat="1" ht="19.5" customHeight="1" x14ac:dyDescent="0.45">
      <c r="A8" s="394" t="s">
        <v>539</v>
      </c>
      <c r="B8" s="227"/>
      <c r="C8" s="395"/>
    </row>
    <row r="9" spans="1:3" ht="17.149999999999999" customHeight="1" x14ac:dyDescent="0.35">
      <c r="A9" s="47" t="s">
        <v>24</v>
      </c>
      <c r="B9" s="5">
        <v>100</v>
      </c>
      <c r="C9" s="325" t="s">
        <v>510</v>
      </c>
    </row>
    <row r="10" spans="1:3" ht="17.149999999999999" customHeight="1" x14ac:dyDescent="0.35">
      <c r="A10" s="47" t="s">
        <v>208</v>
      </c>
      <c r="B10" s="5">
        <v>200</v>
      </c>
      <c r="C10" s="325" t="s">
        <v>510</v>
      </c>
    </row>
    <row r="11" spans="1:3" ht="17.149999999999999" customHeight="1" x14ac:dyDescent="0.35">
      <c r="A11" s="47" t="s">
        <v>209</v>
      </c>
      <c r="B11" s="5">
        <v>25</v>
      </c>
      <c r="C11" s="325" t="s">
        <v>510</v>
      </c>
    </row>
    <row r="12" spans="1:3" ht="17.149999999999999" customHeight="1" x14ac:dyDescent="0.35">
      <c r="A12" s="47" t="s">
        <v>210</v>
      </c>
      <c r="B12" s="6">
        <f>B10/B11</f>
        <v>8</v>
      </c>
      <c r="C12" s="183" t="s">
        <v>236</v>
      </c>
    </row>
    <row r="13" spans="1:3" ht="17.149999999999999" customHeight="1" x14ac:dyDescent="0.35">
      <c r="A13" s="47" t="s">
        <v>211</v>
      </c>
      <c r="B13" s="6">
        <f>B9/B12</f>
        <v>12.5</v>
      </c>
      <c r="C13" s="183" t="s">
        <v>237</v>
      </c>
    </row>
    <row r="14" spans="1:3" ht="17.149999999999999" customHeight="1" x14ac:dyDescent="0.35">
      <c r="A14" s="47" t="s">
        <v>238</v>
      </c>
      <c r="B14" s="5">
        <v>20</v>
      </c>
      <c r="C14" s="183" t="s">
        <v>511</v>
      </c>
    </row>
    <row r="15" spans="1:3" ht="17.149999999999999" customHeight="1" x14ac:dyDescent="0.35">
      <c r="A15" s="47" t="s">
        <v>241</v>
      </c>
      <c r="B15" s="6">
        <f>B14/B11</f>
        <v>0.8</v>
      </c>
      <c r="C15" s="183" t="s">
        <v>239</v>
      </c>
    </row>
    <row r="16" spans="1:3" ht="17.149999999999999" customHeight="1" x14ac:dyDescent="0.35">
      <c r="A16" s="47" t="s">
        <v>212</v>
      </c>
      <c r="B16" s="6">
        <f>B13*B15</f>
        <v>10</v>
      </c>
      <c r="C16" s="183" t="s">
        <v>240</v>
      </c>
    </row>
    <row r="18" spans="1:4" x14ac:dyDescent="0.35">
      <c r="A18" s="427" t="s">
        <v>401</v>
      </c>
      <c r="B18" s="428"/>
      <c r="C18" s="428"/>
      <c r="D18" s="320"/>
    </row>
    <row r="19" spans="1:4" x14ac:dyDescent="0.35">
      <c r="A19" s="268" t="s">
        <v>395</v>
      </c>
      <c r="B19" s="321"/>
      <c r="C19" s="321"/>
      <c r="D19" s="322"/>
    </row>
    <row r="20" spans="1:4" x14ac:dyDescent="0.35">
      <c r="A20" s="268" t="s">
        <v>396</v>
      </c>
      <c r="B20" s="321"/>
      <c r="C20" s="321"/>
      <c r="D20" s="322"/>
    </row>
    <row r="21" spans="1:4" x14ac:dyDescent="0.35">
      <c r="A21" s="268" t="s">
        <v>397</v>
      </c>
      <c r="B21" s="321"/>
      <c r="C21" s="321"/>
      <c r="D21" s="322"/>
    </row>
    <row r="22" spans="1:4" x14ac:dyDescent="0.35">
      <c r="A22" s="270" t="s">
        <v>398</v>
      </c>
      <c r="B22" s="321"/>
      <c r="C22" s="321"/>
      <c r="D22" s="322"/>
    </row>
    <row r="23" spans="1:4" x14ac:dyDescent="0.35">
      <c r="A23" s="283" t="s">
        <v>403</v>
      </c>
      <c r="B23" s="280"/>
      <c r="C23" s="280"/>
      <c r="D23" s="323"/>
    </row>
    <row r="24" spans="1:4" s="397" customFormat="1" x14ac:dyDescent="0.35">
      <c r="A24" s="398"/>
    </row>
    <row r="25" spans="1:4" ht="35.25" customHeight="1" x14ac:dyDescent="0.35">
      <c r="A25" s="425" t="s">
        <v>540</v>
      </c>
      <c r="B25" s="426"/>
      <c r="C25" s="426"/>
      <c r="D25" s="320"/>
    </row>
    <row r="26" spans="1:4" x14ac:dyDescent="0.35">
      <c r="A26" s="269" t="s">
        <v>400</v>
      </c>
      <c r="B26" s="321"/>
      <c r="C26" s="321"/>
      <c r="D26" s="322"/>
    </row>
    <row r="27" spans="1:4" x14ac:dyDescent="0.35">
      <c r="A27" s="269" t="s">
        <v>402</v>
      </c>
      <c r="B27" s="321"/>
      <c r="C27" s="321"/>
      <c r="D27" s="322"/>
    </row>
    <row r="28" spans="1:4" x14ac:dyDescent="0.35">
      <c r="A28" s="268" t="s">
        <v>399</v>
      </c>
      <c r="B28" s="321"/>
      <c r="C28" s="321"/>
      <c r="D28" s="322"/>
    </row>
    <row r="29" spans="1:4" x14ac:dyDescent="0.35">
      <c r="A29" s="269" t="s">
        <v>404</v>
      </c>
      <c r="B29" s="321"/>
      <c r="C29" s="321"/>
      <c r="D29" s="322"/>
    </row>
    <row r="30" spans="1:4" x14ac:dyDescent="0.35">
      <c r="A30" s="269" t="s">
        <v>405</v>
      </c>
      <c r="B30" s="321"/>
      <c r="C30" s="321"/>
      <c r="D30" s="322"/>
    </row>
    <row r="31" spans="1:4" x14ac:dyDescent="0.35">
      <c r="A31" s="283" t="s">
        <v>406</v>
      </c>
      <c r="B31" s="280"/>
      <c r="C31" s="280"/>
      <c r="D31" s="323"/>
    </row>
  </sheetData>
  <sheetProtection algorithmName="SHA-512" hashValue="cUI0uT8wYUXDbQCuVwU5dW3g1GN+SmRjG/5L4aDFlK2bq06DhIMoiIS0lk8biQSCWi1CB5YG/tURnMJbP7XhCA==" saltValue="TY/rIvJU6s0UlQiBbcroAg==" spinCount="100000" sheet="1" objects="1" scenarios="1"/>
  <mergeCells count="2">
    <mergeCell ref="A25:C25"/>
    <mergeCell ref="A18:C18"/>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79998168889431442"/>
  </sheetPr>
  <dimension ref="A1:Q66"/>
  <sheetViews>
    <sheetView showGridLines="0" zoomScale="75" zoomScaleNormal="75" workbookViewId="0">
      <selection sqref="A1:Q1"/>
    </sheetView>
  </sheetViews>
  <sheetFormatPr defaultColWidth="9.1796875" defaultRowHeight="14.5" x14ac:dyDescent="0.35"/>
  <cols>
    <col min="1" max="1" width="12" style="1" customWidth="1"/>
    <col min="2" max="2" width="11.81640625" style="1" customWidth="1"/>
    <col min="3" max="3" width="12" style="1" customWidth="1"/>
    <col min="4" max="4" width="17.453125" style="1" customWidth="1"/>
    <col min="5" max="5" width="10.1796875" style="1" customWidth="1"/>
    <col min="6" max="6" width="10" style="1" customWidth="1"/>
    <col min="7" max="7" width="11.26953125" style="1" customWidth="1"/>
    <col min="8" max="10" width="9.1796875" style="1"/>
    <col min="11" max="11" width="11" style="1" customWidth="1"/>
    <col min="12" max="14" width="9.1796875" style="1"/>
    <col min="15" max="15" width="11.54296875" style="1" customWidth="1"/>
    <col min="16" max="16" width="9.1796875" style="1"/>
    <col min="17" max="17" width="149" style="1" customWidth="1"/>
    <col min="18" max="16384" width="9.1796875" style="1"/>
  </cols>
  <sheetData>
    <row r="1" spans="1:17" ht="105" customHeight="1" x14ac:dyDescent="0.35">
      <c r="A1" s="429" t="s">
        <v>537</v>
      </c>
      <c r="B1" s="430"/>
      <c r="C1" s="430"/>
      <c r="D1" s="430"/>
      <c r="E1" s="430"/>
      <c r="F1" s="430"/>
      <c r="G1" s="430"/>
      <c r="H1" s="430"/>
      <c r="I1" s="430"/>
      <c r="J1" s="430"/>
      <c r="K1" s="430"/>
      <c r="L1" s="430"/>
      <c r="M1" s="430"/>
      <c r="N1" s="430"/>
      <c r="O1" s="430"/>
      <c r="P1" s="430"/>
      <c r="Q1" s="431"/>
    </row>
    <row r="2" spans="1:17" s="392" customFormat="1" ht="140.25" customHeight="1" x14ac:dyDescent="0.35">
      <c r="A2" s="432" t="s">
        <v>529</v>
      </c>
      <c r="B2" s="433"/>
      <c r="C2" s="433"/>
      <c r="D2" s="433"/>
      <c r="E2" s="433"/>
      <c r="F2" s="433"/>
      <c r="G2" s="433"/>
      <c r="H2" s="433"/>
      <c r="I2" s="433"/>
      <c r="J2" s="433"/>
      <c r="K2" s="433"/>
      <c r="L2" s="433"/>
      <c r="M2" s="433"/>
      <c r="N2" s="433"/>
      <c r="O2" s="433"/>
      <c r="P2" s="433"/>
      <c r="Q2" s="434"/>
    </row>
    <row r="3" spans="1:17" ht="105.75" customHeight="1" x14ac:dyDescent="0.35">
      <c r="A3" s="410" t="s">
        <v>538</v>
      </c>
      <c r="B3" s="411"/>
      <c r="C3" s="411"/>
      <c r="D3" s="411"/>
      <c r="E3" s="411"/>
      <c r="F3" s="411"/>
      <c r="G3" s="411"/>
      <c r="H3" s="411"/>
      <c r="I3" s="411"/>
      <c r="J3" s="411"/>
      <c r="K3" s="411"/>
      <c r="L3" s="411"/>
      <c r="M3" s="411"/>
      <c r="N3" s="411"/>
      <c r="O3" s="411"/>
      <c r="P3" s="411"/>
      <c r="Q3" s="412"/>
    </row>
    <row r="4" spans="1:17" s="38" customFormat="1" x14ac:dyDescent="0.35">
      <c r="A4" s="389"/>
    </row>
    <row r="5" spans="1:17" s="38" customFormat="1" x14ac:dyDescent="0.35">
      <c r="A5" s="390" t="s">
        <v>528</v>
      </c>
      <c r="B5" s="265"/>
      <c r="C5" s="265"/>
      <c r="D5" s="265"/>
      <c r="E5" s="265"/>
      <c r="F5" s="265"/>
      <c r="G5" s="265"/>
      <c r="H5" s="265"/>
      <c r="I5" s="265"/>
      <c r="J5" s="265"/>
      <c r="K5" s="265"/>
      <c r="L5" s="265"/>
      <c r="M5" s="265"/>
      <c r="N5" s="266"/>
    </row>
    <row r="6" spans="1:17" s="38" customFormat="1" x14ac:dyDescent="0.35">
      <c r="A6" s="391" t="s">
        <v>407</v>
      </c>
      <c r="B6" s="272"/>
      <c r="C6" s="272"/>
      <c r="D6" s="272"/>
      <c r="E6" s="272"/>
      <c r="F6" s="272"/>
      <c r="G6" s="272"/>
      <c r="H6" s="272"/>
      <c r="I6" s="272"/>
      <c r="J6" s="272"/>
      <c r="K6" s="272"/>
      <c r="L6" s="272"/>
      <c r="M6" s="272"/>
      <c r="N6" s="273"/>
    </row>
    <row r="8" spans="1:17" ht="18" customHeight="1" x14ac:dyDescent="0.35">
      <c r="A8" s="435" t="s">
        <v>253</v>
      </c>
      <c r="B8" s="436"/>
      <c r="C8" s="436"/>
      <c r="D8" s="436"/>
      <c r="E8" s="437"/>
      <c r="F8" s="345"/>
      <c r="G8" s="345"/>
      <c r="H8" s="345"/>
      <c r="I8" s="345"/>
      <c r="J8" s="345"/>
      <c r="K8" s="345"/>
      <c r="L8" s="345"/>
      <c r="M8" s="345"/>
      <c r="N8" s="345"/>
      <c r="O8" s="345"/>
      <c r="P8" s="345"/>
    </row>
    <row r="9" spans="1:17" ht="18" customHeight="1" x14ac:dyDescent="0.35">
      <c r="A9" s="213" t="s">
        <v>220</v>
      </c>
      <c r="B9" s="214"/>
      <c r="C9" s="215"/>
      <c r="D9" s="6">
        <v>43</v>
      </c>
      <c r="E9" s="29"/>
    </row>
    <row r="10" spans="1:17" ht="18" customHeight="1" x14ac:dyDescent="0.35">
      <c r="A10" s="213" t="s">
        <v>209</v>
      </c>
      <c r="B10" s="214"/>
      <c r="C10" s="215"/>
      <c r="D10" s="6">
        <v>25</v>
      </c>
      <c r="E10" s="30"/>
    </row>
    <row r="11" spans="1:17" ht="18" customHeight="1" x14ac:dyDescent="0.35">
      <c r="A11" s="213" t="s">
        <v>254</v>
      </c>
      <c r="B11" s="214"/>
      <c r="C11" s="215"/>
      <c r="D11" s="6">
        <f>C20</f>
        <v>822</v>
      </c>
      <c r="E11" s="30"/>
    </row>
    <row r="12" spans="1:17" ht="18" customHeight="1" x14ac:dyDescent="0.35">
      <c r="A12" s="213" t="s">
        <v>255</v>
      </c>
      <c r="B12" s="214"/>
      <c r="C12" s="215"/>
      <c r="D12" s="194">
        <f>D11/D9</f>
        <v>19.11627906976744</v>
      </c>
      <c r="E12" s="30"/>
    </row>
    <row r="13" spans="1:17" ht="18" customHeight="1" x14ac:dyDescent="0.35">
      <c r="A13" s="213" t="s">
        <v>256</v>
      </c>
      <c r="B13" s="214"/>
      <c r="C13" s="215"/>
      <c r="D13" s="195">
        <f>D12/D10</f>
        <v>0.76465116279069756</v>
      </c>
      <c r="E13" s="31"/>
      <c r="F13" s="32"/>
      <c r="G13" s="32"/>
      <c r="H13" s="32"/>
      <c r="I13" s="32"/>
      <c r="J13" s="32"/>
      <c r="K13" s="32"/>
      <c r="L13" s="32"/>
      <c r="M13" s="32"/>
      <c r="N13" s="32"/>
      <c r="O13" s="32"/>
    </row>
    <row r="14" spans="1:17" s="12" customFormat="1" ht="42.75" customHeight="1" x14ac:dyDescent="0.35">
      <c r="A14" s="185" t="s">
        <v>257</v>
      </c>
      <c r="B14" s="185" t="s">
        <v>32</v>
      </c>
      <c r="C14" s="185" t="s">
        <v>258</v>
      </c>
      <c r="D14" s="185" t="s">
        <v>264</v>
      </c>
      <c r="E14" s="185" t="s">
        <v>265</v>
      </c>
      <c r="F14" s="185" t="s">
        <v>259</v>
      </c>
      <c r="G14" s="450" t="s">
        <v>260</v>
      </c>
      <c r="H14" s="450"/>
      <c r="I14" s="450"/>
      <c r="J14" s="450"/>
      <c r="K14" s="450"/>
      <c r="L14" s="450"/>
      <c r="M14" s="450"/>
      <c r="N14" s="450"/>
      <c r="O14" s="450"/>
      <c r="P14" s="185" t="s">
        <v>263</v>
      </c>
    </row>
    <row r="15" spans="1:17" ht="18" customHeight="1" x14ac:dyDescent="0.35">
      <c r="A15" s="183" t="s">
        <v>0</v>
      </c>
      <c r="B15" s="6">
        <v>150</v>
      </c>
      <c r="C15" s="6">
        <v>133</v>
      </c>
      <c r="D15" s="9">
        <f>B15*$D$10/27</f>
        <v>138.88888888888889</v>
      </c>
      <c r="E15" s="346">
        <f>C15-D15</f>
        <v>-5.8888888888888857</v>
      </c>
      <c r="F15" s="246">
        <f>E15/D15</f>
        <v>-4.2399999999999979E-2</v>
      </c>
      <c r="G15" s="213" t="s">
        <v>269</v>
      </c>
      <c r="H15" s="214"/>
      <c r="I15" s="214"/>
      <c r="J15" s="214"/>
      <c r="K15" s="214"/>
      <c r="L15" s="214"/>
      <c r="M15" s="214"/>
      <c r="N15" s="214"/>
      <c r="O15" s="215"/>
      <c r="P15" s="9">
        <f>B15*$D$10/C15</f>
        <v>28.195488721804512</v>
      </c>
    </row>
    <row r="16" spans="1:17" ht="18" customHeight="1" x14ac:dyDescent="0.35">
      <c r="A16" s="183" t="s">
        <v>1</v>
      </c>
      <c r="B16" s="6">
        <v>160</v>
      </c>
      <c r="C16" s="6">
        <v>154</v>
      </c>
      <c r="D16" s="9">
        <f t="shared" ref="D16:D20" si="0">B16*$D$10/27</f>
        <v>148.14814814814815</v>
      </c>
      <c r="E16" s="327">
        <f t="shared" ref="E16:E20" si="1">C16-D16</f>
        <v>5.8518518518518476</v>
      </c>
      <c r="F16" s="246">
        <f t="shared" ref="F16:F20" si="2">E16/D16</f>
        <v>3.9499999999999973E-2</v>
      </c>
      <c r="G16" s="213" t="s">
        <v>261</v>
      </c>
      <c r="H16" s="214"/>
      <c r="I16" s="214"/>
      <c r="J16" s="214"/>
      <c r="K16" s="214"/>
      <c r="L16" s="214"/>
      <c r="M16" s="214"/>
      <c r="N16" s="214"/>
      <c r="O16" s="215"/>
      <c r="P16" s="9">
        <f t="shared" ref="P16:P20" si="3">B16*$D$10/C16</f>
        <v>25.974025974025974</v>
      </c>
    </row>
    <row r="17" spans="1:17" ht="18" customHeight="1" x14ac:dyDescent="0.35">
      <c r="A17" s="183" t="s">
        <v>2</v>
      </c>
      <c r="B17" s="6">
        <v>170</v>
      </c>
      <c r="C17" s="6">
        <v>158</v>
      </c>
      <c r="D17" s="9">
        <f t="shared" si="0"/>
        <v>157.40740740740742</v>
      </c>
      <c r="E17" s="327">
        <f t="shared" si="1"/>
        <v>0.59259259259258101</v>
      </c>
      <c r="F17" s="246">
        <f t="shared" si="2"/>
        <v>3.7647058823528671E-3</v>
      </c>
      <c r="G17" s="213" t="s">
        <v>268</v>
      </c>
      <c r="H17" s="214"/>
      <c r="I17" s="214"/>
      <c r="J17" s="214"/>
      <c r="K17" s="214"/>
      <c r="L17" s="214"/>
      <c r="M17" s="214"/>
      <c r="N17" s="214"/>
      <c r="O17" s="215"/>
      <c r="P17" s="9">
        <f t="shared" si="3"/>
        <v>26.898734177215189</v>
      </c>
    </row>
    <row r="18" spans="1:17" ht="18" customHeight="1" x14ac:dyDescent="0.35">
      <c r="A18" s="183" t="s">
        <v>3</v>
      </c>
      <c r="B18" s="6">
        <v>165</v>
      </c>
      <c r="C18" s="6">
        <v>184</v>
      </c>
      <c r="D18" s="9">
        <f t="shared" si="0"/>
        <v>152.77777777777777</v>
      </c>
      <c r="E18" s="327">
        <f t="shared" si="1"/>
        <v>31.222222222222229</v>
      </c>
      <c r="F18" s="246">
        <f t="shared" si="2"/>
        <v>0.20436363636363641</v>
      </c>
      <c r="G18" s="213" t="s">
        <v>262</v>
      </c>
      <c r="H18" s="214"/>
      <c r="I18" s="214"/>
      <c r="J18" s="214"/>
      <c r="K18" s="214"/>
      <c r="L18" s="214"/>
      <c r="M18" s="214"/>
      <c r="N18" s="214"/>
      <c r="O18" s="215"/>
      <c r="P18" s="9">
        <f t="shared" si="3"/>
        <v>22.418478260869566</v>
      </c>
    </row>
    <row r="19" spans="1:17" ht="18" customHeight="1" x14ac:dyDescent="0.35">
      <c r="A19" s="183" t="s">
        <v>4</v>
      </c>
      <c r="B19" s="6">
        <v>180</v>
      </c>
      <c r="C19" s="6">
        <v>193</v>
      </c>
      <c r="D19" s="9">
        <f t="shared" si="0"/>
        <v>166.66666666666666</v>
      </c>
      <c r="E19" s="327">
        <f t="shared" si="1"/>
        <v>26.333333333333343</v>
      </c>
      <c r="F19" s="246">
        <f t="shared" si="2"/>
        <v>0.15800000000000006</v>
      </c>
      <c r="G19" s="213" t="s">
        <v>266</v>
      </c>
      <c r="H19" s="214"/>
      <c r="I19" s="214"/>
      <c r="J19" s="214"/>
      <c r="K19" s="214"/>
      <c r="L19" s="214"/>
      <c r="M19" s="214"/>
      <c r="N19" s="214"/>
      <c r="O19" s="215"/>
      <c r="P19" s="9">
        <f t="shared" si="3"/>
        <v>23.316062176165804</v>
      </c>
    </row>
    <row r="20" spans="1:17" ht="18" customHeight="1" x14ac:dyDescent="0.35">
      <c r="A20" s="6" t="s">
        <v>267</v>
      </c>
      <c r="B20" s="6">
        <f>SUM(B15:B19)</f>
        <v>825</v>
      </c>
      <c r="C20" s="6">
        <f>SUM(C15:C19)</f>
        <v>822</v>
      </c>
      <c r="D20" s="9">
        <f t="shared" si="0"/>
        <v>763.88888888888891</v>
      </c>
      <c r="E20" s="327">
        <f t="shared" si="1"/>
        <v>58.111111111111086</v>
      </c>
      <c r="F20" s="246">
        <f t="shared" si="2"/>
        <v>7.6072727272727236E-2</v>
      </c>
      <c r="G20" s="24"/>
      <c r="H20" s="25"/>
      <c r="I20" s="25"/>
      <c r="J20" s="25"/>
      <c r="K20" s="25"/>
      <c r="L20" s="25"/>
      <c r="M20" s="25"/>
      <c r="N20" s="25"/>
      <c r="O20" s="26"/>
      <c r="P20" s="9">
        <f t="shared" si="3"/>
        <v>25.091240875912408</v>
      </c>
    </row>
    <row r="22" spans="1:17" x14ac:dyDescent="0.35">
      <c r="A22" s="264" t="s">
        <v>409</v>
      </c>
      <c r="B22" s="265"/>
      <c r="C22" s="265"/>
      <c r="D22" s="265"/>
      <c r="E22" s="265"/>
      <c r="F22" s="265"/>
      <c r="G22" s="265"/>
      <c r="H22" s="265"/>
      <c r="I22" s="265"/>
      <c r="J22" s="265"/>
      <c r="K22" s="265"/>
      <c r="L22" s="265"/>
      <c r="M22" s="265"/>
      <c r="N22" s="265"/>
      <c r="O22" s="265"/>
      <c r="P22" s="265"/>
      <c r="Q22" s="266"/>
    </row>
    <row r="23" spans="1:17" x14ac:dyDescent="0.35">
      <c r="A23" s="268" t="s">
        <v>408</v>
      </c>
      <c r="B23" s="169"/>
      <c r="C23" s="169"/>
      <c r="D23" s="169"/>
      <c r="E23" s="169"/>
      <c r="F23" s="169"/>
      <c r="G23" s="169"/>
      <c r="H23" s="169"/>
      <c r="I23" s="169"/>
      <c r="J23" s="169"/>
      <c r="K23" s="169"/>
      <c r="L23" s="169"/>
      <c r="M23" s="169"/>
      <c r="N23" s="169"/>
      <c r="O23" s="169"/>
      <c r="P23" s="169"/>
      <c r="Q23" s="263"/>
    </row>
    <row r="24" spans="1:17" x14ac:dyDescent="0.35">
      <c r="A24" s="268" t="s">
        <v>410</v>
      </c>
      <c r="B24" s="169"/>
      <c r="C24" s="169"/>
      <c r="D24" s="169"/>
      <c r="E24" s="169"/>
      <c r="F24" s="169"/>
      <c r="G24" s="169"/>
      <c r="H24" s="169"/>
      <c r="I24" s="169"/>
      <c r="J24" s="169"/>
      <c r="K24" s="169"/>
      <c r="L24" s="169"/>
      <c r="M24" s="169"/>
      <c r="N24" s="169"/>
      <c r="O24" s="169"/>
      <c r="P24" s="169"/>
      <c r="Q24" s="263"/>
    </row>
    <row r="25" spans="1:17" x14ac:dyDescent="0.35">
      <c r="A25" s="269" t="s">
        <v>411</v>
      </c>
      <c r="B25" s="169"/>
      <c r="C25" s="169"/>
      <c r="D25" s="169"/>
      <c r="E25" s="169"/>
      <c r="F25" s="169"/>
      <c r="G25" s="169"/>
      <c r="H25" s="169"/>
      <c r="I25" s="169"/>
      <c r="J25" s="169"/>
      <c r="K25" s="169"/>
      <c r="L25" s="169"/>
      <c r="M25" s="169"/>
      <c r="N25" s="169"/>
      <c r="O25" s="169"/>
      <c r="P25" s="169"/>
      <c r="Q25" s="263"/>
    </row>
    <row r="26" spans="1:17" x14ac:dyDescent="0.35">
      <c r="A26" s="270" t="s">
        <v>412</v>
      </c>
      <c r="B26" s="169"/>
      <c r="C26" s="169"/>
      <c r="D26" s="169"/>
      <c r="E26" s="169"/>
      <c r="F26" s="169"/>
      <c r="G26" s="169"/>
      <c r="H26" s="169"/>
      <c r="I26" s="169"/>
      <c r="J26" s="169"/>
      <c r="K26" s="169"/>
      <c r="L26" s="169"/>
      <c r="M26" s="169"/>
      <c r="N26" s="169"/>
      <c r="O26" s="169"/>
      <c r="P26" s="169"/>
      <c r="Q26" s="263"/>
    </row>
    <row r="27" spans="1:17" x14ac:dyDescent="0.35">
      <c r="A27" s="268" t="s">
        <v>413</v>
      </c>
      <c r="B27" s="169"/>
      <c r="C27" s="169"/>
      <c r="D27" s="169"/>
      <c r="E27" s="169"/>
      <c r="F27" s="169"/>
      <c r="G27" s="169"/>
      <c r="H27" s="169"/>
      <c r="I27" s="169"/>
      <c r="J27" s="169"/>
      <c r="K27" s="169"/>
      <c r="L27" s="169"/>
      <c r="M27" s="169"/>
      <c r="N27" s="169"/>
      <c r="O27" s="169"/>
      <c r="P27" s="169"/>
      <c r="Q27" s="263"/>
    </row>
    <row r="28" spans="1:17" x14ac:dyDescent="0.35">
      <c r="A28" s="267"/>
      <c r="B28" s="169"/>
      <c r="C28" s="169"/>
      <c r="D28" s="169"/>
      <c r="E28" s="169"/>
      <c r="F28" s="169"/>
      <c r="G28" s="169"/>
      <c r="H28" s="169"/>
      <c r="I28" s="169"/>
      <c r="J28" s="169"/>
      <c r="K28" s="169"/>
      <c r="L28" s="169"/>
      <c r="M28" s="169"/>
      <c r="N28" s="169"/>
      <c r="O28" s="169"/>
      <c r="P28" s="169"/>
      <c r="Q28" s="263"/>
    </row>
    <row r="29" spans="1:17" x14ac:dyDescent="0.35">
      <c r="A29" s="268" t="s">
        <v>414</v>
      </c>
      <c r="B29" s="169"/>
      <c r="C29" s="169"/>
      <c r="D29" s="169"/>
      <c r="E29" s="169"/>
      <c r="F29" s="169"/>
      <c r="G29" s="169"/>
      <c r="H29" s="169"/>
      <c r="I29" s="169"/>
      <c r="J29" s="169"/>
      <c r="K29" s="169"/>
      <c r="L29" s="169"/>
      <c r="M29" s="169"/>
      <c r="N29" s="169"/>
      <c r="O29" s="169"/>
      <c r="P29" s="169"/>
      <c r="Q29" s="263"/>
    </row>
    <row r="30" spans="1:17" x14ac:dyDescent="0.35">
      <c r="A30" s="267"/>
      <c r="B30" s="169"/>
      <c r="C30" s="169"/>
      <c r="D30" s="169"/>
      <c r="E30" s="169"/>
      <c r="F30" s="169"/>
      <c r="G30" s="169"/>
      <c r="H30" s="169"/>
      <c r="I30" s="169"/>
      <c r="J30" s="169"/>
      <c r="K30" s="169"/>
      <c r="L30" s="169"/>
      <c r="M30" s="169"/>
      <c r="N30" s="169"/>
      <c r="O30" s="169"/>
      <c r="P30" s="169"/>
      <c r="Q30" s="263"/>
    </row>
    <row r="31" spans="1:17" x14ac:dyDescent="0.35">
      <c r="A31" s="269" t="s">
        <v>415</v>
      </c>
      <c r="B31" s="169"/>
      <c r="C31" s="169"/>
      <c r="D31" s="169"/>
      <c r="E31" s="169"/>
      <c r="F31" s="169"/>
      <c r="G31" s="169"/>
      <c r="H31" s="169"/>
      <c r="I31" s="169"/>
      <c r="J31" s="169"/>
      <c r="K31" s="169"/>
      <c r="L31" s="169"/>
      <c r="M31" s="169"/>
      <c r="N31" s="169"/>
      <c r="O31" s="169"/>
      <c r="P31" s="169"/>
      <c r="Q31" s="263"/>
    </row>
    <row r="32" spans="1:17" x14ac:dyDescent="0.35">
      <c r="A32" s="269" t="s">
        <v>416</v>
      </c>
      <c r="B32" s="169"/>
      <c r="C32" s="169"/>
      <c r="D32" s="169"/>
      <c r="E32" s="169"/>
      <c r="F32" s="169"/>
      <c r="G32" s="169"/>
      <c r="H32" s="169"/>
      <c r="I32" s="169"/>
      <c r="J32" s="169"/>
      <c r="K32" s="169"/>
      <c r="L32" s="169"/>
      <c r="M32" s="169"/>
      <c r="N32" s="169"/>
      <c r="O32" s="169"/>
      <c r="P32" s="169"/>
      <c r="Q32" s="263"/>
    </row>
    <row r="33" spans="1:17" x14ac:dyDescent="0.35">
      <c r="A33" s="268" t="s">
        <v>417</v>
      </c>
      <c r="B33" s="169"/>
      <c r="C33" s="169"/>
      <c r="D33" s="169"/>
      <c r="E33" s="169"/>
      <c r="F33" s="169"/>
      <c r="G33" s="169"/>
      <c r="H33" s="169"/>
      <c r="I33" s="169"/>
      <c r="J33" s="169"/>
      <c r="K33" s="169"/>
      <c r="L33" s="169"/>
      <c r="M33" s="169"/>
      <c r="N33" s="169"/>
      <c r="O33" s="169"/>
      <c r="P33" s="169"/>
      <c r="Q33" s="263"/>
    </row>
    <row r="34" spans="1:17" x14ac:dyDescent="0.35">
      <c r="A34" s="267"/>
      <c r="B34" s="169"/>
      <c r="C34" s="169"/>
      <c r="D34" s="169"/>
      <c r="E34" s="169"/>
      <c r="F34" s="169"/>
      <c r="G34" s="169"/>
      <c r="H34" s="169"/>
      <c r="I34" s="169"/>
      <c r="J34" s="169"/>
      <c r="K34" s="169"/>
      <c r="L34" s="169"/>
      <c r="M34" s="169"/>
      <c r="N34" s="169"/>
      <c r="O34" s="169"/>
      <c r="P34" s="169"/>
      <c r="Q34" s="263"/>
    </row>
    <row r="35" spans="1:17" x14ac:dyDescent="0.35">
      <c r="A35" s="268" t="s">
        <v>418</v>
      </c>
      <c r="B35" s="169"/>
      <c r="C35" s="169"/>
      <c r="D35" s="169"/>
      <c r="E35" s="169"/>
      <c r="F35" s="169"/>
      <c r="G35" s="169"/>
      <c r="H35" s="169"/>
      <c r="I35" s="169"/>
      <c r="J35" s="169"/>
      <c r="K35" s="169"/>
      <c r="L35" s="169"/>
      <c r="M35" s="169"/>
      <c r="N35" s="169"/>
      <c r="O35" s="169"/>
      <c r="P35" s="169"/>
      <c r="Q35" s="263"/>
    </row>
    <row r="36" spans="1:17" x14ac:dyDescent="0.35">
      <c r="A36" s="267"/>
      <c r="B36" s="169"/>
      <c r="C36" s="169"/>
      <c r="D36" s="169"/>
      <c r="E36" s="169"/>
      <c r="F36" s="169"/>
      <c r="G36" s="169"/>
      <c r="H36" s="169"/>
      <c r="I36" s="169"/>
      <c r="J36" s="169"/>
      <c r="K36" s="169"/>
      <c r="L36" s="169"/>
      <c r="M36" s="169"/>
      <c r="N36" s="169"/>
      <c r="O36" s="169"/>
      <c r="P36" s="169"/>
      <c r="Q36" s="263"/>
    </row>
    <row r="37" spans="1:17" x14ac:dyDescent="0.35">
      <c r="A37" s="269" t="s">
        <v>419</v>
      </c>
      <c r="B37" s="169"/>
      <c r="C37" s="169"/>
      <c r="D37" s="169"/>
      <c r="E37" s="169"/>
      <c r="F37" s="169"/>
      <c r="G37" s="169"/>
      <c r="H37" s="169"/>
      <c r="I37" s="169"/>
      <c r="J37" s="169"/>
      <c r="K37" s="169"/>
      <c r="L37" s="169"/>
      <c r="M37" s="169"/>
      <c r="N37" s="169"/>
      <c r="O37" s="169"/>
      <c r="P37" s="169"/>
      <c r="Q37" s="263"/>
    </row>
    <row r="38" spans="1:17" x14ac:dyDescent="0.35">
      <c r="A38" s="268" t="s">
        <v>420</v>
      </c>
      <c r="B38" s="169"/>
      <c r="C38" s="169"/>
      <c r="D38" s="169"/>
      <c r="E38" s="169"/>
      <c r="F38" s="169"/>
      <c r="G38" s="169"/>
      <c r="H38" s="169"/>
      <c r="I38" s="169"/>
      <c r="J38" s="169"/>
      <c r="K38" s="169"/>
      <c r="L38" s="169"/>
      <c r="M38" s="169"/>
      <c r="N38" s="169"/>
      <c r="O38" s="169"/>
      <c r="P38" s="169"/>
      <c r="Q38" s="263"/>
    </row>
    <row r="39" spans="1:17" x14ac:dyDescent="0.35">
      <c r="A39" s="267"/>
      <c r="B39" s="169"/>
      <c r="C39" s="169"/>
      <c r="D39" s="169"/>
      <c r="E39" s="169"/>
      <c r="F39" s="169"/>
      <c r="G39" s="169"/>
      <c r="H39" s="169"/>
      <c r="I39" s="169"/>
      <c r="J39" s="169"/>
      <c r="K39" s="169"/>
      <c r="L39" s="169"/>
      <c r="M39" s="169"/>
      <c r="N39" s="169"/>
      <c r="O39" s="169"/>
      <c r="P39" s="169"/>
      <c r="Q39" s="263"/>
    </row>
    <row r="40" spans="1:17" x14ac:dyDescent="0.35">
      <c r="A40" s="269" t="s">
        <v>421</v>
      </c>
      <c r="B40" s="169"/>
      <c r="C40" s="169"/>
      <c r="D40" s="169"/>
      <c r="E40" s="169"/>
      <c r="F40" s="169"/>
      <c r="G40" s="169"/>
      <c r="H40" s="169"/>
      <c r="I40" s="169"/>
      <c r="J40" s="169"/>
      <c r="K40" s="169"/>
      <c r="L40" s="169"/>
      <c r="M40" s="169"/>
      <c r="N40" s="169"/>
      <c r="O40" s="169"/>
      <c r="P40" s="169"/>
      <c r="Q40" s="263"/>
    </row>
    <row r="41" spans="1:17" x14ac:dyDescent="0.35">
      <c r="A41" s="268" t="s">
        <v>422</v>
      </c>
      <c r="B41" s="169"/>
      <c r="C41" s="169"/>
      <c r="D41" s="169"/>
      <c r="E41" s="169"/>
      <c r="F41" s="169"/>
      <c r="G41" s="169"/>
      <c r="H41" s="169"/>
      <c r="I41" s="169"/>
      <c r="J41" s="169"/>
      <c r="K41" s="169"/>
      <c r="L41" s="169"/>
      <c r="M41" s="169"/>
      <c r="N41" s="169"/>
      <c r="O41" s="169"/>
      <c r="P41" s="169"/>
      <c r="Q41" s="263"/>
    </row>
    <row r="42" spans="1:17" x14ac:dyDescent="0.35">
      <c r="A42" s="270" t="s">
        <v>423</v>
      </c>
      <c r="B42" s="169"/>
      <c r="C42" s="169"/>
      <c r="D42" s="169"/>
      <c r="E42" s="169"/>
      <c r="F42" s="169"/>
      <c r="G42" s="169"/>
      <c r="H42" s="169"/>
      <c r="I42" s="169"/>
      <c r="J42" s="169"/>
      <c r="K42" s="169"/>
      <c r="L42" s="169"/>
      <c r="M42" s="169"/>
      <c r="N42" s="169"/>
      <c r="O42" s="169"/>
      <c r="P42" s="169"/>
      <c r="Q42" s="263"/>
    </row>
    <row r="43" spans="1:17" x14ac:dyDescent="0.35">
      <c r="A43" s="267"/>
      <c r="B43" s="169"/>
      <c r="C43" s="169"/>
      <c r="D43" s="169"/>
      <c r="E43" s="169"/>
      <c r="F43" s="169"/>
      <c r="G43" s="169"/>
      <c r="H43" s="169"/>
      <c r="I43" s="169"/>
      <c r="J43" s="169"/>
      <c r="K43" s="169"/>
      <c r="L43" s="169"/>
      <c r="M43" s="169"/>
      <c r="N43" s="169"/>
      <c r="O43" s="169"/>
      <c r="P43" s="169"/>
      <c r="Q43" s="263"/>
    </row>
    <row r="44" spans="1:17" x14ac:dyDescent="0.35">
      <c r="A44" s="269" t="s">
        <v>424</v>
      </c>
      <c r="B44" s="169"/>
      <c r="C44" s="169"/>
      <c r="D44" s="169"/>
      <c r="E44" s="169"/>
      <c r="F44" s="169"/>
      <c r="G44" s="169"/>
      <c r="H44" s="169"/>
      <c r="I44" s="169"/>
      <c r="J44" s="169"/>
      <c r="K44" s="169"/>
      <c r="L44" s="169"/>
      <c r="M44" s="169"/>
      <c r="N44" s="169"/>
      <c r="O44" s="169"/>
      <c r="P44" s="169"/>
      <c r="Q44" s="263"/>
    </row>
    <row r="45" spans="1:17" x14ac:dyDescent="0.35">
      <c r="A45" s="269" t="s">
        <v>425</v>
      </c>
      <c r="B45" s="169"/>
      <c r="C45" s="169"/>
      <c r="D45" s="169"/>
      <c r="E45" s="169"/>
      <c r="F45" s="169"/>
      <c r="G45" s="169"/>
      <c r="H45" s="169"/>
      <c r="I45" s="169"/>
      <c r="J45" s="169"/>
      <c r="K45" s="169"/>
      <c r="L45" s="169"/>
      <c r="M45" s="169"/>
      <c r="N45" s="169"/>
      <c r="O45" s="169"/>
      <c r="P45" s="169"/>
      <c r="Q45" s="263"/>
    </row>
    <row r="46" spans="1:17" x14ac:dyDescent="0.35">
      <c r="A46" s="283" t="s">
        <v>426</v>
      </c>
      <c r="B46" s="272"/>
      <c r="C46" s="272"/>
      <c r="D46" s="272"/>
      <c r="E46" s="272"/>
      <c r="F46" s="272"/>
      <c r="G46" s="272"/>
      <c r="H46" s="272"/>
      <c r="I46" s="272"/>
      <c r="J46" s="272"/>
      <c r="K46" s="272"/>
      <c r="L46" s="272"/>
      <c r="M46" s="272"/>
      <c r="N46" s="272"/>
      <c r="O46" s="272"/>
      <c r="P46" s="272"/>
      <c r="Q46" s="273"/>
    </row>
    <row r="48" spans="1:17" x14ac:dyDescent="0.35">
      <c r="B48" s="442" t="s">
        <v>278</v>
      </c>
      <c r="C48" s="442"/>
      <c r="D48" s="442"/>
      <c r="E48" s="442"/>
      <c r="F48" s="442"/>
      <c r="G48" s="442"/>
      <c r="H48" s="442"/>
      <c r="I48" s="442"/>
      <c r="J48" s="442"/>
      <c r="K48" s="442"/>
      <c r="L48" s="442"/>
      <c r="M48" s="442"/>
      <c r="N48" s="442"/>
      <c r="O48" s="442"/>
    </row>
    <row r="49" spans="2:15" x14ac:dyDescent="0.35">
      <c r="B49" s="438" t="s">
        <v>270</v>
      </c>
      <c r="C49" s="438"/>
      <c r="D49" s="438"/>
      <c r="E49" s="438"/>
      <c r="F49" s="438"/>
      <c r="G49" s="2">
        <v>0.79</v>
      </c>
      <c r="H49" s="443" t="s">
        <v>277</v>
      </c>
      <c r="I49" s="443"/>
      <c r="J49" s="443"/>
      <c r="K49" s="443"/>
      <c r="L49" s="443"/>
      <c r="M49" s="443"/>
      <c r="N49" s="443"/>
      <c r="O49" s="443"/>
    </row>
    <row r="50" spans="2:15" x14ac:dyDescent="0.35">
      <c r="B50" s="438" t="s">
        <v>276</v>
      </c>
      <c r="C50" s="438"/>
      <c r="D50" s="438"/>
      <c r="E50" s="438"/>
      <c r="F50" s="438"/>
      <c r="G50" s="2">
        <v>8</v>
      </c>
      <c r="H50" s="443" t="s">
        <v>277</v>
      </c>
      <c r="I50" s="443"/>
      <c r="J50" s="443"/>
      <c r="K50" s="443"/>
      <c r="L50" s="443"/>
      <c r="M50" s="443"/>
      <c r="N50" s="443"/>
      <c r="O50" s="443"/>
    </row>
    <row r="51" spans="2:15" x14ac:dyDescent="0.35">
      <c r="B51" s="438" t="s">
        <v>271</v>
      </c>
      <c r="C51" s="438"/>
      <c r="D51" s="438"/>
      <c r="E51" s="438"/>
      <c r="F51" s="438"/>
      <c r="G51" s="2">
        <v>1000</v>
      </c>
      <c r="H51" s="443" t="s">
        <v>277</v>
      </c>
      <c r="I51" s="443"/>
      <c r="J51" s="443"/>
      <c r="K51" s="443"/>
      <c r="L51" s="443"/>
      <c r="M51" s="443"/>
      <c r="N51" s="443"/>
      <c r="O51" s="443"/>
    </row>
    <row r="52" spans="2:15" x14ac:dyDescent="0.35">
      <c r="B52" s="438" t="s">
        <v>209</v>
      </c>
      <c r="C52" s="438"/>
      <c r="D52" s="438"/>
      <c r="E52" s="438"/>
      <c r="F52" s="438"/>
      <c r="G52" s="2">
        <v>25</v>
      </c>
      <c r="H52" s="443" t="s">
        <v>277</v>
      </c>
      <c r="I52" s="443"/>
      <c r="J52" s="443"/>
      <c r="K52" s="443"/>
      <c r="L52" s="443"/>
      <c r="M52" s="443"/>
      <c r="N52" s="443"/>
      <c r="O52" s="443"/>
    </row>
    <row r="53" spans="2:15" x14ac:dyDescent="0.35">
      <c r="B53" s="438" t="s">
        <v>272</v>
      </c>
      <c r="C53" s="438"/>
      <c r="D53" s="438"/>
      <c r="E53" s="438"/>
      <c r="F53" s="438"/>
      <c r="G53" s="9">
        <f>G51*G52/27</f>
        <v>925.92592592592598</v>
      </c>
      <c r="H53" s="438" t="s">
        <v>530</v>
      </c>
      <c r="I53" s="438"/>
      <c r="J53" s="438"/>
      <c r="K53" s="438"/>
      <c r="L53" s="438"/>
      <c r="M53" s="438"/>
      <c r="N53" s="438"/>
      <c r="O53" s="438"/>
    </row>
    <row r="54" spans="2:15" x14ac:dyDescent="0.35">
      <c r="B54" s="438" t="s">
        <v>273</v>
      </c>
      <c r="C54" s="438"/>
      <c r="D54" s="438"/>
      <c r="E54" s="438"/>
      <c r="F54" s="438"/>
      <c r="G54" s="6">
        <f>(ROUNDDOWN(G53*(1+(G50/100)),0))</f>
        <v>1000</v>
      </c>
      <c r="H54" s="438" t="s">
        <v>536</v>
      </c>
      <c r="I54" s="438"/>
      <c r="J54" s="438"/>
      <c r="K54" s="438"/>
      <c r="L54" s="438"/>
      <c r="M54" s="438"/>
      <c r="N54" s="438"/>
      <c r="O54" s="438"/>
    </row>
    <row r="55" spans="2:15" x14ac:dyDescent="0.35">
      <c r="B55" s="438" t="s">
        <v>274</v>
      </c>
      <c r="C55" s="438"/>
      <c r="D55" s="438"/>
      <c r="E55" s="438"/>
      <c r="F55" s="438"/>
      <c r="G55" s="6">
        <f>ROUNDUP(G54/(G52*G49),1)</f>
        <v>50.7</v>
      </c>
      <c r="H55" s="439" t="s">
        <v>531</v>
      </c>
      <c r="I55" s="440"/>
      <c r="J55" s="440"/>
      <c r="K55" s="440"/>
      <c r="L55" s="440"/>
      <c r="M55" s="440"/>
      <c r="N55" s="440"/>
      <c r="O55" s="441"/>
    </row>
    <row r="56" spans="2:15" x14ac:dyDescent="0.35">
      <c r="B56" s="438" t="s">
        <v>275</v>
      </c>
      <c r="C56" s="438"/>
      <c r="D56" s="438"/>
      <c r="E56" s="438"/>
      <c r="F56" s="438"/>
      <c r="G56" s="194">
        <f>G51/G55</f>
        <v>19.723865877712029</v>
      </c>
      <c r="H56" s="438" t="s">
        <v>532</v>
      </c>
      <c r="I56" s="438"/>
      <c r="J56" s="438"/>
      <c r="K56" s="438"/>
      <c r="L56" s="438"/>
      <c r="M56" s="438"/>
      <c r="N56" s="438"/>
      <c r="O56" s="438"/>
    </row>
    <row r="57" spans="2:15" ht="30.75" customHeight="1" x14ac:dyDescent="0.35"/>
    <row r="58" spans="2:15" x14ac:dyDescent="0.35">
      <c r="B58" s="444" t="s">
        <v>283</v>
      </c>
      <c r="C58" s="445"/>
      <c r="D58" s="445"/>
      <c r="E58" s="445"/>
      <c r="F58" s="445"/>
      <c r="G58" s="445"/>
      <c r="H58" s="445"/>
      <c r="I58" s="445"/>
      <c r="J58" s="445"/>
      <c r="K58" s="445"/>
      <c r="L58" s="445"/>
      <c r="M58" s="445"/>
      <c r="N58" s="445"/>
      <c r="O58" s="446"/>
    </row>
    <row r="59" spans="2:15" x14ac:dyDescent="0.35">
      <c r="B59" s="442" t="s">
        <v>279</v>
      </c>
      <c r="C59" s="442"/>
      <c r="D59" s="442"/>
      <c r="E59" s="442"/>
      <c r="F59" s="442"/>
      <c r="G59" s="442"/>
      <c r="H59" s="442"/>
      <c r="I59" s="442"/>
      <c r="J59" s="442"/>
      <c r="K59" s="442"/>
      <c r="L59" s="442"/>
      <c r="M59" s="442"/>
      <c r="N59" s="442"/>
      <c r="O59" s="442"/>
    </row>
    <row r="60" spans="2:15" x14ac:dyDescent="0.35">
      <c r="B60" s="438" t="s">
        <v>270</v>
      </c>
      <c r="C60" s="438"/>
      <c r="D60" s="438"/>
      <c r="E60" s="438"/>
      <c r="F60" s="438"/>
      <c r="G60" s="2">
        <v>0.79</v>
      </c>
      <c r="H60" s="443" t="s">
        <v>277</v>
      </c>
      <c r="I60" s="443"/>
      <c r="J60" s="443"/>
      <c r="K60" s="443"/>
      <c r="L60" s="443"/>
      <c r="M60" s="443"/>
      <c r="N60" s="443"/>
      <c r="O60" s="443"/>
    </row>
    <row r="61" spans="2:15" x14ac:dyDescent="0.35">
      <c r="B61" s="438" t="s">
        <v>280</v>
      </c>
      <c r="C61" s="438"/>
      <c r="D61" s="438"/>
      <c r="E61" s="438"/>
      <c r="F61" s="438"/>
      <c r="G61" s="2">
        <v>25</v>
      </c>
      <c r="H61" s="443" t="s">
        <v>277</v>
      </c>
      <c r="I61" s="443"/>
      <c r="J61" s="443"/>
      <c r="K61" s="443"/>
      <c r="L61" s="443"/>
      <c r="M61" s="443"/>
      <c r="N61" s="443"/>
      <c r="O61" s="443"/>
    </row>
    <row r="62" spans="2:15" x14ac:dyDescent="0.35">
      <c r="B62" s="438" t="s">
        <v>281</v>
      </c>
      <c r="C62" s="438"/>
      <c r="D62" s="438"/>
      <c r="E62" s="438"/>
      <c r="F62" s="438"/>
      <c r="G62" s="2">
        <v>1000</v>
      </c>
      <c r="H62" s="443" t="s">
        <v>277</v>
      </c>
      <c r="I62" s="443"/>
      <c r="J62" s="443"/>
      <c r="K62" s="443"/>
      <c r="L62" s="443"/>
      <c r="M62" s="443"/>
      <c r="N62" s="443"/>
      <c r="O62" s="443"/>
    </row>
    <row r="63" spans="2:15" x14ac:dyDescent="0.35">
      <c r="B63" s="438" t="s">
        <v>209</v>
      </c>
      <c r="C63" s="438"/>
      <c r="D63" s="438"/>
      <c r="E63" s="438"/>
      <c r="F63" s="438"/>
      <c r="G63" s="2">
        <v>25</v>
      </c>
      <c r="H63" s="443" t="s">
        <v>277</v>
      </c>
      <c r="I63" s="443"/>
      <c r="J63" s="443"/>
      <c r="K63" s="443"/>
      <c r="L63" s="443"/>
      <c r="M63" s="443"/>
      <c r="N63" s="443"/>
      <c r="O63" s="443"/>
    </row>
    <row r="64" spans="2:15" x14ac:dyDescent="0.35">
      <c r="B64" s="439" t="s">
        <v>282</v>
      </c>
      <c r="C64" s="440"/>
      <c r="D64" s="440"/>
      <c r="E64" s="440"/>
      <c r="F64" s="441"/>
      <c r="G64" s="6">
        <f>ROUNDDOWN(G62*G63/G61,1)</f>
        <v>1000</v>
      </c>
      <c r="H64" s="447" t="s">
        <v>533</v>
      </c>
      <c r="I64" s="448"/>
      <c r="J64" s="448"/>
      <c r="K64" s="448"/>
      <c r="L64" s="448"/>
      <c r="M64" s="448"/>
      <c r="N64" s="448"/>
      <c r="O64" s="449"/>
    </row>
    <row r="65" spans="2:15" x14ac:dyDescent="0.35">
      <c r="B65" s="438" t="s">
        <v>274</v>
      </c>
      <c r="C65" s="438"/>
      <c r="D65" s="438"/>
      <c r="E65" s="438"/>
      <c r="F65" s="438"/>
      <c r="G65" s="6">
        <f>ROUNDUP(G64/(G60*G63),1)</f>
        <v>50.7</v>
      </c>
      <c r="H65" s="439" t="s">
        <v>534</v>
      </c>
      <c r="I65" s="440"/>
      <c r="J65" s="440"/>
      <c r="K65" s="440"/>
      <c r="L65" s="440"/>
      <c r="M65" s="440"/>
      <c r="N65" s="440"/>
      <c r="O65" s="441"/>
    </row>
    <row r="66" spans="2:15" x14ac:dyDescent="0.35">
      <c r="B66" s="438" t="s">
        <v>275</v>
      </c>
      <c r="C66" s="438"/>
      <c r="D66" s="438"/>
      <c r="E66" s="438"/>
      <c r="F66" s="438"/>
      <c r="G66" s="194">
        <f>G62/G65</f>
        <v>19.723865877712029</v>
      </c>
      <c r="H66" s="438" t="s">
        <v>535</v>
      </c>
      <c r="I66" s="438"/>
      <c r="J66" s="438"/>
      <c r="K66" s="438"/>
      <c r="L66" s="438"/>
      <c r="M66" s="438"/>
      <c r="N66" s="438"/>
      <c r="O66" s="438"/>
    </row>
  </sheetData>
  <sheetProtection algorithmName="SHA-512" hashValue="Mw3s7Fu0sw5WWtPCSsbTH+72BerblzhunCe3+CiqYvl3vWuLmFnqaHdPle9EwGVtvt9dM+inOZK5BHJCv5O/8Q==" saltValue="4UUawYZpskSqrDVhUKKxdA==" spinCount="100000" sheet="1" objects="1" scenarios="1"/>
  <mergeCells count="38">
    <mergeCell ref="H56:O56"/>
    <mergeCell ref="G14:O14"/>
    <mergeCell ref="B50:F50"/>
    <mergeCell ref="B51:F51"/>
    <mergeCell ref="B53:F53"/>
    <mergeCell ref="B54:F54"/>
    <mergeCell ref="B49:F49"/>
    <mergeCell ref="B48:O48"/>
    <mergeCell ref="H49:O49"/>
    <mergeCell ref="B52:F52"/>
    <mergeCell ref="H53:O53"/>
    <mergeCell ref="H52:O52"/>
    <mergeCell ref="H51:O51"/>
    <mergeCell ref="H50:O50"/>
    <mergeCell ref="B66:F66"/>
    <mergeCell ref="H66:O66"/>
    <mergeCell ref="B64:F64"/>
    <mergeCell ref="H64:O64"/>
    <mergeCell ref="B62:F62"/>
    <mergeCell ref="H62:O62"/>
    <mergeCell ref="B63:F63"/>
    <mergeCell ref="H63:O63"/>
    <mergeCell ref="A1:Q1"/>
    <mergeCell ref="A2:Q2"/>
    <mergeCell ref="A3:Q3"/>
    <mergeCell ref="A8:E8"/>
    <mergeCell ref="B65:F65"/>
    <mergeCell ref="H65:O65"/>
    <mergeCell ref="H55:O55"/>
    <mergeCell ref="B59:O59"/>
    <mergeCell ref="B60:F60"/>
    <mergeCell ref="H60:O60"/>
    <mergeCell ref="B61:F61"/>
    <mergeCell ref="B55:F55"/>
    <mergeCell ref="H61:O61"/>
    <mergeCell ref="B58:O58"/>
    <mergeCell ref="B56:F56"/>
    <mergeCell ref="H54:O54"/>
  </mergeCells>
  <pageMargins left="0.7" right="0.7" top="0.75" bottom="0.75" header="0.3" footer="0.3"/>
  <pageSetup paperSize="9" orientation="portrait" horizontalDpi="4294967294"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tint="0.79998168889431442"/>
  </sheetPr>
  <dimension ref="A1:Z31"/>
  <sheetViews>
    <sheetView showGridLines="0" zoomScale="75" zoomScaleNormal="75" workbookViewId="0"/>
  </sheetViews>
  <sheetFormatPr defaultColWidth="9.1796875" defaultRowHeight="14.5" x14ac:dyDescent="0.35"/>
  <cols>
    <col min="1" max="1" width="9.1796875" style="1"/>
    <col min="2" max="2" width="36.26953125" style="1" customWidth="1"/>
    <col min="3" max="4" width="9.1796875" style="1"/>
    <col min="5" max="5" width="10.54296875" style="1" customWidth="1"/>
    <col min="6" max="9" width="9.1796875" style="1"/>
    <col min="10" max="10" width="13.26953125" style="1" customWidth="1"/>
    <col min="11" max="13" width="9.1796875" style="1"/>
    <col min="14" max="14" width="13" style="1" customWidth="1"/>
    <col min="15" max="15" width="14.7265625" style="1" customWidth="1"/>
    <col min="16" max="16384" width="9.1796875" style="1"/>
  </cols>
  <sheetData>
    <row r="1" spans="1:26" x14ac:dyDescent="0.35">
      <c r="A1" s="341" t="s">
        <v>427</v>
      </c>
      <c r="B1" s="265"/>
      <c r="C1" s="265"/>
      <c r="D1" s="265"/>
      <c r="E1" s="265"/>
      <c r="F1" s="265"/>
      <c r="G1" s="265"/>
      <c r="H1" s="265"/>
      <c r="I1" s="265"/>
      <c r="J1" s="265"/>
      <c r="K1" s="265"/>
      <c r="L1" s="265"/>
      <c r="M1" s="265"/>
      <c r="N1" s="265"/>
      <c r="O1" s="265"/>
      <c r="P1" s="265"/>
      <c r="Q1" s="265"/>
      <c r="R1" s="265"/>
      <c r="S1" s="265"/>
      <c r="T1" s="265"/>
      <c r="U1" s="265"/>
      <c r="V1" s="265"/>
      <c r="W1" s="265"/>
      <c r="X1" s="265"/>
      <c r="Y1" s="265"/>
      <c r="Z1" s="266"/>
    </row>
    <row r="2" spans="1:26" x14ac:dyDescent="0.35">
      <c r="A2" s="342" t="s">
        <v>428</v>
      </c>
      <c r="B2" s="169"/>
      <c r="C2" s="169"/>
      <c r="D2" s="169"/>
      <c r="E2" s="169"/>
      <c r="F2" s="169"/>
      <c r="G2" s="169"/>
      <c r="H2" s="169"/>
      <c r="I2" s="169"/>
      <c r="J2" s="169"/>
      <c r="K2" s="169"/>
      <c r="L2" s="169"/>
      <c r="M2" s="169"/>
      <c r="N2" s="169"/>
      <c r="O2" s="169"/>
      <c r="P2" s="169"/>
      <c r="Q2" s="169"/>
      <c r="R2" s="169"/>
      <c r="S2" s="169"/>
      <c r="T2" s="169"/>
      <c r="U2" s="169"/>
      <c r="V2" s="169"/>
      <c r="W2" s="169"/>
      <c r="X2" s="169"/>
      <c r="Y2" s="169"/>
      <c r="Z2" s="263"/>
    </row>
    <row r="3" spans="1:26" ht="15.75" customHeight="1" x14ac:dyDescent="0.35">
      <c r="A3" s="342" t="s">
        <v>429</v>
      </c>
      <c r="B3" s="169"/>
      <c r="C3" s="169"/>
      <c r="D3" s="169"/>
      <c r="E3" s="169"/>
      <c r="F3" s="169"/>
      <c r="G3" s="169"/>
      <c r="H3" s="169"/>
      <c r="I3" s="169"/>
      <c r="J3" s="169"/>
      <c r="K3" s="169"/>
      <c r="L3" s="169"/>
      <c r="M3" s="169"/>
      <c r="N3" s="169"/>
      <c r="O3" s="169"/>
      <c r="P3" s="169"/>
      <c r="Q3" s="169"/>
      <c r="R3" s="169"/>
      <c r="S3" s="169"/>
      <c r="T3" s="169"/>
      <c r="U3" s="169"/>
      <c r="V3" s="169"/>
      <c r="W3" s="169"/>
      <c r="X3" s="169"/>
      <c r="Y3" s="169"/>
      <c r="Z3" s="263"/>
    </row>
    <row r="4" spans="1:26" s="340" customFormat="1" ht="18.75" customHeight="1" x14ac:dyDescent="0.35">
      <c r="A4" s="270"/>
      <c r="B4" s="321" t="s">
        <v>430</v>
      </c>
      <c r="C4" s="169"/>
      <c r="D4" s="169"/>
      <c r="E4" s="169"/>
      <c r="F4" s="169"/>
      <c r="G4" s="169"/>
      <c r="H4" s="169"/>
      <c r="I4" s="169"/>
      <c r="J4" s="169"/>
      <c r="K4" s="169"/>
      <c r="L4" s="169"/>
      <c r="M4" s="169"/>
      <c r="N4" s="169"/>
      <c r="O4" s="169"/>
      <c r="P4" s="169"/>
      <c r="Q4" s="169"/>
      <c r="R4" s="169"/>
      <c r="S4" s="169"/>
      <c r="T4" s="169"/>
      <c r="U4" s="169"/>
      <c r="V4" s="169"/>
      <c r="W4" s="169"/>
      <c r="X4" s="169"/>
      <c r="Y4" s="169"/>
      <c r="Z4" s="263"/>
    </row>
    <row r="5" spans="1:26" x14ac:dyDescent="0.35">
      <c r="A5" s="269" t="s">
        <v>431</v>
      </c>
      <c r="B5" s="169"/>
      <c r="C5" s="169"/>
      <c r="D5" s="169"/>
      <c r="E5" s="169"/>
      <c r="F5" s="169"/>
      <c r="G5" s="169"/>
      <c r="H5" s="169"/>
      <c r="I5" s="169"/>
      <c r="J5" s="169"/>
      <c r="K5" s="169"/>
      <c r="L5" s="169"/>
      <c r="M5" s="169"/>
      <c r="N5" s="169"/>
      <c r="O5" s="169"/>
      <c r="P5" s="169"/>
      <c r="Q5" s="169"/>
      <c r="R5" s="169"/>
      <c r="S5" s="169"/>
      <c r="T5" s="169"/>
      <c r="U5" s="169"/>
      <c r="V5" s="169"/>
      <c r="W5" s="169"/>
      <c r="X5" s="169"/>
      <c r="Y5" s="169"/>
      <c r="Z5" s="263"/>
    </row>
    <row r="6" spans="1:26" ht="16.5" customHeight="1" x14ac:dyDescent="0.35">
      <c r="A6" s="343" t="s">
        <v>432</v>
      </c>
      <c r="B6" s="272"/>
      <c r="C6" s="272"/>
      <c r="D6" s="272"/>
      <c r="E6" s="272"/>
      <c r="F6" s="272"/>
      <c r="G6" s="272"/>
      <c r="H6" s="272"/>
      <c r="I6" s="272"/>
      <c r="J6" s="272"/>
      <c r="K6" s="272"/>
      <c r="L6" s="272"/>
      <c r="M6" s="272"/>
      <c r="N6" s="272"/>
      <c r="O6" s="272"/>
      <c r="P6" s="272"/>
      <c r="Q6" s="272"/>
      <c r="R6" s="272"/>
      <c r="S6" s="272"/>
      <c r="T6" s="272"/>
      <c r="U6" s="272"/>
      <c r="V6" s="272"/>
      <c r="W6" s="272"/>
      <c r="X6" s="272"/>
      <c r="Y6" s="272"/>
      <c r="Z6" s="273"/>
    </row>
    <row r="7" spans="1:26" x14ac:dyDescent="0.35">
      <c r="A7" s="38"/>
      <c r="B7" s="38"/>
      <c r="C7" s="38"/>
      <c r="D7" s="38"/>
      <c r="E7" s="38"/>
      <c r="F7" s="38"/>
      <c r="G7" s="38"/>
      <c r="H7" s="38"/>
      <c r="I7" s="38"/>
      <c r="J7" s="38"/>
      <c r="K7" s="38"/>
      <c r="L7" s="38"/>
      <c r="M7" s="38"/>
      <c r="N7" s="38"/>
      <c r="O7" s="38"/>
      <c r="P7" s="38"/>
      <c r="Q7" s="38"/>
      <c r="R7" s="38"/>
      <c r="S7" s="38"/>
      <c r="T7" s="38"/>
      <c r="U7" s="38"/>
      <c r="V7" s="38"/>
      <c r="W7" s="38"/>
      <c r="X7" s="38"/>
      <c r="Y7" s="38"/>
      <c r="Z7" s="38"/>
    </row>
    <row r="8" spans="1:26" ht="30" customHeight="1" x14ac:dyDescent="0.35">
      <c r="A8" s="344" t="s">
        <v>433</v>
      </c>
      <c r="B8" s="224"/>
      <c r="C8" s="224"/>
      <c r="D8" s="224"/>
      <c r="E8" s="224"/>
      <c r="F8" s="224"/>
      <c r="G8" s="224"/>
      <c r="H8" s="224"/>
      <c r="I8" s="224"/>
      <c r="J8" s="224"/>
      <c r="K8" s="224"/>
      <c r="L8" s="224"/>
      <c r="M8" s="130"/>
      <c r="N8" s="38"/>
      <c r="O8" s="38"/>
      <c r="P8" s="38"/>
      <c r="Q8" s="38"/>
      <c r="R8" s="38"/>
      <c r="S8" s="38"/>
      <c r="T8" s="38"/>
      <c r="U8" s="38"/>
      <c r="V8" s="38"/>
      <c r="W8" s="38"/>
      <c r="X8" s="38"/>
      <c r="Y8" s="38"/>
      <c r="Z8" s="38"/>
    </row>
    <row r="11" spans="1:26" x14ac:dyDescent="0.35">
      <c r="B11" s="213" t="s">
        <v>284</v>
      </c>
      <c r="C11" s="214"/>
      <c r="D11" s="214"/>
      <c r="E11" s="214"/>
      <c r="F11" s="214"/>
      <c r="G11" s="214"/>
      <c r="H11" s="214"/>
      <c r="I11" s="215"/>
      <c r="J11" s="329">
        <v>50000</v>
      </c>
    </row>
    <row r="12" spans="1:26" x14ac:dyDescent="0.35">
      <c r="B12" s="213" t="s">
        <v>285</v>
      </c>
      <c r="C12" s="214"/>
      <c r="D12" s="214"/>
      <c r="E12" s="214"/>
      <c r="F12" s="214"/>
      <c r="G12" s="214"/>
      <c r="H12" s="214"/>
      <c r="I12" s="215"/>
      <c r="J12" s="329">
        <v>5000000</v>
      </c>
    </row>
    <row r="13" spans="1:26" x14ac:dyDescent="0.35">
      <c r="B13" s="213" t="s">
        <v>286</v>
      </c>
      <c r="C13" s="214"/>
      <c r="D13" s="214"/>
      <c r="E13" s="214"/>
      <c r="F13" s="214"/>
      <c r="G13" s="214"/>
      <c r="H13" s="214"/>
      <c r="I13" s="215"/>
      <c r="J13" s="329">
        <v>2000000</v>
      </c>
    </row>
    <row r="14" spans="1:26" x14ac:dyDescent="0.35">
      <c r="B14" s="213" t="s">
        <v>352</v>
      </c>
      <c r="C14" s="214"/>
      <c r="D14" s="214"/>
      <c r="E14" s="214"/>
      <c r="F14" s="214"/>
      <c r="G14" s="214"/>
      <c r="H14" s="214"/>
      <c r="I14" s="215"/>
      <c r="J14" s="330">
        <f>(J12-J13)/J12</f>
        <v>0.6</v>
      </c>
    </row>
    <row r="15" spans="1:26" x14ac:dyDescent="0.35">
      <c r="B15" s="213" t="s">
        <v>287</v>
      </c>
      <c r="C15" s="214"/>
      <c r="D15" s="214"/>
      <c r="E15" s="214"/>
      <c r="F15" s="214"/>
      <c r="G15" s="214"/>
      <c r="H15" s="214"/>
      <c r="I15" s="215"/>
      <c r="J15" s="331">
        <v>25</v>
      </c>
    </row>
    <row r="16" spans="1:26" x14ac:dyDescent="0.35">
      <c r="B16" s="213" t="s">
        <v>256</v>
      </c>
      <c r="C16" s="214"/>
      <c r="D16" s="214"/>
      <c r="E16" s="214"/>
      <c r="F16" s="214"/>
      <c r="G16" s="214"/>
      <c r="H16" s="214"/>
      <c r="I16" s="215"/>
      <c r="J16" s="332">
        <v>0.78</v>
      </c>
    </row>
    <row r="17" spans="2:15" x14ac:dyDescent="0.35">
      <c r="B17" s="213" t="s">
        <v>24</v>
      </c>
      <c r="C17" s="214"/>
      <c r="D17" s="214"/>
      <c r="E17" s="214"/>
      <c r="F17" s="214"/>
      <c r="G17" s="214"/>
      <c r="H17" s="214"/>
      <c r="I17" s="215"/>
      <c r="J17" s="6">
        <f>C31</f>
        <v>913</v>
      </c>
    </row>
    <row r="18" spans="2:15" x14ac:dyDescent="0.35">
      <c r="B18" s="213" t="s">
        <v>291</v>
      </c>
      <c r="C18" s="214"/>
      <c r="D18" s="214"/>
      <c r="E18" s="214"/>
      <c r="F18" s="214"/>
      <c r="G18" s="214"/>
      <c r="H18" s="214"/>
      <c r="I18" s="215"/>
      <c r="J18" s="330">
        <f>(J16*J15*J14*J12/J17)/J11</f>
        <v>1.2814895947426068</v>
      </c>
    </row>
    <row r="19" spans="2:15" x14ac:dyDescent="0.35">
      <c r="B19" s="333" t="s">
        <v>304</v>
      </c>
      <c r="C19" s="214"/>
      <c r="D19" s="214"/>
      <c r="E19" s="214"/>
      <c r="F19" s="214"/>
      <c r="G19" s="214"/>
      <c r="H19" s="214"/>
      <c r="I19" s="215"/>
      <c r="J19" s="329">
        <f>J12/E31</f>
        <v>4273.5042735042734</v>
      </c>
    </row>
    <row r="20" spans="2:15" s="12" customFormat="1" ht="30" customHeight="1" x14ac:dyDescent="0.35">
      <c r="B20" s="190" t="s">
        <v>288</v>
      </c>
      <c r="C20" s="173" t="s">
        <v>32</v>
      </c>
      <c r="D20" s="173" t="s">
        <v>292</v>
      </c>
      <c r="E20" s="173" t="s">
        <v>293</v>
      </c>
      <c r="F20" s="336" t="s">
        <v>295</v>
      </c>
      <c r="G20" s="337"/>
      <c r="H20" s="337"/>
      <c r="I20" s="337"/>
      <c r="J20" s="337"/>
      <c r="K20" s="337"/>
      <c r="L20" s="337"/>
      <c r="M20" s="338"/>
      <c r="N20" s="173" t="s">
        <v>305</v>
      </c>
      <c r="O20" s="173" t="s">
        <v>306</v>
      </c>
    </row>
    <row r="21" spans="2:15" x14ac:dyDescent="0.35">
      <c r="B21" s="183" t="s">
        <v>0</v>
      </c>
      <c r="C21" s="183">
        <v>150</v>
      </c>
      <c r="D21" s="334">
        <f>C21*$J$18</f>
        <v>192.22343921139102</v>
      </c>
      <c r="E21" s="183">
        <v>133</v>
      </c>
      <c r="F21" s="213" t="s">
        <v>296</v>
      </c>
      <c r="G21" s="214"/>
      <c r="H21" s="214"/>
      <c r="I21" s="214"/>
      <c r="J21" s="214"/>
      <c r="K21" s="214"/>
      <c r="L21" s="214"/>
      <c r="M21" s="215"/>
      <c r="N21" s="339">
        <f>(E21-D21)*$J$19</f>
        <v>-253091.62056150011</v>
      </c>
      <c r="O21" s="246">
        <f>N21/$J$12</f>
        <v>-5.0618324112300023E-2</v>
      </c>
    </row>
    <row r="22" spans="2:15" x14ac:dyDescent="0.35">
      <c r="B22" s="183" t="s">
        <v>1</v>
      </c>
      <c r="C22" s="183">
        <v>155</v>
      </c>
      <c r="D22" s="334">
        <f t="shared" ref="D22:D31" si="0">C22*$J$18</f>
        <v>198.63088718510406</v>
      </c>
      <c r="E22" s="183">
        <v>154</v>
      </c>
      <c r="F22" s="213" t="s">
        <v>297</v>
      </c>
      <c r="G22" s="214"/>
      <c r="H22" s="214"/>
      <c r="I22" s="214"/>
      <c r="J22" s="214"/>
      <c r="K22" s="214"/>
      <c r="L22" s="214"/>
      <c r="M22" s="215"/>
      <c r="N22" s="339">
        <f t="shared" ref="N22:N30" si="1">(E22-D22)*$J$19</f>
        <v>-190730.2871158293</v>
      </c>
      <c r="O22" s="246">
        <f t="shared" ref="O22:O30" si="2">N22/$J$12</f>
        <v>-3.8146057423165861E-2</v>
      </c>
    </row>
    <row r="23" spans="2:15" x14ac:dyDescent="0.35">
      <c r="B23" s="183" t="s">
        <v>2</v>
      </c>
      <c r="C23" s="183">
        <v>145</v>
      </c>
      <c r="D23" s="334">
        <f t="shared" si="0"/>
        <v>185.81599123767799</v>
      </c>
      <c r="E23" s="183">
        <v>133</v>
      </c>
      <c r="F23" s="213" t="s">
        <v>296</v>
      </c>
      <c r="G23" s="214"/>
      <c r="H23" s="214"/>
      <c r="I23" s="214"/>
      <c r="J23" s="214"/>
      <c r="K23" s="214"/>
      <c r="L23" s="214"/>
      <c r="M23" s="215"/>
      <c r="N23" s="339">
        <f t="shared" si="1"/>
        <v>-225709.36426358117</v>
      </c>
      <c r="O23" s="246">
        <f t="shared" si="2"/>
        <v>-4.5141872852716237E-2</v>
      </c>
    </row>
    <row r="24" spans="2:15" x14ac:dyDescent="0.35">
      <c r="B24" s="183" t="s">
        <v>3</v>
      </c>
      <c r="C24" s="183">
        <v>152</v>
      </c>
      <c r="D24" s="334">
        <f t="shared" si="0"/>
        <v>194.78641840087624</v>
      </c>
      <c r="E24" s="183">
        <v>184</v>
      </c>
      <c r="F24" s="213" t="s">
        <v>298</v>
      </c>
      <c r="G24" s="214"/>
      <c r="H24" s="214"/>
      <c r="I24" s="214"/>
      <c r="J24" s="214"/>
      <c r="K24" s="214"/>
      <c r="L24" s="214"/>
      <c r="M24" s="215"/>
      <c r="N24" s="339">
        <f t="shared" si="1"/>
        <v>-46095.805131949761</v>
      </c>
      <c r="O24" s="246">
        <f t="shared" si="2"/>
        <v>-9.2191610263899527E-3</v>
      </c>
    </row>
    <row r="25" spans="2:15" x14ac:dyDescent="0.35">
      <c r="B25" s="183" t="s">
        <v>4</v>
      </c>
      <c r="C25" s="183">
        <v>156</v>
      </c>
      <c r="D25" s="334">
        <f t="shared" si="0"/>
        <v>199.91237677984665</v>
      </c>
      <c r="E25" s="183">
        <v>184</v>
      </c>
      <c r="F25" s="213" t="s">
        <v>298</v>
      </c>
      <c r="G25" s="214"/>
      <c r="H25" s="214"/>
      <c r="I25" s="214"/>
      <c r="J25" s="214"/>
      <c r="K25" s="214"/>
      <c r="L25" s="214"/>
      <c r="M25" s="215"/>
      <c r="N25" s="339">
        <f t="shared" si="1"/>
        <v>-68001.610170284839</v>
      </c>
      <c r="O25" s="246">
        <f t="shared" si="2"/>
        <v>-1.3600322034056967E-2</v>
      </c>
    </row>
    <row r="26" spans="2:15" x14ac:dyDescent="0.35">
      <c r="B26" s="183" t="s">
        <v>5</v>
      </c>
      <c r="C26" s="183">
        <v>80</v>
      </c>
      <c r="D26" s="334">
        <f t="shared" si="0"/>
        <v>102.51916757940855</v>
      </c>
      <c r="E26" s="183">
        <v>175</v>
      </c>
      <c r="F26" s="213" t="s">
        <v>299</v>
      </c>
      <c r="G26" s="214"/>
      <c r="H26" s="214"/>
      <c r="I26" s="214"/>
      <c r="J26" s="214"/>
      <c r="K26" s="214"/>
      <c r="L26" s="214"/>
      <c r="M26" s="215"/>
      <c r="N26" s="329">
        <f t="shared" si="1"/>
        <v>309747.14709654468</v>
      </c>
      <c r="O26" s="246">
        <f t="shared" si="2"/>
        <v>6.1949429419308935E-2</v>
      </c>
    </row>
    <row r="27" spans="2:15" x14ac:dyDescent="0.35">
      <c r="B27" s="183" t="s">
        <v>6</v>
      </c>
      <c r="C27" s="183">
        <v>75</v>
      </c>
      <c r="D27" s="334">
        <f t="shared" si="0"/>
        <v>96.111719605695512</v>
      </c>
      <c r="E27" s="183">
        <v>150</v>
      </c>
      <c r="F27" s="213" t="s">
        <v>300</v>
      </c>
      <c r="G27" s="214"/>
      <c r="H27" s="214"/>
      <c r="I27" s="214"/>
      <c r="J27" s="214"/>
      <c r="K27" s="214"/>
      <c r="L27" s="214"/>
      <c r="M27" s="215"/>
      <c r="N27" s="329">
        <f t="shared" si="1"/>
        <v>230291.79655685677</v>
      </c>
      <c r="O27" s="246">
        <f t="shared" si="2"/>
        <v>4.6058359311371352E-2</v>
      </c>
    </row>
    <row r="28" spans="2:15" x14ac:dyDescent="0.35">
      <c r="B28" s="183" t="s">
        <v>289</v>
      </c>
      <c r="C28" s="183">
        <v>0</v>
      </c>
      <c r="D28" s="334">
        <f t="shared" si="0"/>
        <v>0</v>
      </c>
      <c r="E28" s="183">
        <v>25</v>
      </c>
      <c r="F28" s="213" t="s">
        <v>301</v>
      </c>
      <c r="G28" s="214"/>
      <c r="H28" s="214"/>
      <c r="I28" s="214"/>
      <c r="J28" s="214"/>
      <c r="K28" s="214"/>
      <c r="L28" s="214"/>
      <c r="M28" s="215"/>
      <c r="N28" s="329">
        <f t="shared" si="1"/>
        <v>106837.60683760684</v>
      </c>
      <c r="O28" s="246">
        <f t="shared" si="2"/>
        <v>2.1367521367521368E-2</v>
      </c>
    </row>
    <row r="29" spans="2:15" x14ac:dyDescent="0.35">
      <c r="B29" s="183" t="s">
        <v>290</v>
      </c>
      <c r="C29" s="183">
        <v>0</v>
      </c>
      <c r="D29" s="334">
        <f t="shared" si="0"/>
        <v>0</v>
      </c>
      <c r="E29" s="183">
        <v>20</v>
      </c>
      <c r="F29" s="213" t="s">
        <v>302</v>
      </c>
      <c r="G29" s="214"/>
      <c r="H29" s="214"/>
      <c r="I29" s="214"/>
      <c r="J29" s="214"/>
      <c r="K29" s="214"/>
      <c r="L29" s="214"/>
      <c r="M29" s="215"/>
      <c r="N29" s="329">
        <f t="shared" si="1"/>
        <v>85470.085470085469</v>
      </c>
      <c r="O29" s="246">
        <f t="shared" si="2"/>
        <v>1.7094017094017092E-2</v>
      </c>
    </row>
    <row r="30" spans="2:15" x14ac:dyDescent="0.35">
      <c r="B30" s="328" t="s">
        <v>294</v>
      </c>
      <c r="C30" s="183">
        <v>0</v>
      </c>
      <c r="D30" s="334">
        <f t="shared" si="0"/>
        <v>0</v>
      </c>
      <c r="E30" s="335">
        <f>D31-SUM(E21:E29)</f>
        <v>12</v>
      </c>
      <c r="F30" s="213" t="s">
        <v>303</v>
      </c>
      <c r="G30" s="214"/>
      <c r="H30" s="214"/>
      <c r="I30" s="214"/>
      <c r="J30" s="214"/>
      <c r="K30" s="214"/>
      <c r="L30" s="214"/>
      <c r="M30" s="215"/>
      <c r="N30" s="329">
        <f t="shared" si="1"/>
        <v>51282.051282051281</v>
      </c>
      <c r="O30" s="246">
        <f t="shared" si="2"/>
        <v>1.0256410256410256E-2</v>
      </c>
    </row>
    <row r="31" spans="2:15" x14ac:dyDescent="0.35">
      <c r="C31" s="6">
        <f>SUM(C21:C30)</f>
        <v>913</v>
      </c>
      <c r="D31" s="9">
        <f t="shared" si="0"/>
        <v>1170</v>
      </c>
      <c r="E31" s="6">
        <f>SUM(E21:E30)</f>
        <v>1170</v>
      </c>
    </row>
  </sheetData>
  <sheetProtection algorithmName="SHA-512" hashValue="c4c85cK+2aEhXg+kjdRVRwaAQTbPfiAYAXacbKS5uYPGuC8VqX+i8Wu38HJzCnt85LuJxzzHhm4Wh7c4TYv9kQ==" saltValue="+d+1xNSrMk02qNmvcu0S6A==" spinCount="100000" sheet="1" objects="1" scenarios="1"/>
  <pageMargins left="0.7" right="0.7" top="0.75" bottom="0.75" header="0.3" footer="0.3"/>
  <ignoredErrors>
    <ignoredError sqref="D31"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4" tint="0.79998168889431442"/>
  </sheetPr>
  <dimension ref="A1:U42"/>
  <sheetViews>
    <sheetView showGridLines="0" zoomScale="75" zoomScaleNormal="75" workbookViewId="0"/>
  </sheetViews>
  <sheetFormatPr defaultColWidth="9.1796875" defaultRowHeight="14.5" x14ac:dyDescent="0.35"/>
  <cols>
    <col min="1" max="1" width="35.7265625" style="1" customWidth="1"/>
    <col min="2" max="3" width="10" style="1" customWidth="1"/>
    <col min="4" max="4" width="12.54296875" style="1" customWidth="1"/>
    <col min="5" max="5" width="10" style="1" customWidth="1"/>
    <col min="6" max="6" width="12.453125" style="1" customWidth="1"/>
    <col min="7" max="7" width="14.54296875" style="1" customWidth="1"/>
    <col min="8" max="8" width="17.26953125" style="1" customWidth="1"/>
    <col min="9" max="9" width="11.81640625" style="1" customWidth="1"/>
    <col min="10" max="10" width="11.1796875" style="1" customWidth="1"/>
    <col min="11" max="11" width="11.453125" style="1" customWidth="1"/>
    <col min="12" max="13" width="11.81640625" style="1" customWidth="1"/>
    <col min="14" max="14" width="12.7265625" style="1" customWidth="1"/>
    <col min="15" max="15" width="11.7265625" style="1" customWidth="1"/>
    <col min="16" max="16384" width="9.1796875" style="1"/>
  </cols>
  <sheetData>
    <row r="1" spans="1:21" x14ac:dyDescent="0.35">
      <c r="A1" s="170" t="s">
        <v>434</v>
      </c>
      <c r="B1" s="169"/>
      <c r="C1" s="169"/>
      <c r="D1" s="169"/>
      <c r="E1" s="169"/>
      <c r="F1" s="169"/>
      <c r="G1" s="169"/>
      <c r="H1" s="169"/>
      <c r="I1" s="169"/>
      <c r="J1" s="169"/>
      <c r="K1" s="169"/>
      <c r="L1" s="169"/>
      <c r="M1" s="169"/>
      <c r="N1" s="169"/>
      <c r="O1" s="169"/>
      <c r="P1" s="169"/>
      <c r="Q1" s="169"/>
      <c r="R1" s="169"/>
      <c r="S1" s="169"/>
      <c r="T1" s="169"/>
      <c r="U1" s="169"/>
    </row>
    <row r="2" spans="1:21" x14ac:dyDescent="0.35">
      <c r="A2" s="170" t="s">
        <v>435</v>
      </c>
      <c r="B2" s="169"/>
      <c r="C2" s="169"/>
      <c r="D2" s="169"/>
      <c r="E2" s="169"/>
      <c r="F2" s="169"/>
      <c r="G2" s="169"/>
      <c r="H2" s="169"/>
      <c r="I2" s="169"/>
      <c r="J2" s="169"/>
      <c r="K2" s="169"/>
      <c r="L2" s="169"/>
      <c r="M2" s="169"/>
      <c r="N2" s="169"/>
      <c r="O2" s="169"/>
      <c r="P2" s="169"/>
      <c r="Q2" s="169"/>
      <c r="R2" s="169"/>
      <c r="S2" s="169"/>
      <c r="T2" s="169"/>
      <c r="U2" s="169"/>
    </row>
    <row r="3" spans="1:21" x14ac:dyDescent="0.35">
      <c r="A3" s="170" t="s">
        <v>436</v>
      </c>
      <c r="B3" s="169"/>
      <c r="C3" s="169"/>
      <c r="D3" s="169"/>
      <c r="E3" s="169"/>
      <c r="F3" s="169"/>
      <c r="G3" s="169"/>
      <c r="H3" s="169"/>
      <c r="I3" s="169"/>
      <c r="J3" s="169"/>
      <c r="K3" s="169"/>
      <c r="L3" s="169"/>
      <c r="M3" s="169"/>
      <c r="N3" s="169"/>
      <c r="O3" s="169"/>
      <c r="P3" s="169"/>
      <c r="Q3" s="169"/>
      <c r="R3" s="169"/>
      <c r="S3" s="169"/>
      <c r="T3" s="169"/>
      <c r="U3" s="169"/>
    </row>
    <row r="4" spans="1:21" x14ac:dyDescent="0.35">
      <c r="A4" s="170" t="s">
        <v>437</v>
      </c>
      <c r="B4" s="169"/>
      <c r="C4" s="169"/>
      <c r="D4" s="169"/>
      <c r="E4" s="169"/>
      <c r="F4" s="169"/>
      <c r="G4" s="169"/>
      <c r="H4" s="169"/>
      <c r="I4" s="169"/>
      <c r="J4" s="169"/>
      <c r="K4" s="169"/>
      <c r="L4" s="169"/>
      <c r="M4" s="169"/>
      <c r="N4" s="169"/>
      <c r="O4" s="169"/>
      <c r="P4" s="169"/>
      <c r="Q4" s="169"/>
      <c r="R4" s="169"/>
      <c r="S4" s="169"/>
      <c r="T4" s="169"/>
      <c r="U4" s="169"/>
    </row>
    <row r="5" spans="1:21" x14ac:dyDescent="0.35">
      <c r="A5" s="170" t="s">
        <v>438</v>
      </c>
      <c r="B5" s="169"/>
      <c r="C5" s="169"/>
      <c r="D5" s="169"/>
      <c r="E5" s="169"/>
      <c r="F5" s="169"/>
      <c r="G5" s="169"/>
      <c r="H5" s="169"/>
      <c r="I5" s="169"/>
      <c r="J5" s="169"/>
      <c r="K5" s="169"/>
      <c r="L5" s="169"/>
      <c r="M5" s="169"/>
      <c r="N5" s="169"/>
      <c r="O5" s="169"/>
      <c r="P5" s="169"/>
      <c r="Q5" s="169"/>
      <c r="R5" s="169"/>
      <c r="S5" s="169"/>
      <c r="T5" s="169"/>
      <c r="U5" s="169"/>
    </row>
    <row r="6" spans="1:21" x14ac:dyDescent="0.35">
      <c r="A6" s="170" t="s">
        <v>439</v>
      </c>
      <c r="B6" s="169"/>
      <c r="C6" s="169"/>
      <c r="D6" s="169"/>
      <c r="E6" s="169"/>
      <c r="F6" s="169"/>
      <c r="G6" s="169"/>
      <c r="H6" s="169"/>
      <c r="I6" s="169"/>
      <c r="J6" s="169"/>
      <c r="K6" s="169"/>
      <c r="L6" s="169"/>
      <c r="M6" s="169"/>
      <c r="N6" s="169"/>
      <c r="O6" s="169"/>
      <c r="P6" s="169"/>
      <c r="Q6" s="169"/>
      <c r="R6" s="169"/>
      <c r="S6" s="169"/>
      <c r="T6" s="169"/>
      <c r="U6" s="169"/>
    </row>
    <row r="7" spans="1:21" x14ac:dyDescent="0.35">
      <c r="A7" s="170" t="s">
        <v>440</v>
      </c>
      <c r="B7" s="169"/>
      <c r="C7" s="169"/>
      <c r="D7" s="169"/>
      <c r="E7" s="169"/>
      <c r="F7" s="169"/>
      <c r="G7" s="169"/>
      <c r="H7" s="169"/>
      <c r="I7" s="169"/>
      <c r="J7" s="169"/>
      <c r="K7" s="169"/>
      <c r="L7" s="169"/>
      <c r="M7" s="169"/>
      <c r="N7" s="169"/>
      <c r="O7" s="169"/>
      <c r="P7" s="169"/>
      <c r="Q7" s="169"/>
      <c r="R7" s="169"/>
      <c r="S7" s="169"/>
      <c r="T7" s="169"/>
      <c r="U7" s="169"/>
    </row>
    <row r="8" spans="1:21" x14ac:dyDescent="0.35">
      <c r="A8" s="168" t="s">
        <v>442</v>
      </c>
      <c r="B8" s="169"/>
      <c r="C8" s="169"/>
      <c r="D8" s="169"/>
      <c r="E8" s="169"/>
      <c r="F8" s="169"/>
      <c r="G8" s="169"/>
      <c r="H8" s="169"/>
      <c r="I8" s="169"/>
      <c r="J8" s="169"/>
      <c r="K8" s="169"/>
      <c r="L8" s="169"/>
      <c r="M8" s="169"/>
      <c r="N8" s="169"/>
      <c r="O8" s="169"/>
      <c r="P8" s="169"/>
      <c r="Q8" s="169"/>
      <c r="R8" s="169"/>
      <c r="S8" s="169"/>
      <c r="T8" s="169"/>
      <c r="U8" s="169"/>
    </row>
    <row r="9" spans="1:21" x14ac:dyDescent="0.35">
      <c r="A9" s="170" t="s">
        <v>441</v>
      </c>
      <c r="B9" s="169"/>
      <c r="C9" s="169"/>
      <c r="D9" s="169"/>
      <c r="E9" s="169"/>
      <c r="F9" s="169"/>
      <c r="G9" s="169"/>
      <c r="H9" s="169"/>
      <c r="I9" s="169"/>
      <c r="J9" s="169"/>
      <c r="K9" s="169"/>
      <c r="L9" s="169"/>
      <c r="M9" s="169"/>
      <c r="N9" s="169"/>
      <c r="O9" s="169"/>
      <c r="P9" s="169"/>
      <c r="Q9" s="169"/>
      <c r="R9" s="169"/>
      <c r="S9" s="169"/>
      <c r="T9" s="169"/>
      <c r="U9" s="169"/>
    </row>
    <row r="12" spans="1:21" x14ac:dyDescent="0.35">
      <c r="A12" s="232" t="s">
        <v>44</v>
      </c>
      <c r="B12" s="244"/>
      <c r="C12" s="244" t="s">
        <v>517</v>
      </c>
      <c r="D12" s="249">
        <v>59</v>
      </c>
    </row>
    <row r="13" spans="1:21" x14ac:dyDescent="0.35">
      <c r="A13" s="232" t="s">
        <v>307</v>
      </c>
      <c r="B13" s="244"/>
      <c r="C13" s="244" t="s">
        <v>517</v>
      </c>
      <c r="D13" s="250">
        <v>2950000</v>
      </c>
    </row>
    <row r="14" spans="1:21" x14ac:dyDescent="0.35">
      <c r="A14" s="232" t="s">
        <v>308</v>
      </c>
      <c r="B14" s="244"/>
      <c r="C14" s="244" t="s">
        <v>517</v>
      </c>
      <c r="D14" s="250">
        <v>5400000</v>
      </c>
    </row>
    <row r="15" spans="1:21" x14ac:dyDescent="0.35">
      <c r="A15" s="232" t="s">
        <v>318</v>
      </c>
      <c r="B15" s="244"/>
      <c r="C15" s="245"/>
      <c r="D15" s="251">
        <f>D13/D12</f>
        <v>50000</v>
      </c>
    </row>
    <row r="16" spans="1:21" x14ac:dyDescent="0.35">
      <c r="A16" s="232" t="s">
        <v>287</v>
      </c>
      <c r="B16" s="244"/>
      <c r="C16" s="245" t="s">
        <v>517</v>
      </c>
      <c r="D16" s="252">
        <v>25</v>
      </c>
    </row>
    <row r="17" spans="1:15" x14ac:dyDescent="0.35">
      <c r="A17" s="232" t="s">
        <v>311</v>
      </c>
      <c r="B17" s="244"/>
      <c r="C17" s="245"/>
      <c r="D17" s="241">
        <f>SUM(C31:C37)+SUM(C39:C41)</f>
        <v>1121</v>
      </c>
    </row>
    <row r="18" spans="1:15" x14ac:dyDescent="0.35">
      <c r="A18" s="232" t="s">
        <v>319</v>
      </c>
      <c r="B18" s="244"/>
      <c r="C18" s="245"/>
      <c r="D18" s="253">
        <f>D13/D17</f>
        <v>2631.5789473684213</v>
      </c>
    </row>
    <row r="19" spans="1:15" x14ac:dyDescent="0.35">
      <c r="A19" s="232" t="s">
        <v>320</v>
      </c>
      <c r="B19" s="244"/>
      <c r="C19" s="245"/>
      <c r="D19" s="253">
        <f>D14/D17</f>
        <v>4817.1275646743979</v>
      </c>
    </row>
    <row r="20" spans="1:15" x14ac:dyDescent="0.35">
      <c r="A20" s="232" t="s">
        <v>41</v>
      </c>
      <c r="B20" s="244"/>
      <c r="C20" s="245"/>
      <c r="D20" s="254">
        <f>D17/D12</f>
        <v>19</v>
      </c>
    </row>
    <row r="21" spans="1:15" x14ac:dyDescent="0.35">
      <c r="A21" s="232" t="s">
        <v>256</v>
      </c>
      <c r="B21" s="244"/>
      <c r="C21" s="245"/>
      <c r="D21" s="255">
        <f>D20/D16</f>
        <v>0.76</v>
      </c>
    </row>
    <row r="22" spans="1:15" x14ac:dyDescent="0.35">
      <c r="A22" s="232" t="s">
        <v>24</v>
      </c>
      <c r="B22" s="244"/>
      <c r="C22" s="245"/>
      <c r="D22" s="256">
        <f>SUM(B31:B37)</f>
        <v>900</v>
      </c>
    </row>
    <row r="23" spans="1:15" x14ac:dyDescent="0.35">
      <c r="A23" s="232" t="s">
        <v>310</v>
      </c>
      <c r="B23" s="244"/>
      <c r="C23" s="245"/>
      <c r="D23" s="257">
        <f>D22*D16/D17</f>
        <v>20.071364852809992</v>
      </c>
    </row>
    <row r="24" spans="1:15" x14ac:dyDescent="0.35">
      <c r="A24" s="232" t="s">
        <v>309</v>
      </c>
      <c r="B24" s="244"/>
      <c r="C24" s="245"/>
      <c r="D24" s="257">
        <f>D22/D12</f>
        <v>15.254237288135593</v>
      </c>
    </row>
    <row r="25" spans="1:15" x14ac:dyDescent="0.35">
      <c r="A25" s="232" t="s">
        <v>312</v>
      </c>
      <c r="B25" s="244"/>
      <c r="C25" s="245"/>
      <c r="D25" s="256">
        <f>SUM(B31:B35)</f>
        <v>750</v>
      </c>
    </row>
    <row r="26" spans="1:15" x14ac:dyDescent="0.35">
      <c r="A26" s="232" t="s">
        <v>313</v>
      </c>
      <c r="B26" s="244"/>
      <c r="C26" s="245"/>
      <c r="D26" s="257">
        <f>D25*25/27</f>
        <v>694.44444444444446</v>
      </c>
    </row>
    <row r="27" spans="1:15" x14ac:dyDescent="0.35">
      <c r="A27" s="232" t="s">
        <v>314</v>
      </c>
      <c r="B27" s="244"/>
      <c r="C27" s="245"/>
      <c r="D27" s="257">
        <f>SUM(D31:D35)</f>
        <v>796</v>
      </c>
    </row>
    <row r="28" spans="1:15" x14ac:dyDescent="0.35">
      <c r="A28" s="232" t="s">
        <v>322</v>
      </c>
      <c r="B28" s="244"/>
      <c r="C28" s="245"/>
      <c r="D28" s="257">
        <f>D27-D26</f>
        <v>101.55555555555554</v>
      </c>
    </row>
    <row r="29" spans="1:15" x14ac:dyDescent="0.35">
      <c r="A29" s="232" t="s">
        <v>323</v>
      </c>
      <c r="B29" s="244"/>
      <c r="C29" s="245"/>
      <c r="D29" s="258">
        <f>D28/D26</f>
        <v>0.14623999999999998</v>
      </c>
    </row>
    <row r="30" spans="1:15" ht="72.5" x14ac:dyDescent="0.35">
      <c r="A30" s="206" t="s">
        <v>23</v>
      </c>
      <c r="B30" s="206" t="s">
        <v>24</v>
      </c>
      <c r="C30" s="174" t="s">
        <v>545</v>
      </c>
      <c r="D30" s="206" t="s">
        <v>315</v>
      </c>
      <c r="E30" s="206" t="s">
        <v>30</v>
      </c>
      <c r="F30" s="206" t="s">
        <v>316</v>
      </c>
      <c r="G30" s="174" t="s">
        <v>317</v>
      </c>
      <c r="H30" s="174" t="s">
        <v>321</v>
      </c>
      <c r="I30" s="174" t="s">
        <v>324</v>
      </c>
      <c r="J30" s="174" t="s">
        <v>325</v>
      </c>
      <c r="K30" s="174" t="s">
        <v>259</v>
      </c>
      <c r="L30" s="174" t="s">
        <v>327</v>
      </c>
      <c r="M30" s="174" t="s">
        <v>330</v>
      </c>
      <c r="N30" s="174" t="s">
        <v>329</v>
      </c>
      <c r="O30" s="174" t="s">
        <v>328</v>
      </c>
    </row>
    <row r="31" spans="1:15" x14ac:dyDescent="0.35">
      <c r="A31" s="47" t="s">
        <v>0</v>
      </c>
      <c r="B31" s="142">
        <v>149</v>
      </c>
      <c r="C31" s="207">
        <v>133</v>
      </c>
      <c r="D31" s="142">
        <f>D17-SUM(D32:D37)</f>
        <v>141</v>
      </c>
      <c r="E31" s="209">
        <f>B31*$D$16/D31</f>
        <v>26.418439716312058</v>
      </c>
      <c r="F31" s="209">
        <f>D31/$D$20</f>
        <v>7.4210526315789478</v>
      </c>
      <c r="G31" s="247">
        <f>D31*$D$18</f>
        <v>371052.63157894742</v>
      </c>
      <c r="H31" s="43">
        <f>D31*$D$19</f>
        <v>679214.98661909008</v>
      </c>
      <c r="I31" s="46">
        <f>B31*$D$16/27</f>
        <v>137.96296296296296</v>
      </c>
      <c r="J31" s="46">
        <f>D31-I31</f>
        <v>3.0370370370370381</v>
      </c>
      <c r="K31" s="150">
        <f>J31/I31</f>
        <v>2.2013422818791956E-2</v>
      </c>
      <c r="L31" s="46">
        <f>100* B31/$D$22</f>
        <v>16.555555555555557</v>
      </c>
      <c r="M31" s="46">
        <f>100*D31/$D$17</f>
        <v>12.578055307760927</v>
      </c>
      <c r="N31" s="46">
        <f>100*G31/$D$13</f>
        <v>12.578055307760931</v>
      </c>
      <c r="O31" s="46">
        <f>100*H31/$D$14</f>
        <v>12.578055307760929</v>
      </c>
    </row>
    <row r="32" spans="1:15" x14ac:dyDescent="0.35">
      <c r="A32" s="47" t="s">
        <v>1</v>
      </c>
      <c r="B32" s="142">
        <v>147</v>
      </c>
      <c r="C32" s="207">
        <v>133</v>
      </c>
      <c r="D32" s="142">
        <f t="shared" ref="D32:D35" si="0">(C32+ROUNDDOWN((SUM($C$39:$C$41)/5),0))</f>
        <v>141</v>
      </c>
      <c r="E32" s="209">
        <f t="shared" ref="E32:E37" si="1">B32*$D$16/D32</f>
        <v>26.063829787234042</v>
      </c>
      <c r="F32" s="209">
        <f t="shared" ref="F32:F37" si="2">D32/$D$20</f>
        <v>7.4210526315789478</v>
      </c>
      <c r="G32" s="247">
        <f t="shared" ref="G32:G37" si="3">D32*$D$18</f>
        <v>371052.63157894742</v>
      </c>
      <c r="H32" s="43">
        <f t="shared" ref="H32:H37" si="4">D32*$D$19</f>
        <v>679214.98661909008</v>
      </c>
      <c r="I32" s="46">
        <f t="shared" ref="I32:I35" si="5">B32*$D$16/27</f>
        <v>136.11111111111111</v>
      </c>
      <c r="J32" s="46">
        <f t="shared" ref="J32:J35" si="6">D32-I32</f>
        <v>4.8888888888888857</v>
      </c>
      <c r="K32" s="150">
        <f t="shared" ref="K32:K35" si="7">J32/I32</f>
        <v>3.5918367346938748E-2</v>
      </c>
      <c r="L32" s="46">
        <f t="shared" ref="L32:L37" si="8">100* B32/$D$22</f>
        <v>16.333333333333332</v>
      </c>
      <c r="M32" s="46">
        <f t="shared" ref="M32:M37" si="9">100*D32/$D$17</f>
        <v>12.578055307760927</v>
      </c>
      <c r="N32" s="46">
        <f t="shared" ref="N32:N37" si="10">100*G32/$D$13</f>
        <v>12.578055307760931</v>
      </c>
      <c r="O32" s="46">
        <f t="shared" ref="O32:O37" si="11">100*H32/$D$14</f>
        <v>12.578055307760929</v>
      </c>
    </row>
    <row r="33" spans="1:15" x14ac:dyDescent="0.35">
      <c r="A33" s="47" t="s">
        <v>2</v>
      </c>
      <c r="B33" s="142">
        <v>150</v>
      </c>
      <c r="C33" s="207">
        <v>154</v>
      </c>
      <c r="D33" s="142">
        <f t="shared" si="0"/>
        <v>162</v>
      </c>
      <c r="E33" s="209">
        <f t="shared" si="1"/>
        <v>23.148148148148149</v>
      </c>
      <c r="F33" s="209">
        <f t="shared" si="2"/>
        <v>8.526315789473685</v>
      </c>
      <c r="G33" s="247">
        <f t="shared" si="3"/>
        <v>426315.78947368427</v>
      </c>
      <c r="H33" s="43">
        <f t="shared" si="4"/>
        <v>780374.66547725245</v>
      </c>
      <c r="I33" s="46">
        <f t="shared" si="5"/>
        <v>138.88888888888889</v>
      </c>
      <c r="J33" s="46">
        <f t="shared" si="6"/>
        <v>23.111111111111114</v>
      </c>
      <c r="K33" s="150">
        <f t="shared" si="7"/>
        <v>0.16640000000000002</v>
      </c>
      <c r="L33" s="46">
        <f t="shared" si="8"/>
        <v>16.666666666666668</v>
      </c>
      <c r="M33" s="46">
        <f t="shared" si="9"/>
        <v>14.451382694023193</v>
      </c>
      <c r="N33" s="46">
        <f t="shared" si="10"/>
        <v>14.451382694023195</v>
      </c>
      <c r="O33" s="46">
        <f t="shared" si="11"/>
        <v>14.451382694023193</v>
      </c>
    </row>
    <row r="34" spans="1:15" x14ac:dyDescent="0.35">
      <c r="A34" s="47" t="s">
        <v>3</v>
      </c>
      <c r="B34" s="142">
        <v>151</v>
      </c>
      <c r="C34" s="207">
        <v>168</v>
      </c>
      <c r="D34" s="142">
        <f t="shared" si="0"/>
        <v>176</v>
      </c>
      <c r="E34" s="209">
        <f t="shared" si="1"/>
        <v>21.448863636363637</v>
      </c>
      <c r="F34" s="209">
        <f t="shared" si="2"/>
        <v>9.2631578947368425</v>
      </c>
      <c r="G34" s="247">
        <f t="shared" si="3"/>
        <v>463157.89473684214</v>
      </c>
      <c r="H34" s="43">
        <f t="shared" si="4"/>
        <v>847814.45138269407</v>
      </c>
      <c r="I34" s="46">
        <f t="shared" si="5"/>
        <v>139.81481481481481</v>
      </c>
      <c r="J34" s="46">
        <f t="shared" si="6"/>
        <v>36.18518518518519</v>
      </c>
      <c r="K34" s="150">
        <f t="shared" si="7"/>
        <v>0.25880794701986759</v>
      </c>
      <c r="L34" s="46">
        <f t="shared" si="8"/>
        <v>16.777777777777779</v>
      </c>
      <c r="M34" s="46">
        <f t="shared" si="9"/>
        <v>15.700267618198037</v>
      </c>
      <c r="N34" s="46">
        <f t="shared" si="10"/>
        <v>15.700267618198039</v>
      </c>
      <c r="O34" s="46">
        <f t="shared" si="11"/>
        <v>15.700267618198039</v>
      </c>
    </row>
    <row r="35" spans="1:15" x14ac:dyDescent="0.35">
      <c r="A35" s="47" t="s">
        <v>4</v>
      </c>
      <c r="B35" s="142">
        <v>153</v>
      </c>
      <c r="C35" s="207">
        <v>168</v>
      </c>
      <c r="D35" s="142">
        <f t="shared" si="0"/>
        <v>176</v>
      </c>
      <c r="E35" s="209">
        <f t="shared" si="1"/>
        <v>21.732954545454547</v>
      </c>
      <c r="F35" s="209">
        <f t="shared" si="2"/>
        <v>9.2631578947368425</v>
      </c>
      <c r="G35" s="247">
        <f t="shared" si="3"/>
        <v>463157.89473684214</v>
      </c>
      <c r="H35" s="43">
        <f t="shared" si="4"/>
        <v>847814.45138269407</v>
      </c>
      <c r="I35" s="46">
        <f t="shared" si="5"/>
        <v>141.66666666666666</v>
      </c>
      <c r="J35" s="46">
        <f t="shared" si="6"/>
        <v>34.333333333333343</v>
      </c>
      <c r="K35" s="150">
        <f t="shared" si="7"/>
        <v>0.24235294117647066</v>
      </c>
      <c r="L35" s="46">
        <f t="shared" si="8"/>
        <v>17</v>
      </c>
      <c r="M35" s="46">
        <f t="shared" si="9"/>
        <v>15.700267618198037</v>
      </c>
      <c r="N35" s="46">
        <f t="shared" si="10"/>
        <v>15.700267618198039</v>
      </c>
      <c r="O35" s="46">
        <f t="shared" si="11"/>
        <v>15.700267618198039</v>
      </c>
    </row>
    <row r="36" spans="1:15" x14ac:dyDescent="0.35">
      <c r="A36" s="47" t="s">
        <v>5</v>
      </c>
      <c r="B36" s="142">
        <v>80</v>
      </c>
      <c r="C36" s="207">
        <v>175</v>
      </c>
      <c r="D36" s="142">
        <f>C36</f>
        <v>175</v>
      </c>
      <c r="E36" s="209">
        <f t="shared" si="1"/>
        <v>11.428571428571429</v>
      </c>
      <c r="F36" s="209">
        <f t="shared" si="2"/>
        <v>9.2105263157894743</v>
      </c>
      <c r="G36" s="247">
        <f t="shared" si="3"/>
        <v>460526.31578947371</v>
      </c>
      <c r="H36" s="43">
        <f t="shared" si="4"/>
        <v>842997.32381801959</v>
      </c>
      <c r="I36" s="248" t="s">
        <v>29</v>
      </c>
      <c r="J36" s="248" t="s">
        <v>29</v>
      </c>
      <c r="K36" s="248" t="s">
        <v>29</v>
      </c>
      <c r="L36" s="46">
        <f t="shared" si="8"/>
        <v>8.8888888888888893</v>
      </c>
      <c r="M36" s="46">
        <f>100*D36/$D$17</f>
        <v>15.611061552185548</v>
      </c>
      <c r="N36" s="46">
        <f t="shared" si="10"/>
        <v>15.61106155218555</v>
      </c>
      <c r="O36" s="46">
        <f>100*H36/$D$14</f>
        <v>15.611061552185548</v>
      </c>
    </row>
    <row r="37" spans="1:15" x14ac:dyDescent="0.35">
      <c r="A37" s="47" t="s">
        <v>6</v>
      </c>
      <c r="B37" s="142">
        <v>70</v>
      </c>
      <c r="C37" s="207">
        <v>150</v>
      </c>
      <c r="D37" s="142">
        <f>C37</f>
        <v>150</v>
      </c>
      <c r="E37" s="209">
        <f t="shared" si="1"/>
        <v>11.666666666666666</v>
      </c>
      <c r="F37" s="209">
        <f t="shared" si="2"/>
        <v>7.8947368421052628</v>
      </c>
      <c r="G37" s="247">
        <f t="shared" si="3"/>
        <v>394736.8421052632</v>
      </c>
      <c r="H37" s="43">
        <f t="shared" si="4"/>
        <v>722569.13470115967</v>
      </c>
      <c r="I37" s="248" t="s">
        <v>29</v>
      </c>
      <c r="J37" s="248" t="s">
        <v>29</v>
      </c>
      <c r="K37" s="248" t="s">
        <v>29</v>
      </c>
      <c r="L37" s="46">
        <f t="shared" si="8"/>
        <v>7.7777777777777777</v>
      </c>
      <c r="M37" s="46">
        <f t="shared" si="9"/>
        <v>13.380909901873327</v>
      </c>
      <c r="N37" s="46">
        <f t="shared" si="10"/>
        <v>13.380909901873327</v>
      </c>
      <c r="O37" s="46">
        <f t="shared" si="11"/>
        <v>13.380909901873325</v>
      </c>
    </row>
    <row r="38" spans="1:15" x14ac:dyDescent="0.35">
      <c r="A38" s="219" t="s">
        <v>326</v>
      </c>
      <c r="B38" s="220"/>
      <c r="C38" s="221"/>
    </row>
    <row r="39" spans="1:15" x14ac:dyDescent="0.35">
      <c r="A39" s="47" t="s">
        <v>518</v>
      </c>
      <c r="B39" s="248" t="s">
        <v>29</v>
      </c>
      <c r="C39" s="207">
        <v>25</v>
      </c>
    </row>
    <row r="40" spans="1:15" x14ac:dyDescent="0.35">
      <c r="A40" s="47" t="s">
        <v>519</v>
      </c>
      <c r="B40" s="248" t="s">
        <v>29</v>
      </c>
      <c r="C40" s="207">
        <v>10</v>
      </c>
    </row>
    <row r="41" spans="1:15" x14ac:dyDescent="0.35">
      <c r="A41" s="47" t="s">
        <v>520</v>
      </c>
      <c r="B41" s="248" t="s">
        <v>29</v>
      </c>
      <c r="C41" s="207">
        <v>5</v>
      </c>
    </row>
    <row r="42" spans="1:15" x14ac:dyDescent="0.35">
      <c r="D42" s="13"/>
    </row>
  </sheetData>
  <sheetProtection algorithmName="SHA-512" hashValue="a965gVd6utgbqhshEgtmGM8AffXpQLGEWY7e3lrt031lzlOHZMJ1RYvlQxgTn4IfS54zugzglQBtXOecmmRicw==" saltValue="R7SaVoIwVfqmvzh/O09YTg==" spinCount="100000" sheet="1" objects="1" scenarios="1"/>
  <pageMargins left="0.7" right="0.7" top="0.75" bottom="0.75" header="0.3" footer="0.3"/>
  <pageSetup paperSize="9" orientation="portrait" horizontalDpi="4294967294" r:id="rId1"/>
  <ignoredErrors>
    <ignoredError sqref="D25" formulaRange="1"/>
  </ignoredError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79998168889431442"/>
  </sheetPr>
  <dimension ref="A1:G157"/>
  <sheetViews>
    <sheetView showGridLines="0" zoomScale="75" zoomScaleNormal="75" workbookViewId="0">
      <selection activeCell="B7" sqref="B7"/>
    </sheetView>
  </sheetViews>
  <sheetFormatPr defaultColWidth="9.1796875" defaultRowHeight="14.5" x14ac:dyDescent="0.35"/>
  <cols>
    <col min="1" max="1" width="140.54296875" customWidth="1"/>
    <col min="2" max="3" width="17.81640625" style="54" customWidth="1"/>
    <col min="4" max="4" width="14.453125" style="87" customWidth="1"/>
    <col min="5" max="5" width="15.54296875" style="1" customWidth="1"/>
    <col min="6" max="6" width="19.1796875" style="1" customWidth="1"/>
    <col min="7" max="7" width="77.453125" style="1" customWidth="1"/>
    <col min="8" max="8" width="8.453125" style="1" customWidth="1"/>
    <col min="9" max="16384" width="9.1796875" style="1"/>
  </cols>
  <sheetData>
    <row r="1" spans="1:7" ht="18" customHeight="1" x14ac:dyDescent="0.35">
      <c r="A1" s="404" t="s">
        <v>475</v>
      </c>
      <c r="B1" s="405"/>
      <c r="C1" s="405"/>
      <c r="D1" s="405"/>
      <c r="E1" s="405"/>
      <c r="F1" s="406"/>
    </row>
    <row r="2" spans="1:7" ht="35.25" customHeight="1" x14ac:dyDescent="0.35">
      <c r="A2" s="407" t="s">
        <v>476</v>
      </c>
      <c r="B2" s="408"/>
      <c r="C2" s="408"/>
      <c r="D2" s="408"/>
      <c r="E2" s="408"/>
      <c r="F2" s="409"/>
    </row>
    <row r="3" spans="1:7" s="38" customFormat="1" ht="48.75" customHeight="1" x14ac:dyDescent="0.35">
      <c r="A3" s="407" t="s">
        <v>458</v>
      </c>
      <c r="B3" s="408"/>
      <c r="C3" s="408"/>
      <c r="D3" s="408"/>
      <c r="E3" s="408"/>
      <c r="F3" s="409"/>
    </row>
    <row r="4" spans="1:7" ht="33.75" customHeight="1" x14ac:dyDescent="0.35">
      <c r="A4" s="410" t="s">
        <v>457</v>
      </c>
      <c r="B4" s="411"/>
      <c r="C4" s="411"/>
      <c r="D4" s="411"/>
      <c r="E4" s="411"/>
      <c r="F4" s="412"/>
    </row>
    <row r="5" spans="1:7" ht="18" customHeight="1" x14ac:dyDescent="0.35">
      <c r="B5" s="96"/>
      <c r="C5" s="95"/>
      <c r="D5" s="88"/>
      <c r="E5" s="39"/>
      <c r="F5" s="39"/>
      <c r="G5" s="39"/>
    </row>
    <row r="6" spans="1:7" s="69" customFormat="1" ht="18" customHeight="1" x14ac:dyDescent="0.35">
      <c r="A6" s="122" t="s">
        <v>346</v>
      </c>
      <c r="B6" s="359"/>
      <c r="C6" s="360"/>
      <c r="D6" s="344" t="s">
        <v>340</v>
      </c>
      <c r="E6" s="361"/>
      <c r="F6" s="361"/>
      <c r="G6" s="362"/>
    </row>
    <row r="7" spans="1:7" s="69" customFormat="1" ht="18" customHeight="1" x14ac:dyDescent="0.35">
      <c r="A7" s="49" t="s">
        <v>336</v>
      </c>
      <c r="B7" s="55">
        <v>5000000</v>
      </c>
      <c r="C7" s="42" t="s">
        <v>462</v>
      </c>
      <c r="D7" s="89"/>
      <c r="E7" s="70"/>
      <c r="F7" s="70"/>
      <c r="G7" s="71"/>
    </row>
    <row r="8" spans="1:7" s="69" customFormat="1" ht="18" customHeight="1" x14ac:dyDescent="0.35">
      <c r="A8" s="49" t="s">
        <v>443</v>
      </c>
      <c r="B8" s="55">
        <v>2880000</v>
      </c>
      <c r="C8" s="42" t="s">
        <v>462</v>
      </c>
      <c r="D8" s="89"/>
      <c r="E8" s="70"/>
      <c r="F8" s="70"/>
      <c r="G8" s="71"/>
    </row>
    <row r="9" spans="1:7" s="69" customFormat="1" ht="18" customHeight="1" x14ac:dyDescent="0.35">
      <c r="A9" s="49" t="s">
        <v>344</v>
      </c>
      <c r="B9" s="55">
        <v>2100000</v>
      </c>
      <c r="C9" s="42" t="s">
        <v>462</v>
      </c>
      <c r="D9" s="89"/>
      <c r="E9" s="70"/>
      <c r="F9" s="70"/>
      <c r="G9" s="71"/>
    </row>
    <row r="10" spans="1:7" s="69" customFormat="1" ht="18" customHeight="1" x14ac:dyDescent="0.35">
      <c r="A10" s="49" t="s">
        <v>337</v>
      </c>
      <c r="B10" s="56">
        <f>B7-(B8+B9)</f>
        <v>20000</v>
      </c>
      <c r="C10" s="53" t="s">
        <v>461</v>
      </c>
      <c r="D10" s="90" t="s">
        <v>470</v>
      </c>
      <c r="E10" s="72"/>
      <c r="F10" s="72"/>
      <c r="G10" s="73"/>
    </row>
    <row r="11" spans="1:7" s="69" customFormat="1" ht="18" customHeight="1" x14ac:dyDescent="0.35">
      <c r="A11" s="49" t="s">
        <v>444</v>
      </c>
      <c r="B11" s="55">
        <v>-10000</v>
      </c>
      <c r="C11" s="42" t="s">
        <v>462</v>
      </c>
      <c r="D11" s="91" t="s">
        <v>460</v>
      </c>
      <c r="E11" s="70"/>
      <c r="F11" s="70"/>
      <c r="G11" s="71"/>
    </row>
    <row r="12" spans="1:7" s="69" customFormat="1" ht="18" customHeight="1" x14ac:dyDescent="0.35">
      <c r="A12" s="49" t="s">
        <v>338</v>
      </c>
      <c r="B12" s="57">
        <f>B11+B10</f>
        <v>10000</v>
      </c>
      <c r="C12" s="53" t="s">
        <v>461</v>
      </c>
      <c r="D12" s="90" t="s">
        <v>477</v>
      </c>
      <c r="E12" s="72"/>
      <c r="F12" s="72"/>
      <c r="G12" s="73"/>
    </row>
    <row r="13" spans="1:7" s="69" customFormat="1" ht="18" customHeight="1" x14ac:dyDescent="0.35">
      <c r="A13" s="49" t="s">
        <v>339</v>
      </c>
      <c r="B13" s="58">
        <v>60</v>
      </c>
      <c r="C13" s="42" t="s">
        <v>462</v>
      </c>
      <c r="D13" s="91"/>
      <c r="E13" s="70"/>
      <c r="F13" s="70"/>
      <c r="G13" s="71"/>
    </row>
    <row r="14" spans="1:7" s="69" customFormat="1" ht="18" customHeight="1" x14ac:dyDescent="0.35">
      <c r="A14" s="49" t="s">
        <v>334</v>
      </c>
      <c r="B14" s="57">
        <f>B8/B13</f>
        <v>48000</v>
      </c>
      <c r="C14" s="53" t="s">
        <v>461</v>
      </c>
      <c r="D14" s="90" t="s">
        <v>471</v>
      </c>
      <c r="E14" s="72"/>
      <c r="F14" s="72"/>
      <c r="G14" s="72"/>
    </row>
    <row r="15" spans="1:7" s="77" customFormat="1" ht="36.75" customHeight="1" x14ac:dyDescent="0.35">
      <c r="A15" s="48"/>
      <c r="B15" s="59"/>
      <c r="C15" s="59"/>
      <c r="D15" s="92"/>
      <c r="E15" s="76"/>
      <c r="F15" s="76"/>
      <c r="G15" s="76"/>
    </row>
    <row r="16" spans="1:7" s="69" customFormat="1" ht="18" customHeight="1" x14ac:dyDescent="0.35">
      <c r="A16" s="122" t="s">
        <v>335</v>
      </c>
      <c r="B16" s="360"/>
      <c r="C16" s="360"/>
      <c r="D16" s="344" t="s">
        <v>340</v>
      </c>
      <c r="E16" s="361"/>
      <c r="F16" s="361"/>
      <c r="G16" s="363"/>
    </row>
    <row r="17" spans="1:7" s="69" customFormat="1" ht="18" customHeight="1" x14ac:dyDescent="0.35">
      <c r="A17" s="49" t="s">
        <v>445</v>
      </c>
      <c r="B17" s="55">
        <v>5100000</v>
      </c>
      <c r="C17" s="42" t="s">
        <v>462</v>
      </c>
      <c r="D17" s="91"/>
      <c r="E17" s="78"/>
      <c r="F17" s="78"/>
      <c r="G17" s="79"/>
    </row>
    <row r="18" spans="1:7" s="69" customFormat="1" ht="18" customHeight="1" x14ac:dyDescent="0.35">
      <c r="A18" s="49" t="s">
        <v>342</v>
      </c>
      <c r="B18" s="60">
        <f>(B17-B7)/B7</f>
        <v>0.02</v>
      </c>
      <c r="C18" s="53" t="s">
        <v>461</v>
      </c>
      <c r="D18" s="90" t="s">
        <v>478</v>
      </c>
      <c r="E18" s="80"/>
      <c r="F18" s="80"/>
      <c r="G18" s="81"/>
    </row>
    <row r="19" spans="1:7" s="69" customFormat="1" ht="18" customHeight="1" x14ac:dyDescent="0.35">
      <c r="A19" s="49" t="s">
        <v>446</v>
      </c>
      <c r="B19" s="55">
        <v>2100000</v>
      </c>
      <c r="C19" s="42" t="s">
        <v>462</v>
      </c>
      <c r="D19" s="91"/>
      <c r="E19" s="78"/>
      <c r="F19" s="78"/>
      <c r="G19" s="79"/>
    </row>
    <row r="20" spans="1:7" s="69" customFormat="1" ht="18" customHeight="1" x14ac:dyDescent="0.35">
      <c r="A20" s="49" t="s">
        <v>343</v>
      </c>
      <c r="B20" s="60">
        <f>(B19-B9)/B9</f>
        <v>0</v>
      </c>
      <c r="C20" s="53" t="s">
        <v>461</v>
      </c>
      <c r="D20" s="90" t="s">
        <v>479</v>
      </c>
      <c r="E20" s="80"/>
      <c r="F20" s="80"/>
      <c r="G20" s="81"/>
    </row>
    <row r="21" spans="1:7" s="69" customFormat="1" ht="18" customHeight="1" x14ac:dyDescent="0.35">
      <c r="A21" s="49" t="s">
        <v>447</v>
      </c>
      <c r="B21" s="56">
        <f>B17-B19</f>
        <v>3000000</v>
      </c>
      <c r="C21" s="53" t="s">
        <v>461</v>
      </c>
      <c r="D21" s="90" t="s">
        <v>472</v>
      </c>
      <c r="E21" s="80"/>
      <c r="F21" s="80"/>
      <c r="G21" s="81"/>
    </row>
    <row r="22" spans="1:7" s="69" customFormat="1" ht="18" customHeight="1" x14ac:dyDescent="0.35">
      <c r="A22" s="49" t="s">
        <v>341</v>
      </c>
      <c r="B22" s="57">
        <f>B14</f>
        <v>48000</v>
      </c>
      <c r="C22" s="53" t="s">
        <v>461</v>
      </c>
      <c r="D22" s="90" t="s">
        <v>473</v>
      </c>
      <c r="E22" s="80"/>
      <c r="F22" s="80"/>
      <c r="G22" s="81"/>
    </row>
    <row r="23" spans="1:7" s="69" customFormat="1" ht="18" customHeight="1" x14ac:dyDescent="0.35">
      <c r="A23" s="49" t="s">
        <v>223</v>
      </c>
      <c r="B23" s="58">
        <v>2</v>
      </c>
      <c r="C23" s="42" t="s">
        <v>462</v>
      </c>
      <c r="D23" s="91"/>
      <c r="E23" s="78"/>
      <c r="F23" s="78"/>
      <c r="G23" s="79"/>
    </row>
    <row r="24" spans="1:7" s="69" customFormat="1" ht="18" customHeight="1" x14ac:dyDescent="0.35">
      <c r="A24" s="49" t="s">
        <v>232</v>
      </c>
      <c r="B24" s="57">
        <f>B22*(1+(B23/100))</f>
        <v>48960</v>
      </c>
      <c r="C24" s="53" t="s">
        <v>461</v>
      </c>
      <c r="D24" s="90" t="s">
        <v>480</v>
      </c>
      <c r="E24" s="80"/>
      <c r="F24" s="80"/>
      <c r="G24" s="81"/>
    </row>
    <row r="25" spans="1:7" s="69" customFormat="1" ht="18" customHeight="1" x14ac:dyDescent="0.35">
      <c r="A25" s="49" t="s">
        <v>452</v>
      </c>
      <c r="B25" s="61">
        <f>(ROUNDDOWN(B21/B24,1))</f>
        <v>61.2</v>
      </c>
      <c r="C25" s="53" t="s">
        <v>461</v>
      </c>
      <c r="D25" s="90" t="s">
        <v>481</v>
      </c>
      <c r="E25" s="80"/>
      <c r="F25" s="80"/>
      <c r="G25" s="81"/>
    </row>
    <row r="26" spans="1:7" s="69" customFormat="1" ht="18" customHeight="1" x14ac:dyDescent="0.35">
      <c r="A26" s="49" t="s">
        <v>345</v>
      </c>
      <c r="B26" s="57">
        <f>B12</f>
        <v>10000</v>
      </c>
      <c r="C26" s="53" t="s">
        <v>461</v>
      </c>
      <c r="D26" s="90" t="s">
        <v>482</v>
      </c>
      <c r="E26" s="80"/>
      <c r="F26" s="80"/>
      <c r="G26" s="81"/>
    </row>
    <row r="27" spans="1:7" s="69" customFormat="1" ht="27.75" customHeight="1" x14ac:dyDescent="0.35">
      <c r="A27" s="105" t="s">
        <v>466</v>
      </c>
      <c r="B27" s="62">
        <f>B26/B24</f>
        <v>0.20424836601307189</v>
      </c>
      <c r="C27" s="53" t="s">
        <v>461</v>
      </c>
      <c r="D27" s="90" t="s">
        <v>483</v>
      </c>
      <c r="E27" s="80"/>
      <c r="F27" s="80"/>
      <c r="G27" s="81"/>
    </row>
    <row r="28" spans="1:7" s="69" customFormat="1" ht="18" customHeight="1" x14ac:dyDescent="0.35">
      <c r="A28" s="49" t="s">
        <v>453</v>
      </c>
      <c r="B28" s="61">
        <f>B25+B27</f>
        <v>61.404248366013071</v>
      </c>
      <c r="C28" s="53" t="s">
        <v>461</v>
      </c>
      <c r="D28" s="90" t="s">
        <v>484</v>
      </c>
      <c r="E28" s="80"/>
      <c r="F28" s="80"/>
      <c r="G28" s="81"/>
    </row>
    <row r="29" spans="1:7" s="69" customFormat="1" ht="18" customHeight="1" x14ac:dyDescent="0.35">
      <c r="A29" s="49" t="s">
        <v>454</v>
      </c>
      <c r="B29" s="58">
        <v>61</v>
      </c>
      <c r="C29" s="42" t="s">
        <v>462</v>
      </c>
      <c r="D29" s="91"/>
      <c r="E29" s="78"/>
      <c r="F29" s="78"/>
      <c r="G29" s="79"/>
    </row>
    <row r="30" spans="1:7" s="69" customFormat="1" ht="36.75" customHeight="1" x14ac:dyDescent="0.35">
      <c r="A30" s="82"/>
      <c r="B30" s="64"/>
      <c r="C30" s="64"/>
      <c r="D30" s="93"/>
      <c r="E30" s="83"/>
      <c r="F30" s="83"/>
      <c r="G30" s="83"/>
    </row>
    <row r="31" spans="1:7" s="69" customFormat="1" ht="18" customHeight="1" x14ac:dyDescent="0.35">
      <c r="A31" s="123" t="s">
        <v>448</v>
      </c>
      <c r="B31" s="359"/>
      <c r="C31" s="359"/>
      <c r="D31" s="344" t="s">
        <v>340</v>
      </c>
      <c r="E31" s="361"/>
      <c r="F31" s="361"/>
      <c r="G31" s="363"/>
    </row>
    <row r="32" spans="1:7" s="69" customFormat="1" ht="18" customHeight="1" x14ac:dyDescent="0.35">
      <c r="A32" s="49" t="s">
        <v>231</v>
      </c>
      <c r="B32" s="65">
        <v>1140</v>
      </c>
      <c r="C32" s="42" t="s">
        <v>462</v>
      </c>
      <c r="D32" s="91"/>
      <c r="E32" s="78"/>
      <c r="F32" s="70"/>
      <c r="G32" s="71"/>
    </row>
    <row r="33" spans="1:7" s="69" customFormat="1" ht="18" customHeight="1" x14ac:dyDescent="0.35">
      <c r="A33" s="49" t="s">
        <v>224</v>
      </c>
      <c r="B33" s="65">
        <v>25</v>
      </c>
      <c r="C33" s="42" t="s">
        <v>462</v>
      </c>
      <c r="D33" s="91"/>
      <c r="E33" s="78"/>
      <c r="F33" s="70"/>
      <c r="G33" s="71"/>
    </row>
    <row r="34" spans="1:7" s="69" customFormat="1" ht="18" customHeight="1" x14ac:dyDescent="0.35">
      <c r="A34" s="49" t="s">
        <v>449</v>
      </c>
      <c r="B34" s="61">
        <f>B13</f>
        <v>60</v>
      </c>
      <c r="C34" s="53" t="s">
        <v>461</v>
      </c>
      <c r="D34" s="94" t="s">
        <v>348</v>
      </c>
      <c r="E34" s="80"/>
      <c r="F34" s="72"/>
      <c r="G34" s="73"/>
    </row>
    <row r="35" spans="1:7" s="69" customFormat="1" ht="18" customHeight="1" x14ac:dyDescent="0.35">
      <c r="A35" s="49" t="s">
        <v>225</v>
      </c>
      <c r="B35" s="66">
        <f>B32/B34</f>
        <v>19</v>
      </c>
      <c r="C35" s="53" t="s">
        <v>461</v>
      </c>
      <c r="D35" s="90" t="s">
        <v>485</v>
      </c>
      <c r="E35" s="80"/>
      <c r="F35" s="72"/>
      <c r="G35" s="73"/>
    </row>
    <row r="36" spans="1:7" s="69" customFormat="1" ht="18" customHeight="1" x14ac:dyDescent="0.35">
      <c r="A36" s="49" t="s">
        <v>226</v>
      </c>
      <c r="B36" s="67">
        <f>B35/B33</f>
        <v>0.76</v>
      </c>
      <c r="C36" s="53" t="s">
        <v>461</v>
      </c>
      <c r="D36" s="90" t="s">
        <v>486</v>
      </c>
      <c r="E36" s="80"/>
      <c r="F36" s="72"/>
      <c r="G36" s="73"/>
    </row>
    <row r="37" spans="1:7" s="69" customFormat="1" ht="18" customHeight="1" x14ac:dyDescent="0.35">
      <c r="A37" s="49" t="s">
        <v>227</v>
      </c>
      <c r="B37" s="65">
        <v>1000</v>
      </c>
      <c r="C37" s="42" t="s">
        <v>462</v>
      </c>
      <c r="D37" s="91"/>
      <c r="E37" s="78"/>
      <c r="F37" s="70"/>
      <c r="G37" s="71"/>
    </row>
    <row r="38" spans="1:7" s="69" customFormat="1" ht="18" customHeight="1" x14ac:dyDescent="0.35">
      <c r="A38" s="49" t="s">
        <v>450</v>
      </c>
      <c r="B38" s="66">
        <f>B37*B33/B32</f>
        <v>21.92982456140351</v>
      </c>
      <c r="C38" s="53" t="s">
        <v>461</v>
      </c>
      <c r="D38" s="90" t="s">
        <v>487</v>
      </c>
      <c r="E38" s="80"/>
      <c r="F38" s="72"/>
      <c r="G38" s="73"/>
    </row>
    <row r="39" spans="1:7" s="69" customFormat="1" ht="18" customHeight="1" x14ac:dyDescent="0.35">
      <c r="A39" s="49" t="s">
        <v>451</v>
      </c>
      <c r="B39" s="66">
        <f>B37/B34</f>
        <v>16.666666666666668</v>
      </c>
      <c r="C39" s="53" t="s">
        <v>461</v>
      </c>
      <c r="D39" s="167" t="s">
        <v>488</v>
      </c>
      <c r="E39" s="80"/>
      <c r="F39" s="72"/>
      <c r="G39" s="72"/>
    </row>
    <row r="40" spans="1:7" s="77" customFormat="1" ht="35.25" customHeight="1" x14ac:dyDescent="0.35">
      <c r="A40" s="48"/>
      <c r="B40" s="59"/>
      <c r="C40" s="59"/>
      <c r="D40" s="92"/>
      <c r="E40" s="76"/>
      <c r="F40" s="76"/>
      <c r="G40" s="76"/>
    </row>
    <row r="41" spans="1:7" s="69" customFormat="1" ht="18" customHeight="1" x14ac:dyDescent="0.35">
      <c r="A41" s="122" t="s">
        <v>347</v>
      </c>
      <c r="B41" s="360"/>
      <c r="C41" s="360"/>
      <c r="D41" s="344" t="s">
        <v>340</v>
      </c>
      <c r="E41" s="361"/>
      <c r="F41" s="361"/>
      <c r="G41" s="363"/>
    </row>
    <row r="42" spans="1:7" s="69" customFormat="1" ht="18" customHeight="1" x14ac:dyDescent="0.35">
      <c r="A42" s="49" t="s">
        <v>331</v>
      </c>
      <c r="B42" s="65">
        <v>1000</v>
      </c>
      <c r="C42" s="50" t="s">
        <v>462</v>
      </c>
      <c r="D42" s="89"/>
      <c r="E42" s="70"/>
      <c r="F42" s="70"/>
      <c r="G42" s="71"/>
    </row>
    <row r="43" spans="1:7" s="69" customFormat="1" ht="18" customHeight="1" x14ac:dyDescent="0.35">
      <c r="A43" s="49" t="s">
        <v>228</v>
      </c>
      <c r="B43" s="68">
        <v>0.78</v>
      </c>
      <c r="C43" s="50" t="s">
        <v>462</v>
      </c>
      <c r="D43" s="89"/>
      <c r="E43" s="70"/>
      <c r="F43" s="70"/>
      <c r="G43" s="71"/>
    </row>
    <row r="44" spans="1:7" s="69" customFormat="1" ht="18" customHeight="1" x14ac:dyDescent="0.35">
      <c r="A44" s="49" t="s">
        <v>229</v>
      </c>
      <c r="B44" s="65">
        <v>25</v>
      </c>
      <c r="C44" s="50" t="s">
        <v>462</v>
      </c>
      <c r="D44" s="89"/>
      <c r="E44" s="70"/>
      <c r="F44" s="70"/>
      <c r="G44" s="71"/>
    </row>
    <row r="45" spans="1:7" s="69" customFormat="1" ht="18" customHeight="1" x14ac:dyDescent="0.35">
      <c r="A45" s="49" t="s">
        <v>230</v>
      </c>
      <c r="B45" s="66">
        <f>B43*B44</f>
        <v>19.5</v>
      </c>
      <c r="C45" s="97" t="s">
        <v>461</v>
      </c>
      <c r="D45" s="90" t="s">
        <v>474</v>
      </c>
      <c r="E45" s="72"/>
      <c r="F45" s="72"/>
      <c r="G45" s="73"/>
    </row>
    <row r="46" spans="1:7" s="77" customFormat="1" ht="15" customHeight="1" x14ac:dyDescent="0.35">
      <c r="A46" s="48"/>
      <c r="B46" s="59"/>
      <c r="C46" s="59"/>
      <c r="D46" s="92"/>
      <c r="E46" s="76"/>
      <c r="F46" s="76"/>
      <c r="G46" s="76"/>
    </row>
    <row r="47" spans="1:7" s="69" customFormat="1" ht="6" customHeight="1" x14ac:dyDescent="0.35">
      <c r="A47" s="77"/>
      <c r="B47" s="377"/>
      <c r="C47" s="377"/>
      <c r="D47" s="378"/>
      <c r="E47" s="379"/>
      <c r="F47" s="380"/>
      <c r="G47" s="381"/>
    </row>
    <row r="48" spans="1:7" s="69" customFormat="1" ht="29.25" customHeight="1" x14ac:dyDescent="0.35">
      <c r="A48" s="370" t="s">
        <v>459</v>
      </c>
      <c r="B48" s="373" t="s">
        <v>514</v>
      </c>
      <c r="C48" s="373" t="s">
        <v>515</v>
      </c>
      <c r="D48" s="374" t="s">
        <v>516</v>
      </c>
      <c r="E48" s="375" t="s">
        <v>349</v>
      </c>
      <c r="F48" s="372"/>
      <c r="G48" s="376" t="s">
        <v>340</v>
      </c>
    </row>
    <row r="49" spans="1:7" s="69" customFormat="1" ht="30.75" customHeight="1" x14ac:dyDescent="0.35">
      <c r="A49" s="100" t="s">
        <v>220</v>
      </c>
      <c r="B49" s="61">
        <f>B25</f>
        <v>61.2</v>
      </c>
      <c r="C49" s="61">
        <f>B28</f>
        <v>61.404248366013071</v>
      </c>
      <c r="D49" s="382">
        <f>B29</f>
        <v>61</v>
      </c>
      <c r="E49" s="75">
        <v>60</v>
      </c>
      <c r="F49" s="85" t="s">
        <v>521</v>
      </c>
      <c r="G49" s="403" t="s">
        <v>465</v>
      </c>
    </row>
    <row r="50" spans="1:7" s="69" customFormat="1" ht="18" customHeight="1" x14ac:dyDescent="0.35">
      <c r="A50" s="100" t="s">
        <v>221</v>
      </c>
      <c r="B50" s="66">
        <f>$B$42/B49</f>
        <v>16.33986928104575</v>
      </c>
      <c r="C50" s="66">
        <f t="shared" ref="C50:E50" si="0">$B$42/C49</f>
        <v>16.285518129613564</v>
      </c>
      <c r="D50" s="101">
        <f t="shared" si="0"/>
        <v>16.393442622950818</v>
      </c>
      <c r="E50" s="84">
        <f t="shared" si="0"/>
        <v>16.666666666666668</v>
      </c>
      <c r="F50" s="371" t="s">
        <v>461</v>
      </c>
      <c r="G50" s="94" t="s">
        <v>489</v>
      </c>
    </row>
    <row r="51" spans="1:7" s="69" customFormat="1" ht="18" customHeight="1" x14ac:dyDescent="0.35">
      <c r="A51" s="100" t="s">
        <v>233</v>
      </c>
      <c r="B51" s="66">
        <f>B50/$B$43</f>
        <v>20.948550360315064</v>
      </c>
      <c r="C51" s="66">
        <f t="shared" ref="C51:E51" si="1">C50/$B$43</f>
        <v>20.878869396940466</v>
      </c>
      <c r="D51" s="101">
        <f t="shared" si="1"/>
        <v>21.017234131988229</v>
      </c>
      <c r="E51" s="84">
        <f t="shared" si="1"/>
        <v>21.36752136752137</v>
      </c>
      <c r="F51" s="371" t="s">
        <v>461</v>
      </c>
      <c r="G51" s="94" t="s">
        <v>490</v>
      </c>
    </row>
    <row r="52" spans="1:7" s="69" customFormat="1" ht="26.25" customHeight="1" x14ac:dyDescent="0.35">
      <c r="A52" s="100" t="s">
        <v>222</v>
      </c>
      <c r="B52" s="97">
        <f>ROUNDDOWN($B42*$B$44/B51,0)</f>
        <v>1193</v>
      </c>
      <c r="C52" s="97">
        <f>ROUNDDOWN($B42*$B$44/C51,0)</f>
        <v>1197</v>
      </c>
      <c r="D52" s="98">
        <f>ROUNDDOWN($B42*$B$44/D51,0)</f>
        <v>1189</v>
      </c>
      <c r="E52" s="99">
        <f>ROUNDDOWN($B42*$B$44/E51,0)</f>
        <v>1170</v>
      </c>
      <c r="F52" s="371" t="s">
        <v>461</v>
      </c>
      <c r="G52" s="403" t="s">
        <v>491</v>
      </c>
    </row>
    <row r="53" spans="1:7" s="69" customFormat="1" ht="18" customHeight="1" x14ac:dyDescent="0.35">
      <c r="A53" s="100" t="s">
        <v>350</v>
      </c>
      <c r="B53" s="8">
        <f>(27/B51)-1</f>
        <v>0.28887200000000024</v>
      </c>
      <c r="C53" s="8">
        <f t="shared" ref="C53:E53" si="2">(27/C51)-1</f>
        <v>0.2931734705882354</v>
      </c>
      <c r="D53" s="102">
        <f t="shared" si="2"/>
        <v>0.28466000000000014</v>
      </c>
      <c r="E53" s="103">
        <f t="shared" si="2"/>
        <v>0.26359999999999983</v>
      </c>
      <c r="F53" s="371" t="s">
        <v>461</v>
      </c>
      <c r="G53" s="94" t="s">
        <v>492</v>
      </c>
    </row>
    <row r="54" spans="1:7" s="69" customFormat="1" ht="18" customHeight="1" x14ac:dyDescent="0.35">
      <c r="A54" s="100" t="s">
        <v>463</v>
      </c>
      <c r="B54" s="57">
        <f>($B$25-B49)*$B$24</f>
        <v>0</v>
      </c>
      <c r="C54" s="57">
        <f t="shared" ref="C54:E54" si="3">($B$25-C49)*$B$24</f>
        <v>-9999.9999999998345</v>
      </c>
      <c r="D54" s="104">
        <f t="shared" si="3"/>
        <v>9792.0000000001382</v>
      </c>
      <c r="E54" s="74">
        <f t="shared" si="3"/>
        <v>58752.000000000138</v>
      </c>
      <c r="F54" s="371" t="s">
        <v>461</v>
      </c>
      <c r="G54" s="94" t="s">
        <v>493</v>
      </c>
    </row>
    <row r="55" spans="1:7" s="69" customFormat="1" ht="18" customHeight="1" x14ac:dyDescent="0.35">
      <c r="A55" s="100" t="s">
        <v>464</v>
      </c>
      <c r="B55" s="57">
        <f>($B$28-B49)*$B$24</f>
        <v>9999.9999999998345</v>
      </c>
      <c r="C55" s="57">
        <f>($B$28-C49)*$B$24</f>
        <v>0</v>
      </c>
      <c r="D55" s="104">
        <f>($B$28-D49)*$B$24</f>
        <v>19791.999999999975</v>
      </c>
      <c r="E55" s="74">
        <f>($B$28-E49)*$B$24</f>
        <v>68751.999999999971</v>
      </c>
      <c r="F55" s="371" t="s">
        <v>461</v>
      </c>
      <c r="G55" s="94" t="s">
        <v>494</v>
      </c>
    </row>
    <row r="56" spans="1:7" s="69" customFormat="1" x14ac:dyDescent="0.35">
      <c r="A56" s="85"/>
      <c r="B56" s="54"/>
      <c r="C56" s="54"/>
      <c r="D56" s="87"/>
    </row>
    <row r="57" spans="1:7" s="69" customFormat="1" x14ac:dyDescent="0.35">
      <c r="A57" s="85"/>
      <c r="B57" s="54"/>
      <c r="C57" s="54"/>
      <c r="D57" s="87"/>
    </row>
    <row r="58" spans="1:7" s="69" customFormat="1" x14ac:dyDescent="0.35">
      <c r="A58" s="85"/>
      <c r="B58" s="54"/>
      <c r="C58" s="54"/>
      <c r="D58" s="87"/>
    </row>
    <row r="59" spans="1:7" s="69" customFormat="1" x14ac:dyDescent="0.35">
      <c r="A59" s="85"/>
      <c r="B59" s="54"/>
      <c r="C59" s="54"/>
      <c r="D59" s="87"/>
    </row>
    <row r="60" spans="1:7" s="69" customFormat="1" x14ac:dyDescent="0.35">
      <c r="A60" s="85"/>
      <c r="B60" s="54"/>
      <c r="C60" s="54"/>
      <c r="D60" s="87"/>
    </row>
    <row r="61" spans="1:7" s="69" customFormat="1" x14ac:dyDescent="0.35">
      <c r="A61" s="85"/>
      <c r="B61" s="54"/>
      <c r="C61" s="54"/>
      <c r="D61" s="87"/>
    </row>
    <row r="62" spans="1:7" s="69" customFormat="1" x14ac:dyDescent="0.35">
      <c r="A62" s="85"/>
      <c r="B62" s="54"/>
      <c r="C62" s="54"/>
      <c r="D62" s="87"/>
    </row>
    <row r="63" spans="1:7" s="69" customFormat="1" x14ac:dyDescent="0.35">
      <c r="A63" s="85"/>
      <c r="B63" s="54"/>
      <c r="C63" s="54"/>
      <c r="D63" s="87"/>
    </row>
    <row r="64" spans="1:7" s="69" customFormat="1" x14ac:dyDescent="0.35">
      <c r="A64" s="85"/>
      <c r="B64" s="54"/>
      <c r="C64" s="54"/>
      <c r="D64" s="87"/>
    </row>
    <row r="65" spans="1:4" s="69" customFormat="1" x14ac:dyDescent="0.35">
      <c r="A65" s="85"/>
      <c r="B65" s="54"/>
      <c r="C65" s="54"/>
      <c r="D65" s="87"/>
    </row>
    <row r="66" spans="1:4" s="69" customFormat="1" x14ac:dyDescent="0.35">
      <c r="A66" s="85"/>
      <c r="B66" s="54"/>
      <c r="C66" s="54"/>
      <c r="D66" s="87"/>
    </row>
    <row r="67" spans="1:4" s="69" customFormat="1" x14ac:dyDescent="0.35">
      <c r="A67" s="85"/>
      <c r="B67" s="54"/>
      <c r="C67" s="54"/>
      <c r="D67" s="87"/>
    </row>
    <row r="68" spans="1:4" s="69" customFormat="1" x14ac:dyDescent="0.35">
      <c r="A68" s="85"/>
      <c r="B68" s="54"/>
      <c r="C68" s="54"/>
      <c r="D68" s="87"/>
    </row>
    <row r="69" spans="1:4" s="69" customFormat="1" x14ac:dyDescent="0.35">
      <c r="A69" s="85"/>
      <c r="B69" s="54"/>
      <c r="C69" s="54"/>
      <c r="D69" s="87"/>
    </row>
    <row r="70" spans="1:4" s="69" customFormat="1" x14ac:dyDescent="0.35">
      <c r="A70" s="85"/>
      <c r="B70" s="54"/>
      <c r="C70" s="54"/>
      <c r="D70" s="87"/>
    </row>
    <row r="71" spans="1:4" s="69" customFormat="1" x14ac:dyDescent="0.35">
      <c r="A71" s="85"/>
      <c r="B71" s="54"/>
      <c r="C71" s="54"/>
      <c r="D71" s="87"/>
    </row>
    <row r="72" spans="1:4" s="69" customFormat="1" x14ac:dyDescent="0.35">
      <c r="A72" s="85"/>
      <c r="B72" s="54"/>
      <c r="C72" s="54"/>
      <c r="D72" s="87"/>
    </row>
    <row r="73" spans="1:4" s="69" customFormat="1" x14ac:dyDescent="0.35">
      <c r="A73" s="85"/>
      <c r="B73" s="54"/>
      <c r="C73" s="54"/>
      <c r="D73" s="87"/>
    </row>
    <row r="74" spans="1:4" s="69" customFormat="1" x14ac:dyDescent="0.35">
      <c r="A74" s="85"/>
      <c r="B74" s="54"/>
      <c r="C74" s="54"/>
      <c r="D74" s="87"/>
    </row>
    <row r="75" spans="1:4" s="69" customFormat="1" x14ac:dyDescent="0.35">
      <c r="A75" s="85"/>
      <c r="B75" s="54"/>
      <c r="C75" s="54"/>
      <c r="D75" s="87"/>
    </row>
    <row r="76" spans="1:4" s="69" customFormat="1" x14ac:dyDescent="0.35">
      <c r="A76" s="85"/>
      <c r="B76" s="54"/>
      <c r="C76" s="54"/>
      <c r="D76" s="87"/>
    </row>
    <row r="77" spans="1:4" s="69" customFormat="1" x14ac:dyDescent="0.35">
      <c r="A77" s="85"/>
      <c r="B77" s="54"/>
      <c r="C77" s="54"/>
      <c r="D77" s="87"/>
    </row>
    <row r="78" spans="1:4" s="69" customFormat="1" x14ac:dyDescent="0.35">
      <c r="A78" s="85"/>
      <c r="B78" s="54"/>
      <c r="C78" s="54"/>
      <c r="D78" s="87"/>
    </row>
    <row r="79" spans="1:4" s="69" customFormat="1" x14ac:dyDescent="0.35">
      <c r="A79" s="85"/>
      <c r="B79" s="54"/>
      <c r="C79" s="54"/>
      <c r="D79" s="87"/>
    </row>
    <row r="80" spans="1:4" s="69" customFormat="1" x14ac:dyDescent="0.35">
      <c r="A80" s="85"/>
      <c r="B80" s="54"/>
      <c r="C80" s="54"/>
      <c r="D80" s="87"/>
    </row>
    <row r="81" spans="1:4" s="69" customFormat="1" x14ac:dyDescent="0.35">
      <c r="A81" s="85"/>
      <c r="B81" s="54"/>
      <c r="C81" s="54"/>
      <c r="D81" s="87"/>
    </row>
    <row r="82" spans="1:4" s="69" customFormat="1" x14ac:dyDescent="0.35">
      <c r="A82" s="85"/>
      <c r="B82" s="54"/>
      <c r="C82" s="54"/>
      <c r="D82" s="87"/>
    </row>
    <row r="83" spans="1:4" s="69" customFormat="1" x14ac:dyDescent="0.35">
      <c r="A83" s="85"/>
      <c r="B83" s="54"/>
      <c r="C83" s="54"/>
      <c r="D83" s="87"/>
    </row>
    <row r="84" spans="1:4" s="69" customFormat="1" x14ac:dyDescent="0.35">
      <c r="A84" s="85"/>
      <c r="B84" s="54"/>
      <c r="C84" s="54"/>
      <c r="D84" s="87"/>
    </row>
    <row r="85" spans="1:4" s="69" customFormat="1" x14ac:dyDescent="0.35">
      <c r="A85" s="85"/>
      <c r="B85" s="54"/>
      <c r="C85" s="54"/>
      <c r="D85" s="87"/>
    </row>
    <row r="86" spans="1:4" s="69" customFormat="1" x14ac:dyDescent="0.35">
      <c r="A86" s="85"/>
      <c r="B86" s="54"/>
      <c r="C86" s="54"/>
      <c r="D86" s="87"/>
    </row>
    <row r="87" spans="1:4" s="69" customFormat="1" x14ac:dyDescent="0.35">
      <c r="A87" s="85"/>
      <c r="B87" s="54"/>
      <c r="C87" s="54"/>
      <c r="D87" s="87"/>
    </row>
    <row r="88" spans="1:4" s="69" customFormat="1" x14ac:dyDescent="0.35">
      <c r="A88" s="85"/>
      <c r="B88" s="54"/>
      <c r="C88" s="54"/>
      <c r="D88" s="87"/>
    </row>
    <row r="89" spans="1:4" s="69" customFormat="1" x14ac:dyDescent="0.35">
      <c r="A89" s="85"/>
      <c r="B89" s="54"/>
      <c r="C89" s="54"/>
      <c r="D89" s="87"/>
    </row>
    <row r="90" spans="1:4" s="69" customFormat="1" x14ac:dyDescent="0.35">
      <c r="A90" s="85"/>
      <c r="B90" s="54"/>
      <c r="C90" s="54"/>
      <c r="D90" s="87"/>
    </row>
    <row r="91" spans="1:4" s="69" customFormat="1" x14ac:dyDescent="0.35">
      <c r="A91" s="85"/>
      <c r="B91" s="54"/>
      <c r="C91" s="54"/>
      <c r="D91" s="87"/>
    </row>
    <row r="92" spans="1:4" s="69" customFormat="1" x14ac:dyDescent="0.35">
      <c r="A92" s="85"/>
      <c r="B92" s="54"/>
      <c r="C92" s="54"/>
      <c r="D92" s="87"/>
    </row>
    <row r="93" spans="1:4" s="69" customFormat="1" x14ac:dyDescent="0.35">
      <c r="A93" s="85"/>
      <c r="B93" s="54"/>
      <c r="C93" s="54"/>
      <c r="D93" s="87"/>
    </row>
    <row r="94" spans="1:4" s="69" customFormat="1" x14ac:dyDescent="0.35">
      <c r="A94" s="85"/>
      <c r="B94" s="54"/>
      <c r="C94" s="54"/>
      <c r="D94" s="87"/>
    </row>
    <row r="95" spans="1:4" s="69" customFormat="1" x14ac:dyDescent="0.35">
      <c r="A95" s="85"/>
      <c r="B95" s="54"/>
      <c r="C95" s="54"/>
      <c r="D95" s="87"/>
    </row>
    <row r="96" spans="1:4" s="69" customFormat="1" x14ac:dyDescent="0.35">
      <c r="A96" s="85"/>
      <c r="B96" s="54"/>
      <c r="C96" s="54"/>
      <c r="D96" s="87"/>
    </row>
    <row r="97" spans="1:4" s="69" customFormat="1" x14ac:dyDescent="0.35">
      <c r="A97" s="85"/>
      <c r="B97" s="54"/>
      <c r="C97" s="54"/>
      <c r="D97" s="87"/>
    </row>
    <row r="98" spans="1:4" s="69" customFormat="1" x14ac:dyDescent="0.35">
      <c r="A98" s="85"/>
      <c r="B98" s="54"/>
      <c r="C98" s="54"/>
      <c r="D98" s="87"/>
    </row>
    <row r="99" spans="1:4" s="69" customFormat="1" x14ac:dyDescent="0.35">
      <c r="A99" s="85"/>
      <c r="B99" s="54"/>
      <c r="C99" s="54"/>
      <c r="D99" s="87"/>
    </row>
    <row r="100" spans="1:4" s="69" customFormat="1" x14ac:dyDescent="0.35">
      <c r="A100" s="85"/>
      <c r="B100" s="54"/>
      <c r="C100" s="54"/>
      <c r="D100" s="87"/>
    </row>
    <row r="101" spans="1:4" s="69" customFormat="1" x14ac:dyDescent="0.35">
      <c r="A101" s="85"/>
      <c r="B101" s="54"/>
      <c r="C101" s="54"/>
      <c r="D101" s="87"/>
    </row>
    <row r="102" spans="1:4" s="69" customFormat="1" x14ac:dyDescent="0.35">
      <c r="A102" s="85"/>
      <c r="B102" s="54"/>
      <c r="C102" s="54"/>
      <c r="D102" s="87"/>
    </row>
    <row r="103" spans="1:4" s="69" customFormat="1" x14ac:dyDescent="0.35">
      <c r="A103" s="85"/>
      <c r="B103" s="54"/>
      <c r="C103" s="54"/>
      <c r="D103" s="87"/>
    </row>
    <row r="104" spans="1:4" s="69" customFormat="1" x14ac:dyDescent="0.35">
      <c r="A104" s="85"/>
      <c r="B104" s="54"/>
      <c r="C104" s="54"/>
      <c r="D104" s="87"/>
    </row>
    <row r="105" spans="1:4" s="69" customFormat="1" x14ac:dyDescent="0.35">
      <c r="A105" s="85"/>
      <c r="B105" s="54"/>
      <c r="C105" s="54"/>
      <c r="D105" s="87"/>
    </row>
    <row r="106" spans="1:4" s="69" customFormat="1" x14ac:dyDescent="0.35">
      <c r="A106" s="85"/>
      <c r="B106" s="54"/>
      <c r="C106" s="54"/>
      <c r="D106" s="87"/>
    </row>
    <row r="107" spans="1:4" s="69" customFormat="1" x14ac:dyDescent="0.35">
      <c r="A107" s="85"/>
      <c r="B107" s="54"/>
      <c r="C107" s="54"/>
      <c r="D107" s="87"/>
    </row>
    <row r="108" spans="1:4" s="69" customFormat="1" x14ac:dyDescent="0.35">
      <c r="A108" s="85"/>
      <c r="B108" s="54"/>
      <c r="C108" s="54"/>
      <c r="D108" s="87"/>
    </row>
    <row r="109" spans="1:4" s="69" customFormat="1" x14ac:dyDescent="0.35">
      <c r="A109" s="85"/>
      <c r="B109" s="54"/>
      <c r="C109" s="54"/>
      <c r="D109" s="87"/>
    </row>
    <row r="110" spans="1:4" s="69" customFormat="1" x14ac:dyDescent="0.35">
      <c r="A110" s="85"/>
      <c r="B110" s="54"/>
      <c r="C110" s="54"/>
      <c r="D110" s="87"/>
    </row>
    <row r="111" spans="1:4" s="69" customFormat="1" x14ac:dyDescent="0.35">
      <c r="A111" s="85"/>
      <c r="B111" s="54"/>
      <c r="C111" s="54"/>
      <c r="D111" s="87"/>
    </row>
    <row r="112" spans="1:4" s="69" customFormat="1" x14ac:dyDescent="0.35">
      <c r="A112" s="85"/>
      <c r="B112" s="54"/>
      <c r="C112" s="54"/>
      <c r="D112" s="87"/>
    </row>
    <row r="113" spans="1:4" s="69" customFormat="1" x14ac:dyDescent="0.35">
      <c r="A113" s="85"/>
      <c r="B113" s="54"/>
      <c r="C113" s="54"/>
      <c r="D113" s="87"/>
    </row>
    <row r="114" spans="1:4" s="69" customFormat="1" x14ac:dyDescent="0.35">
      <c r="A114" s="85"/>
      <c r="B114" s="54"/>
      <c r="C114" s="54"/>
      <c r="D114" s="87"/>
    </row>
    <row r="115" spans="1:4" s="69" customFormat="1" x14ac:dyDescent="0.35">
      <c r="A115" s="85"/>
      <c r="B115" s="54"/>
      <c r="C115" s="54"/>
      <c r="D115" s="87"/>
    </row>
    <row r="116" spans="1:4" s="69" customFormat="1" x14ac:dyDescent="0.35">
      <c r="A116" s="85"/>
      <c r="B116" s="54"/>
      <c r="C116" s="54"/>
      <c r="D116" s="87"/>
    </row>
    <row r="117" spans="1:4" s="69" customFormat="1" x14ac:dyDescent="0.35">
      <c r="A117" s="85"/>
      <c r="B117" s="54"/>
      <c r="C117" s="54"/>
      <c r="D117" s="87"/>
    </row>
    <row r="118" spans="1:4" s="69" customFormat="1" x14ac:dyDescent="0.35">
      <c r="A118" s="85"/>
      <c r="B118" s="54"/>
      <c r="C118" s="54"/>
      <c r="D118" s="87"/>
    </row>
    <row r="119" spans="1:4" s="69" customFormat="1" x14ac:dyDescent="0.35">
      <c r="A119" s="85"/>
      <c r="B119" s="54"/>
      <c r="C119" s="54"/>
      <c r="D119" s="87"/>
    </row>
    <row r="120" spans="1:4" s="69" customFormat="1" x14ac:dyDescent="0.35">
      <c r="A120" s="85"/>
      <c r="B120" s="54"/>
      <c r="C120" s="54"/>
      <c r="D120" s="87"/>
    </row>
    <row r="121" spans="1:4" s="69" customFormat="1" x14ac:dyDescent="0.35">
      <c r="A121" s="85"/>
      <c r="B121" s="54"/>
      <c r="C121" s="54"/>
      <c r="D121" s="87"/>
    </row>
    <row r="122" spans="1:4" s="69" customFormat="1" x14ac:dyDescent="0.35">
      <c r="A122" s="85"/>
      <c r="B122" s="54"/>
      <c r="C122" s="54"/>
      <c r="D122" s="87"/>
    </row>
    <row r="123" spans="1:4" s="69" customFormat="1" x14ac:dyDescent="0.35">
      <c r="A123" s="85"/>
      <c r="B123" s="54"/>
      <c r="C123" s="54"/>
      <c r="D123" s="87"/>
    </row>
    <row r="124" spans="1:4" s="69" customFormat="1" x14ac:dyDescent="0.35">
      <c r="A124" s="85"/>
      <c r="B124" s="54"/>
      <c r="C124" s="54"/>
      <c r="D124" s="87"/>
    </row>
    <row r="125" spans="1:4" s="69" customFormat="1" x14ac:dyDescent="0.35">
      <c r="A125" s="85"/>
      <c r="B125" s="54"/>
      <c r="C125" s="54"/>
      <c r="D125" s="87"/>
    </row>
    <row r="126" spans="1:4" s="69" customFormat="1" x14ac:dyDescent="0.35">
      <c r="A126" s="85"/>
      <c r="B126" s="54"/>
      <c r="C126" s="54"/>
      <c r="D126" s="87"/>
    </row>
    <row r="127" spans="1:4" s="69" customFormat="1" x14ac:dyDescent="0.35">
      <c r="A127" s="85"/>
      <c r="B127" s="54"/>
      <c r="C127" s="54"/>
      <c r="D127" s="87"/>
    </row>
    <row r="128" spans="1:4" s="69" customFormat="1" x14ac:dyDescent="0.35">
      <c r="A128" s="85"/>
      <c r="B128" s="54"/>
      <c r="C128" s="54"/>
      <c r="D128" s="87"/>
    </row>
    <row r="129" spans="1:4" s="69" customFormat="1" x14ac:dyDescent="0.35">
      <c r="A129" s="85"/>
      <c r="B129" s="54"/>
      <c r="C129" s="54"/>
      <c r="D129" s="87"/>
    </row>
    <row r="130" spans="1:4" s="69" customFormat="1" x14ac:dyDescent="0.35">
      <c r="A130" s="85"/>
      <c r="B130" s="54"/>
      <c r="C130" s="54"/>
      <c r="D130" s="87"/>
    </row>
    <row r="131" spans="1:4" s="69" customFormat="1" x14ac:dyDescent="0.35">
      <c r="A131" s="85"/>
      <c r="B131" s="54"/>
      <c r="C131" s="54"/>
      <c r="D131" s="87"/>
    </row>
    <row r="132" spans="1:4" s="69" customFormat="1" x14ac:dyDescent="0.35">
      <c r="A132" s="85"/>
      <c r="B132" s="54"/>
      <c r="C132" s="54"/>
      <c r="D132" s="87"/>
    </row>
    <row r="133" spans="1:4" s="69" customFormat="1" x14ac:dyDescent="0.35">
      <c r="A133" s="85"/>
      <c r="B133" s="54"/>
      <c r="C133" s="54"/>
      <c r="D133" s="87"/>
    </row>
    <row r="134" spans="1:4" s="69" customFormat="1" x14ac:dyDescent="0.35">
      <c r="A134" s="85"/>
      <c r="B134" s="54"/>
      <c r="C134" s="54"/>
      <c r="D134" s="87"/>
    </row>
    <row r="135" spans="1:4" s="69" customFormat="1" x14ac:dyDescent="0.35">
      <c r="A135" s="85"/>
      <c r="B135" s="54"/>
      <c r="C135" s="54"/>
      <c r="D135" s="87"/>
    </row>
    <row r="136" spans="1:4" s="69" customFormat="1" x14ac:dyDescent="0.35">
      <c r="A136" s="85"/>
      <c r="B136" s="54"/>
      <c r="C136" s="54"/>
      <c r="D136" s="87"/>
    </row>
    <row r="137" spans="1:4" s="69" customFormat="1" x14ac:dyDescent="0.35">
      <c r="A137" s="85"/>
      <c r="B137" s="54"/>
      <c r="C137" s="54"/>
      <c r="D137" s="87"/>
    </row>
    <row r="138" spans="1:4" s="69" customFormat="1" x14ac:dyDescent="0.35">
      <c r="A138" s="85"/>
      <c r="B138" s="54"/>
      <c r="C138" s="54"/>
      <c r="D138" s="87"/>
    </row>
    <row r="139" spans="1:4" s="69" customFormat="1" x14ac:dyDescent="0.35">
      <c r="A139" s="85"/>
      <c r="B139" s="54"/>
      <c r="C139" s="54"/>
      <c r="D139" s="87"/>
    </row>
    <row r="140" spans="1:4" s="69" customFormat="1" x14ac:dyDescent="0.35">
      <c r="A140" s="85"/>
      <c r="B140" s="54"/>
      <c r="C140" s="54"/>
      <c r="D140" s="87"/>
    </row>
    <row r="141" spans="1:4" s="69" customFormat="1" x14ac:dyDescent="0.35">
      <c r="A141" s="85"/>
      <c r="B141" s="54"/>
      <c r="C141" s="54"/>
      <c r="D141" s="87"/>
    </row>
    <row r="142" spans="1:4" s="69" customFormat="1" x14ac:dyDescent="0.35">
      <c r="A142" s="85"/>
      <c r="B142" s="54"/>
      <c r="C142" s="54"/>
      <c r="D142" s="87"/>
    </row>
    <row r="143" spans="1:4" s="69" customFormat="1" x14ac:dyDescent="0.35">
      <c r="A143" s="85"/>
      <c r="B143" s="54"/>
      <c r="C143" s="54"/>
      <c r="D143" s="87"/>
    </row>
    <row r="144" spans="1:4" s="69" customFormat="1" x14ac:dyDescent="0.35">
      <c r="A144" s="85"/>
      <c r="B144" s="54"/>
      <c r="C144" s="54"/>
      <c r="D144" s="87"/>
    </row>
    <row r="145" spans="1:4" s="69" customFormat="1" x14ac:dyDescent="0.35">
      <c r="A145" s="85"/>
      <c r="B145" s="54"/>
      <c r="C145" s="54"/>
      <c r="D145" s="87"/>
    </row>
    <row r="146" spans="1:4" s="69" customFormat="1" x14ac:dyDescent="0.35">
      <c r="A146" s="85"/>
      <c r="B146" s="54"/>
      <c r="C146" s="54"/>
      <c r="D146" s="87"/>
    </row>
    <row r="147" spans="1:4" s="69" customFormat="1" x14ac:dyDescent="0.35">
      <c r="A147" s="85"/>
      <c r="B147" s="54"/>
      <c r="C147" s="54"/>
      <c r="D147" s="87"/>
    </row>
    <row r="148" spans="1:4" s="69" customFormat="1" x14ac:dyDescent="0.35">
      <c r="A148" s="85"/>
      <c r="B148" s="54"/>
      <c r="C148" s="54"/>
      <c r="D148" s="87"/>
    </row>
    <row r="149" spans="1:4" s="69" customFormat="1" x14ac:dyDescent="0.35">
      <c r="A149" s="85"/>
      <c r="B149" s="54"/>
      <c r="C149" s="54"/>
      <c r="D149" s="87"/>
    </row>
    <row r="150" spans="1:4" s="69" customFormat="1" x14ac:dyDescent="0.35">
      <c r="A150" s="85"/>
      <c r="B150" s="54"/>
      <c r="C150" s="54"/>
      <c r="D150" s="87"/>
    </row>
    <row r="151" spans="1:4" s="69" customFormat="1" x14ac:dyDescent="0.35">
      <c r="A151" s="85"/>
      <c r="B151" s="54"/>
      <c r="C151" s="54"/>
      <c r="D151" s="87"/>
    </row>
    <row r="152" spans="1:4" s="69" customFormat="1" x14ac:dyDescent="0.35">
      <c r="A152" s="85"/>
      <c r="B152" s="54"/>
      <c r="C152" s="54"/>
      <c r="D152" s="87"/>
    </row>
    <row r="153" spans="1:4" s="69" customFormat="1" x14ac:dyDescent="0.35">
      <c r="A153" s="85"/>
      <c r="B153" s="54"/>
      <c r="C153" s="54"/>
      <c r="D153" s="87"/>
    </row>
    <row r="154" spans="1:4" s="69" customFormat="1" x14ac:dyDescent="0.35">
      <c r="A154" s="85"/>
      <c r="B154" s="54"/>
      <c r="C154" s="54"/>
      <c r="D154" s="87"/>
    </row>
    <row r="155" spans="1:4" s="69" customFormat="1" x14ac:dyDescent="0.35">
      <c r="A155" s="85"/>
      <c r="B155" s="54"/>
      <c r="C155" s="54"/>
      <c r="D155" s="87"/>
    </row>
    <row r="156" spans="1:4" s="69" customFormat="1" x14ac:dyDescent="0.35">
      <c r="A156" s="85"/>
      <c r="B156" s="54"/>
      <c r="C156" s="54"/>
      <c r="D156" s="87"/>
    </row>
    <row r="157" spans="1:4" s="69" customFormat="1" x14ac:dyDescent="0.35">
      <c r="A157" s="85"/>
      <c r="B157" s="54"/>
      <c r="C157" s="54"/>
      <c r="D157" s="87"/>
    </row>
  </sheetData>
  <sheetProtection algorithmName="SHA-512" hashValue="jfwJouJmOY9Z3UeAe/wKiIld9zHHLR8Q6LTZ5MnNRmgAW2Fb8kjwWBYYvbFR6qkSBHCefDv//0kEBWKGyKp2Iw==" saltValue="GVh4NU1Op1/MfrKKOACKdA==" spinCount="100000" sheet="1" selectLockedCells="1"/>
  <mergeCells count="4">
    <mergeCell ref="A1:F1"/>
    <mergeCell ref="A2:F2"/>
    <mergeCell ref="A3:F3"/>
    <mergeCell ref="A4:F4"/>
  </mergeCells>
  <pageMargins left="0.7" right="0.7" top="0.75" bottom="0.75" header="0.3" footer="0.3"/>
  <pageSetup paperSize="9" orientation="portrait" horizontalDpi="4294967294"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2"/>
  </sheetPr>
  <dimension ref="A1:AF26"/>
  <sheetViews>
    <sheetView showGridLines="0" zoomScale="75" zoomScaleNormal="75" workbookViewId="0"/>
  </sheetViews>
  <sheetFormatPr defaultColWidth="0" defaultRowHeight="14.5" zeroHeight="1" x14ac:dyDescent="0.35"/>
  <cols>
    <col min="1" max="1" width="183.81640625" style="111" customWidth="1"/>
    <col min="2" max="31" width="9" customWidth="1"/>
    <col min="32" max="32" width="0" hidden="1" customWidth="1"/>
    <col min="33" max="16384" width="9" hidden="1"/>
  </cols>
  <sheetData>
    <row r="1" spans="1:1" x14ac:dyDescent="0.35">
      <c r="A1" s="401" t="s">
        <v>360</v>
      </c>
    </row>
    <row r="2" spans="1:1" x14ac:dyDescent="0.35">
      <c r="A2" s="113"/>
    </row>
    <row r="3" spans="1:1" ht="29" x14ac:dyDescent="0.35">
      <c r="A3" s="112" t="s">
        <v>361</v>
      </c>
    </row>
    <row r="4" spans="1:1" x14ac:dyDescent="0.35">
      <c r="A4" s="112" t="s">
        <v>363</v>
      </c>
    </row>
    <row r="5" spans="1:1" x14ac:dyDescent="0.35">
      <c r="A5" s="112" t="s">
        <v>364</v>
      </c>
    </row>
    <row r="6" spans="1:1" x14ac:dyDescent="0.35">
      <c r="A6" s="112" t="s">
        <v>362</v>
      </c>
    </row>
    <row r="7" spans="1:1" x14ac:dyDescent="0.35">
      <c r="A7" s="113"/>
    </row>
    <row r="8" spans="1:1" x14ac:dyDescent="0.35">
      <c r="A8" s="112" t="s">
        <v>365</v>
      </c>
    </row>
    <row r="9" spans="1:1" ht="29" x14ac:dyDescent="0.35">
      <c r="A9" s="112" t="s">
        <v>367</v>
      </c>
    </row>
    <row r="10" spans="1:1" x14ac:dyDescent="0.35">
      <c r="A10" s="112" t="s">
        <v>366</v>
      </c>
    </row>
    <row r="11" spans="1:1" x14ac:dyDescent="0.35">
      <c r="A11" s="113"/>
    </row>
    <row r="12" spans="1:1" x14ac:dyDescent="0.35">
      <c r="A12" s="112" t="s">
        <v>368</v>
      </c>
    </row>
    <row r="13" spans="1:1" ht="29" x14ac:dyDescent="0.35">
      <c r="A13" s="112" t="s">
        <v>369</v>
      </c>
    </row>
    <row r="14" spans="1:1" x14ac:dyDescent="0.35">
      <c r="A14" s="112" t="s">
        <v>370</v>
      </c>
    </row>
    <row r="15" spans="1:1" x14ac:dyDescent="0.35">
      <c r="A15" s="112" t="s">
        <v>371</v>
      </c>
    </row>
    <row r="16" spans="1:1" x14ac:dyDescent="0.35">
      <c r="A16" s="113"/>
    </row>
    <row r="17" spans="1:1" ht="29" x14ac:dyDescent="0.35">
      <c r="A17" s="112" t="s">
        <v>372</v>
      </c>
    </row>
    <row r="18" spans="1:1" x14ac:dyDescent="0.35">
      <c r="A18" s="112" t="s">
        <v>375</v>
      </c>
    </row>
    <row r="19" spans="1:1" ht="29" x14ac:dyDescent="0.35">
      <c r="A19" s="112" t="s">
        <v>376</v>
      </c>
    </row>
    <row r="20" spans="1:1" x14ac:dyDescent="0.35">
      <c r="A20" s="112" t="s">
        <v>373</v>
      </c>
    </row>
    <row r="21" spans="1:1" x14ac:dyDescent="0.35">
      <c r="A21" s="113"/>
    </row>
    <row r="22" spans="1:1" ht="29" x14ac:dyDescent="0.35">
      <c r="A22" s="402" t="s">
        <v>374</v>
      </c>
    </row>
    <row r="23" spans="1:1" s="397" customFormat="1" x14ac:dyDescent="0.35">
      <c r="A23" s="400"/>
    </row>
    <row r="24" spans="1:1" s="397" customFormat="1" x14ac:dyDescent="0.35">
      <c r="A24" s="400"/>
    </row>
    <row r="25" spans="1:1" s="397" customFormat="1" x14ac:dyDescent="0.35">
      <c r="A25" s="400"/>
    </row>
    <row r="26" spans="1:1" s="397" customFormat="1" x14ac:dyDescent="0.35">
      <c r="A26" s="400"/>
    </row>
  </sheetData>
  <sheetProtection algorithmName="SHA-512" hashValue="0e6b3JP7X6uGitO2nLRWqCNEDcBo8u1tYEmhBtf7oMSuZshh6y3eoEgtM1uwNRhqysY7GKX8ppaNLZFhOijthQ==" saltValue="XlaX6RqSuzmiQky7bwEzpA==" spinCount="100000" sheet="1" objects="1" scenarios="1"/>
  <pageMargins left="0.7" right="0.7" top="0.75" bottom="0.75" header="0.3" footer="0.3"/>
  <pageSetup paperSize="9" orientation="portrait" horizontalDpi="4294967294"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90033"/>
  </sheetPr>
  <dimension ref="A1:Z77"/>
  <sheetViews>
    <sheetView showGridLines="0" zoomScale="75" zoomScaleNormal="75" workbookViewId="0">
      <pane ySplit="2" topLeftCell="A3" activePane="bottomLeft" state="frozen"/>
      <selection pane="bottomLeft"/>
    </sheetView>
  </sheetViews>
  <sheetFormatPr defaultColWidth="9.1796875" defaultRowHeight="14.5" x14ac:dyDescent="0.35"/>
  <cols>
    <col min="1" max="1" width="114.54296875" style="110" customWidth="1"/>
    <col min="2" max="3" width="15.453125" style="40" customWidth="1"/>
    <col min="4" max="4" width="15.1796875" style="40" customWidth="1"/>
    <col min="5" max="5" width="28.7265625" style="1" customWidth="1"/>
    <col min="6" max="6" width="10.7265625" style="1" customWidth="1"/>
    <col min="7" max="8" width="12.7265625" style="1" customWidth="1"/>
    <col min="9" max="20" width="9.1796875" style="1"/>
    <col min="21" max="26" width="9.1796875" style="38"/>
    <col min="27" max="16384" width="9.1796875" style="1"/>
  </cols>
  <sheetData>
    <row r="1" spans="1:20" ht="33.75" customHeight="1" x14ac:dyDescent="0.35">
      <c r="A1" s="367"/>
      <c r="B1" s="368" t="s">
        <v>13</v>
      </c>
      <c r="C1" s="369" t="s">
        <v>34</v>
      </c>
      <c r="D1" s="369" t="s">
        <v>47</v>
      </c>
      <c r="E1" s="168" t="s">
        <v>496</v>
      </c>
      <c r="F1" s="169"/>
      <c r="G1" s="169"/>
      <c r="H1" s="169"/>
      <c r="I1" s="169"/>
      <c r="J1" s="169"/>
      <c r="K1" s="169"/>
      <c r="L1" s="169"/>
      <c r="M1" s="169"/>
      <c r="N1" s="169"/>
      <c r="O1" s="169"/>
      <c r="P1" s="169"/>
      <c r="Q1" s="169"/>
      <c r="R1" s="169"/>
      <c r="S1" s="169"/>
      <c r="T1" s="169"/>
    </row>
    <row r="2" spans="1:20" ht="25.5" customHeight="1" x14ac:dyDescent="0.6">
      <c r="A2" s="47" t="s">
        <v>469</v>
      </c>
      <c r="B2" s="131">
        <v>2024</v>
      </c>
      <c r="C2" s="141">
        <f>B2+1</f>
        <v>2025</v>
      </c>
      <c r="D2" s="141">
        <f>C2+1</f>
        <v>2026</v>
      </c>
      <c r="E2" s="170" t="s">
        <v>495</v>
      </c>
      <c r="F2" s="169"/>
      <c r="G2" s="169"/>
      <c r="H2" s="169"/>
      <c r="I2" s="170"/>
      <c r="J2" s="169"/>
      <c r="K2" s="169"/>
      <c r="L2" s="169"/>
      <c r="M2" s="169"/>
      <c r="N2" s="169"/>
      <c r="O2" s="169"/>
      <c r="P2" s="169"/>
      <c r="Q2" s="169"/>
      <c r="R2" s="169"/>
      <c r="S2" s="169"/>
      <c r="T2" s="169"/>
    </row>
    <row r="3" spans="1:20" ht="17.149999999999999" customHeight="1" x14ac:dyDescent="0.35">
      <c r="A3" s="126"/>
      <c r="B3" s="132"/>
      <c r="C3" s="41"/>
      <c r="D3" s="41"/>
      <c r="E3" s="16"/>
      <c r="I3" s="17"/>
    </row>
    <row r="4" spans="1:20" ht="17.149999999999999" customHeight="1" x14ac:dyDescent="0.35">
      <c r="A4" s="124" t="s">
        <v>10</v>
      </c>
      <c r="B4" s="133"/>
      <c r="C4" s="133"/>
      <c r="D4" s="133"/>
      <c r="E4" s="127"/>
    </row>
    <row r="5" spans="1:20" ht="17.149999999999999" customHeight="1" x14ac:dyDescent="0.35">
      <c r="A5" s="47" t="s">
        <v>0</v>
      </c>
      <c r="B5" s="134">
        <v>150</v>
      </c>
      <c r="C5" s="134">
        <v>150</v>
      </c>
      <c r="D5" s="134">
        <v>150</v>
      </c>
      <c r="E5" s="42" t="s">
        <v>462</v>
      </c>
    </row>
    <row r="6" spans="1:20" ht="17.149999999999999" customHeight="1" x14ac:dyDescent="0.35">
      <c r="A6" s="47" t="s">
        <v>1</v>
      </c>
      <c r="B6" s="134">
        <v>150</v>
      </c>
      <c r="C6" s="134">
        <v>150</v>
      </c>
      <c r="D6" s="134">
        <v>150</v>
      </c>
      <c r="E6" s="42" t="s">
        <v>462</v>
      </c>
    </row>
    <row r="7" spans="1:20" ht="17.149999999999999" customHeight="1" x14ac:dyDescent="0.35">
      <c r="A7" s="47" t="s">
        <v>2</v>
      </c>
      <c r="B7" s="134">
        <v>150</v>
      </c>
      <c r="C7" s="134">
        <v>150</v>
      </c>
      <c r="D7" s="134">
        <v>150</v>
      </c>
      <c r="E7" s="42" t="s">
        <v>462</v>
      </c>
    </row>
    <row r="8" spans="1:20" ht="17.149999999999999" customHeight="1" x14ac:dyDescent="0.35">
      <c r="A8" s="47" t="s">
        <v>3</v>
      </c>
      <c r="B8" s="134">
        <v>150</v>
      </c>
      <c r="C8" s="134">
        <v>150</v>
      </c>
      <c r="D8" s="134">
        <v>150</v>
      </c>
      <c r="E8" s="42" t="s">
        <v>462</v>
      </c>
    </row>
    <row r="9" spans="1:20" ht="17.149999999999999" customHeight="1" x14ac:dyDescent="0.35">
      <c r="A9" s="47" t="s">
        <v>4</v>
      </c>
      <c r="B9" s="134">
        <v>150</v>
      </c>
      <c r="C9" s="134">
        <v>150</v>
      </c>
      <c r="D9" s="134">
        <v>150</v>
      </c>
      <c r="E9" s="42" t="s">
        <v>462</v>
      </c>
    </row>
    <row r="10" spans="1:20" ht="17.149999999999999" customHeight="1" x14ac:dyDescent="0.35">
      <c r="A10" s="47" t="s">
        <v>5</v>
      </c>
      <c r="B10" s="134">
        <v>90</v>
      </c>
      <c r="C10" s="134">
        <v>90</v>
      </c>
      <c r="D10" s="134">
        <v>90</v>
      </c>
      <c r="E10" s="42" t="s">
        <v>462</v>
      </c>
    </row>
    <row r="11" spans="1:20" ht="17.149999999999999" customHeight="1" x14ac:dyDescent="0.35">
      <c r="A11" s="47" t="s">
        <v>6</v>
      </c>
      <c r="B11" s="134">
        <v>80</v>
      </c>
      <c r="C11" s="134">
        <v>80</v>
      </c>
      <c r="D11" s="134">
        <v>80</v>
      </c>
      <c r="E11" s="42" t="s">
        <v>462</v>
      </c>
    </row>
    <row r="12" spans="1:20" ht="17.149999999999999" customHeight="1" x14ac:dyDescent="0.35">
      <c r="A12" s="47" t="s">
        <v>35</v>
      </c>
      <c r="B12" s="135">
        <f>SUM(B5:B11)</f>
        <v>920</v>
      </c>
      <c r="C12" s="135">
        <f>SUM(C5:C11)</f>
        <v>920</v>
      </c>
      <c r="D12" s="135">
        <f>SUM(D5:D11)</f>
        <v>920</v>
      </c>
      <c r="E12" s="53" t="s">
        <v>461</v>
      </c>
      <c r="H12" s="3"/>
    </row>
    <row r="13" spans="1:20" ht="17.149999999999999" customHeight="1" x14ac:dyDescent="0.35">
      <c r="A13" s="129"/>
      <c r="B13" s="136"/>
      <c r="C13" s="136"/>
      <c r="D13" s="136"/>
      <c r="E13" s="63"/>
      <c r="H13" s="3"/>
    </row>
    <row r="14" spans="1:20" ht="17.149999999999999" customHeight="1" x14ac:dyDescent="0.35">
      <c r="A14" s="125" t="s">
        <v>214</v>
      </c>
      <c r="B14" s="137"/>
      <c r="C14" s="137"/>
      <c r="D14" s="137"/>
      <c r="E14" s="130"/>
      <c r="G14" s="3"/>
    </row>
    <row r="15" spans="1:20" ht="17.149999999999999" customHeight="1" x14ac:dyDescent="0.35">
      <c r="A15" s="47" t="s">
        <v>213</v>
      </c>
      <c r="B15" s="46">
        <f>B23</f>
        <v>58</v>
      </c>
      <c r="C15" s="46">
        <f t="shared" ref="C15:D15" si="0">C23</f>
        <v>58</v>
      </c>
      <c r="D15" s="46">
        <f t="shared" si="0"/>
        <v>58</v>
      </c>
      <c r="E15" s="53" t="s">
        <v>461</v>
      </c>
    </row>
    <row r="16" spans="1:20" ht="17.149999999999999" customHeight="1" x14ac:dyDescent="0.5">
      <c r="A16" s="47" t="s">
        <v>497</v>
      </c>
      <c r="B16" s="51" t="s">
        <v>14</v>
      </c>
      <c r="C16" s="163">
        <f>'6 deployment planned year'!C24</f>
        <v>58</v>
      </c>
      <c r="D16" s="163">
        <f>'7 deployment projection year'!C24</f>
        <v>58</v>
      </c>
      <c r="E16" s="53" t="s">
        <v>461</v>
      </c>
    </row>
    <row r="17" spans="1:5" ht="17.149999999999999" customHeight="1" x14ac:dyDescent="0.35">
      <c r="A17" s="47" t="s">
        <v>148</v>
      </c>
      <c r="B17" s="52">
        <f>'5 deployment base year'!C22</f>
        <v>0.77655172413793105</v>
      </c>
      <c r="C17" s="52">
        <f>'6 deployment planned year'!C22</f>
        <v>0.77700000000000002</v>
      </c>
      <c r="D17" s="52">
        <f>'7 deployment projection year'!C22</f>
        <v>0.77700000000000002</v>
      </c>
      <c r="E17" s="53" t="s">
        <v>461</v>
      </c>
    </row>
    <row r="18" spans="1:5" ht="17.149999999999999" customHeight="1" x14ac:dyDescent="0.35">
      <c r="A18" s="47" t="s">
        <v>126</v>
      </c>
      <c r="B18" s="142">
        <f>'5 deployment base year'!B3</f>
        <v>25</v>
      </c>
      <c r="C18" s="142">
        <f>'6 deployment planned year'!B3</f>
        <v>25</v>
      </c>
      <c r="D18" s="142">
        <f>'7 deployment projection year'!B3</f>
        <v>25</v>
      </c>
      <c r="E18" s="53" t="s">
        <v>461</v>
      </c>
    </row>
    <row r="19" spans="1:5" ht="17.149999999999999" customHeight="1" x14ac:dyDescent="0.35">
      <c r="A19" s="47" t="s">
        <v>144</v>
      </c>
      <c r="B19" s="52">
        <f>'5 deployment base year'!C23</f>
        <v>19.413793103448278</v>
      </c>
      <c r="C19" s="52">
        <f>'6 deployment planned year'!C23</f>
        <v>19.425000000000001</v>
      </c>
      <c r="D19" s="52">
        <f>'7 deployment projection year'!C23</f>
        <v>19.425000000000001</v>
      </c>
      <c r="E19" s="53" t="s">
        <v>461</v>
      </c>
    </row>
    <row r="20" spans="1:5" ht="27.75" customHeight="1" x14ac:dyDescent="0.35">
      <c r="A20" s="171" t="s">
        <v>498</v>
      </c>
      <c r="B20" s="52">
        <f>'5 deployment base year'!C21</f>
        <v>20.426287744227352</v>
      </c>
      <c r="C20" s="52">
        <f>'6 deployment planned year'!C21</f>
        <v>20.426287744227352</v>
      </c>
      <c r="D20" s="52">
        <f>'7 deployment projection year'!C21</f>
        <v>20.426287744227352</v>
      </c>
      <c r="E20" s="53" t="s">
        <v>461</v>
      </c>
    </row>
    <row r="21" spans="1:5" ht="17.149999999999999" customHeight="1" x14ac:dyDescent="0.35">
      <c r="B21" s="166"/>
      <c r="C21" s="166"/>
      <c r="D21" s="166"/>
      <c r="E21" s="128"/>
    </row>
    <row r="22" spans="1:5" ht="17.149999999999999" customHeight="1" x14ac:dyDescent="0.35">
      <c r="A22" s="125" t="s">
        <v>36</v>
      </c>
      <c r="B22" s="137"/>
      <c r="C22" s="137"/>
      <c r="D22" s="137"/>
      <c r="E22" s="130"/>
    </row>
    <row r="23" spans="1:5" ht="17.149999999999999" customHeight="1" x14ac:dyDescent="0.35">
      <c r="A23" s="47" t="s">
        <v>49</v>
      </c>
      <c r="B23" s="138">
        <v>58</v>
      </c>
      <c r="C23" s="138">
        <v>58</v>
      </c>
      <c r="D23" s="138">
        <v>58</v>
      </c>
      <c r="E23" s="42" t="s">
        <v>462</v>
      </c>
    </row>
    <row r="24" spans="1:5" ht="17.149999999999999" customHeight="1" x14ac:dyDescent="0.35">
      <c r="A24" s="47" t="s">
        <v>7</v>
      </c>
      <c r="B24" s="139">
        <v>2850000</v>
      </c>
      <c r="C24" s="43">
        <f>C23*C38</f>
        <v>2850000</v>
      </c>
      <c r="D24" s="43">
        <f>D23*D38</f>
        <v>2850000</v>
      </c>
      <c r="E24" s="42" t="s">
        <v>467</v>
      </c>
    </row>
    <row r="25" spans="1:5" ht="17.149999999999999" customHeight="1" x14ac:dyDescent="0.35">
      <c r="A25" s="86" t="s">
        <v>111</v>
      </c>
      <c r="B25" s="139">
        <v>350000</v>
      </c>
      <c r="C25" s="43">
        <f>C26*C39</f>
        <v>350000</v>
      </c>
      <c r="D25" s="43">
        <f>D26*D39</f>
        <v>350000</v>
      </c>
      <c r="E25" s="42" t="s">
        <v>467</v>
      </c>
    </row>
    <row r="26" spans="1:5" ht="17.149999999999999" customHeight="1" x14ac:dyDescent="0.35">
      <c r="A26" s="86" t="s">
        <v>109</v>
      </c>
      <c r="B26" s="138">
        <v>14</v>
      </c>
      <c r="C26" s="138">
        <v>14</v>
      </c>
      <c r="D26" s="138">
        <v>14</v>
      </c>
      <c r="E26" s="42" t="s">
        <v>462</v>
      </c>
    </row>
    <row r="27" spans="1:5" ht="17.149999999999999" customHeight="1" x14ac:dyDescent="0.35">
      <c r="A27" s="86" t="s">
        <v>110</v>
      </c>
      <c r="B27" s="139">
        <v>250000</v>
      </c>
      <c r="C27" s="43">
        <f>C28*C40</f>
        <v>250000</v>
      </c>
      <c r="D27" s="43">
        <f>D28*D40</f>
        <v>250000</v>
      </c>
      <c r="E27" s="42" t="s">
        <v>467</v>
      </c>
    </row>
    <row r="28" spans="1:5" ht="17.149999999999999" customHeight="1" x14ac:dyDescent="0.35">
      <c r="A28" s="86" t="s">
        <v>112</v>
      </c>
      <c r="B28" s="138">
        <v>10</v>
      </c>
      <c r="C28" s="138">
        <v>10</v>
      </c>
      <c r="D28" s="138">
        <v>10</v>
      </c>
      <c r="E28" s="42" t="s">
        <v>462</v>
      </c>
    </row>
    <row r="29" spans="1:5" ht="18" customHeight="1" x14ac:dyDescent="0.35">
      <c r="A29" s="86" t="s">
        <v>113</v>
      </c>
      <c r="B29" s="139">
        <v>100000</v>
      </c>
      <c r="C29" s="43">
        <f>C30*C41</f>
        <v>100000</v>
      </c>
      <c r="D29" s="43">
        <f>D30*D41</f>
        <v>100000</v>
      </c>
      <c r="E29" s="42" t="s">
        <v>467</v>
      </c>
    </row>
    <row r="30" spans="1:5" ht="18" customHeight="1" x14ac:dyDescent="0.35">
      <c r="A30" s="86" t="s">
        <v>114</v>
      </c>
      <c r="B30" s="138">
        <v>4</v>
      </c>
      <c r="C30" s="138">
        <v>4</v>
      </c>
      <c r="D30" s="138">
        <v>4</v>
      </c>
      <c r="E30" s="42" t="s">
        <v>462</v>
      </c>
    </row>
    <row r="31" spans="1:5" ht="18" customHeight="1" x14ac:dyDescent="0.35">
      <c r="A31" s="144" t="s">
        <v>101</v>
      </c>
      <c r="B31" s="139">
        <v>940000</v>
      </c>
      <c r="C31" s="43">
        <f>B31*(1+(C51/100))</f>
        <v>940000</v>
      </c>
      <c r="D31" s="43">
        <f>C31*(1+(D51/100))</f>
        <v>940000</v>
      </c>
      <c r="E31" s="42" t="s">
        <v>467</v>
      </c>
    </row>
    <row r="32" spans="1:5" ht="18" customHeight="1" x14ac:dyDescent="0.35">
      <c r="A32" s="47" t="s">
        <v>37</v>
      </c>
      <c r="B32" s="43">
        <f>B31+B29+B27+B25+B24</f>
        <v>4490000</v>
      </c>
      <c r="C32" s="43">
        <f t="shared" ref="C32:D32" si="1">C31+C29+C27+C25+C24</f>
        <v>4490000</v>
      </c>
      <c r="D32" s="43">
        <f t="shared" si="1"/>
        <v>4490000</v>
      </c>
      <c r="E32" s="53" t="s">
        <v>461</v>
      </c>
    </row>
    <row r="33" spans="1:5" ht="18" customHeight="1" x14ac:dyDescent="0.35">
      <c r="A33" s="47" t="s">
        <v>38</v>
      </c>
      <c r="B33" s="43">
        <f>IF(B12=0,0,B32/B12)</f>
        <v>4880.434782608696</v>
      </c>
      <c r="C33" s="43">
        <f>IF(C12=0,0,C32/C12)</f>
        <v>4880.434782608696</v>
      </c>
      <c r="D33" s="43">
        <f>IF(D12=0,0,D32/D12)</f>
        <v>4880.434782608696</v>
      </c>
      <c r="E33" s="53" t="s">
        <v>461</v>
      </c>
    </row>
    <row r="34" spans="1:5" s="38" customFormat="1" ht="18" customHeight="1" x14ac:dyDescent="0.35">
      <c r="A34" s="154"/>
      <c r="B34" s="155"/>
      <c r="C34" s="155"/>
      <c r="D34" s="155"/>
      <c r="E34" s="156"/>
    </row>
    <row r="35" spans="1:5" ht="18" customHeight="1" x14ac:dyDescent="0.35">
      <c r="A35" s="125" t="s">
        <v>39</v>
      </c>
      <c r="B35" s="137"/>
      <c r="C35" s="137"/>
      <c r="D35" s="137"/>
      <c r="E35" s="130"/>
    </row>
    <row r="36" spans="1:5" ht="18" customHeight="1" x14ac:dyDescent="0.35">
      <c r="A36" s="47" t="s">
        <v>15</v>
      </c>
      <c r="B36" s="139">
        <v>4500000</v>
      </c>
      <c r="C36" s="139">
        <v>4500000</v>
      </c>
      <c r="D36" s="139">
        <v>4500000</v>
      </c>
      <c r="E36" s="42" t="s">
        <v>462</v>
      </c>
    </row>
    <row r="37" spans="1:5" ht="18" customHeight="1" x14ac:dyDescent="0.35">
      <c r="A37" s="47" t="s">
        <v>40</v>
      </c>
      <c r="B37" s="43">
        <f>IF(B12=0,0,B36/B12)</f>
        <v>4891.304347826087</v>
      </c>
      <c r="C37" s="43">
        <f>B37*(1+(C52/100))</f>
        <v>4891.304347826087</v>
      </c>
      <c r="D37" s="43">
        <f>C37*(1+(D52/100))</f>
        <v>4891.304347826087</v>
      </c>
      <c r="E37" s="53" t="s">
        <v>461</v>
      </c>
    </row>
    <row r="38" spans="1:5" ht="18" customHeight="1" x14ac:dyDescent="0.35">
      <c r="A38" s="47" t="s">
        <v>98</v>
      </c>
      <c r="B38" s="43">
        <f>IF(B15=0,0,B24/B23)</f>
        <v>49137.931034482761</v>
      </c>
      <c r="C38" s="43">
        <f>B38*(1+(C47/100))</f>
        <v>49137.931034482761</v>
      </c>
      <c r="D38" s="43">
        <f>C38*(1+(D47/100))</f>
        <v>49137.931034482761</v>
      </c>
      <c r="E38" s="53" t="s">
        <v>461</v>
      </c>
    </row>
    <row r="39" spans="1:5" ht="18" customHeight="1" x14ac:dyDescent="0.35">
      <c r="A39" s="47" t="s">
        <v>117</v>
      </c>
      <c r="B39" s="43">
        <f>B25/B26</f>
        <v>25000</v>
      </c>
      <c r="C39" s="43">
        <f>B39*(1+(C48/100))</f>
        <v>25000</v>
      </c>
      <c r="D39" s="43">
        <f>C39*(1+(D48/100))</f>
        <v>25000</v>
      </c>
      <c r="E39" s="53" t="s">
        <v>461</v>
      </c>
    </row>
    <row r="40" spans="1:5" ht="18" customHeight="1" x14ac:dyDescent="0.35">
      <c r="A40" s="47" t="s">
        <v>118</v>
      </c>
      <c r="B40" s="43">
        <f>B27/B28</f>
        <v>25000</v>
      </c>
      <c r="C40" s="43">
        <f t="shared" ref="C40:D40" si="2">B40*(1+(C49/100))</f>
        <v>25000</v>
      </c>
      <c r="D40" s="43">
        <f t="shared" si="2"/>
        <v>25000</v>
      </c>
      <c r="E40" s="53" t="s">
        <v>461</v>
      </c>
    </row>
    <row r="41" spans="1:5" ht="18" customHeight="1" x14ac:dyDescent="0.35">
      <c r="A41" s="47" t="s">
        <v>119</v>
      </c>
      <c r="B41" s="43">
        <f>B29/B30</f>
        <v>25000</v>
      </c>
      <c r="C41" s="43">
        <f t="shared" ref="C41:D41" si="3">B41*(1+(C50/100))</f>
        <v>25000</v>
      </c>
      <c r="D41" s="43">
        <f t="shared" si="3"/>
        <v>25000</v>
      </c>
      <c r="E41" s="53" t="s">
        <v>461</v>
      </c>
    </row>
    <row r="42" spans="1:5" ht="18" customHeight="1" x14ac:dyDescent="0.35">
      <c r="A42" s="47" t="s">
        <v>8</v>
      </c>
      <c r="B42" s="44">
        <f>B36-B32</f>
        <v>10000</v>
      </c>
      <c r="C42" s="44">
        <f>C36-C32</f>
        <v>10000</v>
      </c>
      <c r="D42" s="44">
        <f>D36-D32</f>
        <v>10000</v>
      </c>
      <c r="E42" s="53" t="s">
        <v>461</v>
      </c>
    </row>
    <row r="43" spans="1:5" ht="18" customHeight="1" x14ac:dyDescent="0.35">
      <c r="A43" s="47" t="s">
        <v>50</v>
      </c>
      <c r="B43" s="139">
        <v>0</v>
      </c>
      <c r="C43" s="51" t="s">
        <v>14</v>
      </c>
      <c r="D43" s="51" t="s">
        <v>14</v>
      </c>
      <c r="E43" s="42" t="s">
        <v>467</v>
      </c>
    </row>
    <row r="44" spans="1:5" ht="18" customHeight="1" x14ac:dyDescent="0.35">
      <c r="A44" s="47" t="s">
        <v>9</v>
      </c>
      <c r="B44" s="145">
        <f>B42+B43</f>
        <v>10000</v>
      </c>
      <c r="C44" s="145">
        <f>C42+B44</f>
        <v>20000</v>
      </c>
      <c r="D44" s="145">
        <f>D42+C44</f>
        <v>30000</v>
      </c>
      <c r="E44" s="53" t="s">
        <v>461</v>
      </c>
    </row>
    <row r="45" spans="1:5" s="38" customFormat="1" ht="18" customHeight="1" x14ac:dyDescent="0.35">
      <c r="A45" s="154"/>
      <c r="B45" s="157"/>
      <c r="C45" s="157"/>
      <c r="D45" s="157"/>
      <c r="E45" s="156"/>
    </row>
    <row r="46" spans="1:5" ht="18" customHeight="1" x14ac:dyDescent="0.35">
      <c r="A46" s="125" t="s">
        <v>127</v>
      </c>
      <c r="B46" s="161"/>
      <c r="C46" s="161"/>
      <c r="D46" s="161"/>
      <c r="E46" s="130"/>
    </row>
    <row r="47" spans="1:5" ht="18" customHeight="1" x14ac:dyDescent="0.35">
      <c r="A47" s="158" t="s">
        <v>332</v>
      </c>
      <c r="B47" s="159" t="s">
        <v>14</v>
      </c>
      <c r="C47" s="160">
        <v>0</v>
      </c>
      <c r="D47" s="160">
        <v>0</v>
      </c>
      <c r="E47" s="14"/>
    </row>
    <row r="48" spans="1:5" ht="18" customHeight="1" x14ac:dyDescent="0.35">
      <c r="A48" s="47" t="s">
        <v>115</v>
      </c>
      <c r="B48" s="51" t="s">
        <v>14</v>
      </c>
      <c r="C48" s="140">
        <v>0</v>
      </c>
      <c r="D48" s="140">
        <v>0</v>
      </c>
      <c r="E48" s="14"/>
    </row>
    <row r="49" spans="1:11" ht="18" customHeight="1" x14ac:dyDescent="0.35">
      <c r="A49" s="47" t="s">
        <v>333</v>
      </c>
      <c r="B49" s="51" t="s">
        <v>14</v>
      </c>
      <c r="C49" s="140">
        <v>0</v>
      </c>
      <c r="D49" s="140">
        <v>0</v>
      </c>
      <c r="E49" s="14"/>
    </row>
    <row r="50" spans="1:11" ht="18" customHeight="1" x14ac:dyDescent="0.35">
      <c r="A50" s="47" t="s">
        <v>116</v>
      </c>
      <c r="B50" s="51" t="s">
        <v>14</v>
      </c>
      <c r="C50" s="140">
        <v>0</v>
      </c>
      <c r="D50" s="140">
        <v>0</v>
      </c>
      <c r="E50" s="14"/>
    </row>
    <row r="51" spans="1:11" ht="18" customHeight="1" x14ac:dyDescent="0.35">
      <c r="A51" s="47" t="s">
        <v>97</v>
      </c>
      <c r="B51" s="51" t="s">
        <v>14</v>
      </c>
      <c r="C51" s="140">
        <v>0</v>
      </c>
      <c r="D51" s="140">
        <v>0</v>
      </c>
      <c r="E51" s="14"/>
    </row>
    <row r="52" spans="1:11" ht="18" customHeight="1" x14ac:dyDescent="0.35">
      <c r="A52" s="47" t="s">
        <v>96</v>
      </c>
      <c r="B52" s="51" t="s">
        <v>14</v>
      </c>
      <c r="C52" s="45">
        <f>IF(B36=0,"N/A",(C36-B36)/B36)</f>
        <v>0</v>
      </c>
      <c r="D52" s="45">
        <f>IF(C36=0,"N/A",(D36-C36)/C36)</f>
        <v>0</v>
      </c>
      <c r="E52" s="14"/>
    </row>
    <row r="53" spans="1:11" ht="18" customHeight="1" x14ac:dyDescent="0.35">
      <c r="A53" s="126"/>
      <c r="B53" s="41"/>
      <c r="C53" s="164"/>
      <c r="D53" s="164"/>
    </row>
    <row r="54" spans="1:11" ht="18" customHeight="1" x14ac:dyDescent="0.35">
      <c r="A54" s="125" t="s">
        <v>145</v>
      </c>
      <c r="B54" s="137"/>
      <c r="C54" s="137"/>
      <c r="D54" s="137"/>
      <c r="E54" s="165"/>
    </row>
    <row r="55" spans="1:11" ht="18" customHeight="1" x14ac:dyDescent="0.35">
      <c r="A55" s="47" t="s">
        <v>16</v>
      </c>
      <c r="B55" s="43">
        <f t="shared" ref="B55:D56" si="4">B37</f>
        <v>4891.304347826087</v>
      </c>
      <c r="C55" s="43">
        <f t="shared" si="4"/>
        <v>4891.304347826087</v>
      </c>
      <c r="D55" s="43">
        <f t="shared" si="4"/>
        <v>4891.304347826087</v>
      </c>
      <c r="E55" s="53" t="s">
        <v>461</v>
      </c>
    </row>
    <row r="56" spans="1:11" ht="18" customHeight="1" x14ac:dyDescent="0.35">
      <c r="A56" s="47" t="s">
        <v>12</v>
      </c>
      <c r="B56" s="43">
        <f t="shared" si="4"/>
        <v>49137.931034482761</v>
      </c>
      <c r="C56" s="43">
        <f t="shared" si="4"/>
        <v>49137.931034482761</v>
      </c>
      <c r="D56" s="43">
        <f t="shared" si="4"/>
        <v>49137.931034482761</v>
      </c>
      <c r="E56" s="53" t="s">
        <v>461</v>
      </c>
    </row>
    <row r="57" spans="1:11" ht="18" customHeight="1" x14ac:dyDescent="0.35">
      <c r="A57" s="47" t="s">
        <v>17</v>
      </c>
      <c r="B57" s="146">
        <f>IF(B36=0,0,100*B42/B36)</f>
        <v>0.22222222222222221</v>
      </c>
      <c r="C57" s="146">
        <f>IF(C36=0,0,100*C42/C36)</f>
        <v>0.22222222222222221</v>
      </c>
      <c r="D57" s="146">
        <f>IF(D36=0,0,100*D42/D36)</f>
        <v>0.22222222222222221</v>
      </c>
      <c r="E57" s="53" t="s">
        <v>461</v>
      </c>
    </row>
    <row r="58" spans="1:11" ht="18" customHeight="1" x14ac:dyDescent="0.35">
      <c r="A58" s="47" t="s">
        <v>18</v>
      </c>
      <c r="B58" s="146">
        <f>IF(B36=0,0,100*B44/B36)</f>
        <v>0.22222222222222221</v>
      </c>
      <c r="C58" s="146">
        <f>IF(C36=0,0,100*C44/C36)</f>
        <v>0.44444444444444442</v>
      </c>
      <c r="D58" s="146">
        <f>IF(D36=0,0,100*D44/D36)</f>
        <v>0.66666666666666663</v>
      </c>
      <c r="E58" s="53" t="s">
        <v>461</v>
      </c>
    </row>
    <row r="59" spans="1:11" ht="18" customHeight="1" x14ac:dyDescent="0.35">
      <c r="A59" s="47" t="s">
        <v>19</v>
      </c>
      <c r="B59" s="147">
        <f>IF(B15=0,"n/a",B12/B23)</f>
        <v>15.862068965517242</v>
      </c>
      <c r="C59" s="147">
        <f t="shared" ref="C59:D59" si="5">IF(C15=0,"n/a",C12/C23)</f>
        <v>15.862068965517242</v>
      </c>
      <c r="D59" s="147">
        <f t="shared" si="5"/>
        <v>15.862068965517242</v>
      </c>
      <c r="E59" s="53" t="s">
        <v>461</v>
      </c>
    </row>
    <row r="60" spans="1:11" ht="18" customHeight="1" x14ac:dyDescent="0.35">
      <c r="A60" s="47" t="s">
        <v>123</v>
      </c>
      <c r="B60" s="148">
        <f>B17</f>
        <v>0.77655172413793105</v>
      </c>
      <c r="C60" s="148">
        <f>C17</f>
        <v>0.77700000000000002</v>
      </c>
      <c r="D60" s="148">
        <f>D17</f>
        <v>0.77700000000000002</v>
      </c>
      <c r="E60" s="115" t="s">
        <v>354</v>
      </c>
      <c r="F60" s="116"/>
      <c r="G60" s="114"/>
      <c r="H60" s="114"/>
      <c r="I60" s="114"/>
      <c r="J60" s="114"/>
      <c r="K60" s="114"/>
    </row>
    <row r="61" spans="1:11" ht="18" customHeight="1" x14ac:dyDescent="0.35">
      <c r="A61" s="47" t="s">
        <v>99</v>
      </c>
      <c r="B61" s="148">
        <f>IF(OR(B59="n/a",B60=0),"n/a",B59/B60)</f>
        <v>20.426287744227352</v>
      </c>
      <c r="C61" s="148">
        <f t="shared" ref="C61:D61" si="6">IF(OR(C59="n/a",C60=0),"n/a",C59/C60)</f>
        <v>20.414503173123862</v>
      </c>
      <c r="D61" s="148">
        <f t="shared" si="6"/>
        <v>20.414503173123862</v>
      </c>
      <c r="E61" s="117" t="s">
        <v>355</v>
      </c>
      <c r="F61" s="118"/>
      <c r="G61" s="114"/>
      <c r="H61" s="114"/>
      <c r="I61" s="114"/>
      <c r="J61" s="114"/>
      <c r="K61" s="114"/>
    </row>
    <row r="62" spans="1:11" ht="18" customHeight="1" x14ac:dyDescent="0.35">
      <c r="A62" s="47" t="s">
        <v>218</v>
      </c>
      <c r="B62" s="148">
        <f>B20</f>
        <v>20.426287744227352</v>
      </c>
      <c r="C62" s="148">
        <f>C20</f>
        <v>20.426287744227352</v>
      </c>
      <c r="D62" s="148">
        <f>D20</f>
        <v>20.426287744227352</v>
      </c>
      <c r="E62" s="53" t="s">
        <v>461</v>
      </c>
    </row>
    <row r="63" spans="1:11" ht="18" customHeight="1" x14ac:dyDescent="0.35">
      <c r="A63" s="47" t="s">
        <v>20</v>
      </c>
      <c r="B63" s="149">
        <f>IF(B36=0,"n/a",B24/B36)</f>
        <v>0.6333333333333333</v>
      </c>
      <c r="C63" s="149">
        <f>IF(C36=0,"n/a",C24/C36)</f>
        <v>0.6333333333333333</v>
      </c>
      <c r="D63" s="149">
        <f>IF(D36=0,"n/a",D24/D36)</f>
        <v>0.6333333333333333</v>
      </c>
      <c r="E63" s="53" t="s">
        <v>461</v>
      </c>
    </row>
    <row r="64" spans="1:11" ht="18" customHeight="1" x14ac:dyDescent="0.35">
      <c r="A64" s="47" t="s">
        <v>21</v>
      </c>
      <c r="B64" s="150">
        <f>IF(B36=0,"n/a",((B36-(B31+B29+B27+B25))/B36))</f>
        <v>0.63555555555555554</v>
      </c>
      <c r="C64" s="150">
        <f t="shared" ref="C64:D64" si="7">IF(C36=0,"n/a",((C36-(C31+C29+C27+C25))/C36))</f>
        <v>0.63555555555555554</v>
      </c>
      <c r="D64" s="150">
        <f t="shared" si="7"/>
        <v>0.63555555555555554</v>
      </c>
      <c r="E64" s="53" t="s">
        <v>461</v>
      </c>
    </row>
    <row r="65" spans="1:11" ht="18" customHeight="1" x14ac:dyDescent="0.35">
      <c r="A65" s="47" t="s">
        <v>22</v>
      </c>
      <c r="B65" s="151">
        <f>IF(OR(B55=0,B64="n/a"),"n/a",B56/(B55*B64))</f>
        <v>15.806607185917532</v>
      </c>
      <c r="C65" s="151">
        <f t="shared" ref="C65:D65" si="8">IF(OR(C55=0,C64="n/a"),"n/a",C56/(C55*C64))</f>
        <v>15.806607185917532</v>
      </c>
      <c r="D65" s="151">
        <f t="shared" si="8"/>
        <v>15.806607185917532</v>
      </c>
      <c r="E65" s="53" t="s">
        <v>461</v>
      </c>
    </row>
    <row r="66" spans="1:11" ht="18" customHeight="1" x14ac:dyDescent="0.35">
      <c r="A66" s="47" t="s">
        <v>100</v>
      </c>
      <c r="B66" s="46">
        <f>IF(B65="n/a","n/a",B12/B65)</f>
        <v>58.203508771929819</v>
      </c>
      <c r="C66" s="46">
        <f>IF(C65="n/a","n/a",C12/C65)</f>
        <v>58.203508771929819</v>
      </c>
      <c r="D66" s="46">
        <f>IF(D65="n/a","n/a",D12/D65)</f>
        <v>58.203508771929819</v>
      </c>
      <c r="E66" s="53" t="s">
        <v>461</v>
      </c>
    </row>
    <row r="67" spans="1:11" ht="18" customHeight="1" x14ac:dyDescent="0.35">
      <c r="A67" s="47" t="s">
        <v>351</v>
      </c>
      <c r="B67" s="46">
        <f>B15</f>
        <v>58</v>
      </c>
      <c r="C67" s="46">
        <f t="shared" ref="C67:D67" si="9">C15</f>
        <v>58</v>
      </c>
      <c r="D67" s="46">
        <f t="shared" si="9"/>
        <v>58</v>
      </c>
      <c r="E67" s="53" t="s">
        <v>461</v>
      </c>
    </row>
    <row r="68" spans="1:11" ht="18" customHeight="1" x14ac:dyDescent="0.35">
      <c r="A68" s="47" t="s">
        <v>146</v>
      </c>
      <c r="B68" s="46">
        <f>B15/B26</f>
        <v>4.1428571428571432</v>
      </c>
      <c r="C68" s="46">
        <f>C15/C26</f>
        <v>4.1428571428571432</v>
      </c>
      <c r="D68" s="46">
        <f>D15/D26</f>
        <v>4.1428571428571432</v>
      </c>
      <c r="E68" s="53" t="s">
        <v>461</v>
      </c>
    </row>
    <row r="69" spans="1:11" ht="18" customHeight="1" x14ac:dyDescent="0.35">
      <c r="A69" s="47" t="s">
        <v>120</v>
      </c>
      <c r="B69" s="46">
        <f>(B15+B26+B28+B30)/B28</f>
        <v>8.6</v>
      </c>
      <c r="C69" s="46">
        <f>(C15+C26+C28+C30)/C28</f>
        <v>8.6</v>
      </c>
      <c r="D69" s="46">
        <f>(D15+D26+D28+D30)/D28</f>
        <v>8.6</v>
      </c>
      <c r="E69" s="53" t="s">
        <v>461</v>
      </c>
    </row>
    <row r="70" spans="1:11" ht="18" customHeight="1" x14ac:dyDescent="0.35">
      <c r="A70" s="47" t="s">
        <v>122</v>
      </c>
      <c r="B70" s="46">
        <f>B12/B26</f>
        <v>65.714285714285708</v>
      </c>
      <c r="C70" s="46">
        <f>C12/C26</f>
        <v>65.714285714285708</v>
      </c>
      <c r="D70" s="46">
        <f>D12/D26</f>
        <v>65.714285714285708</v>
      </c>
      <c r="E70" s="53" t="s">
        <v>461</v>
      </c>
    </row>
    <row r="71" spans="1:11" ht="18" customHeight="1" x14ac:dyDescent="0.35">
      <c r="A71" s="143" t="s">
        <v>121</v>
      </c>
      <c r="B71" s="152">
        <f>B12/(B15+B26+B28+B30)</f>
        <v>10.697674418604651</v>
      </c>
      <c r="C71" s="152">
        <f>C12/(C15+C26+C28+C30)</f>
        <v>10.697674418604651</v>
      </c>
      <c r="D71" s="152">
        <f>D12/(D15+D26+D28+D30)</f>
        <v>10.697674418604651</v>
      </c>
      <c r="E71" s="53" t="s">
        <v>461</v>
      </c>
    </row>
    <row r="72" spans="1:11" ht="18" customHeight="1" x14ac:dyDescent="0.35">
      <c r="A72" s="143" t="s">
        <v>219</v>
      </c>
      <c r="B72" s="153">
        <f>(B24+B25+B27+B29)/B36</f>
        <v>0.78888888888888886</v>
      </c>
      <c r="C72" s="153">
        <f t="shared" ref="C72:D72" si="10">(C24+C25+C27+C29)/C36</f>
        <v>0.78888888888888886</v>
      </c>
      <c r="D72" s="153">
        <f t="shared" si="10"/>
        <v>0.78888888888888886</v>
      </c>
      <c r="E72" s="53" t="s">
        <v>461</v>
      </c>
    </row>
    <row r="73" spans="1:11" ht="18" customHeight="1" x14ac:dyDescent="0.35">
      <c r="A73" s="143" t="s">
        <v>468</v>
      </c>
      <c r="B73" s="153">
        <f>'5 deployment base year'!E36</f>
        <v>0.15343999999999997</v>
      </c>
      <c r="C73" s="153">
        <f>'6 deployment planned year'!E39</f>
        <v>0.15343999999999997</v>
      </c>
      <c r="D73" s="153">
        <f>'7 deployment projection year'!E39</f>
        <v>0.15343999999999997</v>
      </c>
      <c r="E73" s="119" t="s">
        <v>216</v>
      </c>
      <c r="F73" s="120"/>
      <c r="G73" s="121"/>
      <c r="H73" s="121"/>
      <c r="I73" s="121"/>
      <c r="J73" s="121"/>
      <c r="K73" s="121"/>
    </row>
    <row r="74" spans="1:11" ht="18" customHeight="1" x14ac:dyDescent="0.35">
      <c r="A74" s="47" t="s">
        <v>215</v>
      </c>
      <c r="B74" s="150">
        <f>'5 deployment base year'!E31</f>
        <v>8.8639999999999983E-2</v>
      </c>
      <c r="C74" s="150">
        <f>'6 deployment planned year'!E34</f>
        <v>8.8639999999999983E-2</v>
      </c>
      <c r="D74" s="150">
        <f>'7 deployment projection year'!E34</f>
        <v>8.8639999999999983E-2</v>
      </c>
      <c r="E74" s="119" t="s">
        <v>217</v>
      </c>
      <c r="F74" s="120"/>
      <c r="G74" s="121"/>
      <c r="H74" s="121"/>
      <c r="I74" s="121"/>
      <c r="J74" s="121"/>
      <c r="K74" s="121"/>
    </row>
    <row r="77" spans="1:11" ht="278.25" customHeight="1" x14ac:dyDescent="0.35">
      <c r="A77" s="162" t="s">
        <v>546</v>
      </c>
    </row>
  </sheetData>
  <sheetProtection algorithmName="SHA-512" hashValue="dHggqFE43yFd3MGXXt8D+EDfVOxRSEqoFcDKeccDwpVq8lEyWrH/C6SFehHwp5zhqyqjaqrdt31Evu47m6fsWw==" saltValue="HqxPyWdavsy8A8EiCbWd1g==" spinCount="100000" sheet="1" objects="1" scenarios="1"/>
  <conditionalFormatting sqref="C16:D16">
    <cfRule type="expression" dxfId="14" priority="1">
      <formula>C$16&lt;C$15</formula>
    </cfRule>
    <cfRule type="expression" dxfId="13" priority="2">
      <formula>C$16=C$15</formula>
    </cfRule>
    <cfRule type="expression" dxfId="12" priority="3">
      <formula>C$16&gt;C$15</formula>
    </cfRule>
  </conditionalFormatting>
  <pageMargins left="0.7" right="0.7" top="0.75" bottom="0.75" header="0.3" footer="0.3"/>
  <pageSetup paperSize="9" orientation="portrait" horizontalDpi="4294967294" verticalDpi="0"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90033"/>
  </sheetPr>
  <dimension ref="A1:H39"/>
  <sheetViews>
    <sheetView showGridLines="0" zoomScale="75" zoomScaleNormal="75" workbookViewId="0"/>
  </sheetViews>
  <sheetFormatPr defaultColWidth="9.1796875" defaultRowHeight="14.5" x14ac:dyDescent="0.35"/>
  <cols>
    <col min="1" max="1" width="32" style="1" customWidth="1"/>
    <col min="2" max="5" width="15.7265625" style="1" customWidth="1"/>
    <col min="6" max="6" width="85.81640625" style="1" customWidth="1"/>
    <col min="7" max="16384" width="9.1796875" style="1"/>
  </cols>
  <sheetData>
    <row r="1" spans="1:6" ht="28" customHeight="1" x14ac:dyDescent="0.5">
      <c r="A1" s="176" t="s">
        <v>45</v>
      </c>
      <c r="B1" s="172"/>
      <c r="C1" s="172"/>
      <c r="D1" s="172"/>
      <c r="E1" s="172"/>
      <c r="F1" s="172"/>
    </row>
    <row r="2" spans="1:6" ht="28" customHeight="1" x14ac:dyDescent="0.35">
      <c r="A2" s="197" t="s">
        <v>46</v>
      </c>
      <c r="B2" s="199">
        <f>'4 summary data'!B2</f>
        <v>2024</v>
      </c>
      <c r="C2" s="413" t="s">
        <v>499</v>
      </c>
      <c r="D2" s="414"/>
      <c r="E2" s="414"/>
      <c r="F2" s="415"/>
    </row>
    <row r="3" spans="1:6" ht="28" customHeight="1" x14ac:dyDescent="0.35">
      <c r="A3" s="179" t="s">
        <v>500</v>
      </c>
      <c r="B3" s="198">
        <v>25</v>
      </c>
      <c r="C3" s="354"/>
      <c r="D3" s="353"/>
      <c r="E3" s="353"/>
      <c r="F3" s="180"/>
    </row>
    <row r="4" spans="1:6" ht="32.25" customHeight="1" x14ac:dyDescent="0.35">
      <c r="A4" s="174" t="s">
        <v>23</v>
      </c>
      <c r="B4" s="174" t="s">
        <v>24</v>
      </c>
      <c r="C4" s="174" t="s">
        <v>25</v>
      </c>
      <c r="D4" s="174" t="s">
        <v>30</v>
      </c>
      <c r="E4" s="174" t="s">
        <v>44</v>
      </c>
      <c r="F4" s="174" t="s">
        <v>33</v>
      </c>
    </row>
    <row r="5" spans="1:6" ht="18" customHeight="1" x14ac:dyDescent="0.35">
      <c r="A5" s="47" t="s">
        <v>0</v>
      </c>
      <c r="B5" s="142">
        <f>'4 summary data'!B5</f>
        <v>150</v>
      </c>
      <c r="C5" s="207">
        <v>133</v>
      </c>
      <c r="D5" s="209">
        <f>IF( C5=0,"n/a",B5*$B$3/C5)</f>
        <v>28.195488721804512</v>
      </c>
      <c r="E5" s="209">
        <f>C5/$C$23</f>
        <v>6.8507992895204257</v>
      </c>
      <c r="F5" s="204" t="s">
        <v>501</v>
      </c>
    </row>
    <row r="6" spans="1:6" ht="18" customHeight="1" x14ac:dyDescent="0.35">
      <c r="A6" s="47" t="s">
        <v>1</v>
      </c>
      <c r="B6" s="142">
        <f>'4 summary data'!B6</f>
        <v>150</v>
      </c>
      <c r="C6" s="207">
        <v>133</v>
      </c>
      <c r="D6" s="209">
        <f t="shared" ref="D6:D11" si="0">IF( C6=0,"n/a",B6*$B$3/C6)</f>
        <v>28.195488721804512</v>
      </c>
      <c r="E6" s="209">
        <f t="shared" ref="E6:E15" si="1">C6/$C$23</f>
        <v>6.8507992895204257</v>
      </c>
      <c r="F6" s="204" t="s">
        <v>105</v>
      </c>
    </row>
    <row r="7" spans="1:6" ht="18" customHeight="1" x14ac:dyDescent="0.35">
      <c r="A7" s="47" t="s">
        <v>2</v>
      </c>
      <c r="B7" s="142">
        <f>'4 summary data'!B7</f>
        <v>150</v>
      </c>
      <c r="C7" s="207">
        <v>154</v>
      </c>
      <c r="D7" s="209">
        <f t="shared" si="0"/>
        <v>24.350649350649352</v>
      </c>
      <c r="E7" s="209">
        <f t="shared" si="1"/>
        <v>7.9325044404973353</v>
      </c>
      <c r="F7" s="204" t="s">
        <v>102</v>
      </c>
    </row>
    <row r="8" spans="1:6" ht="18" customHeight="1" x14ac:dyDescent="0.35">
      <c r="A8" s="47" t="s">
        <v>3</v>
      </c>
      <c r="B8" s="142">
        <f>'4 summary data'!B8</f>
        <v>150</v>
      </c>
      <c r="C8" s="207">
        <v>168</v>
      </c>
      <c r="D8" s="209">
        <f t="shared" si="0"/>
        <v>22.321428571428573</v>
      </c>
      <c r="E8" s="209">
        <f t="shared" si="1"/>
        <v>8.6536412078152747</v>
      </c>
      <c r="F8" s="204" t="s">
        <v>103</v>
      </c>
    </row>
    <row r="9" spans="1:6" ht="18" customHeight="1" x14ac:dyDescent="0.35">
      <c r="A9" s="47" t="s">
        <v>4</v>
      </c>
      <c r="B9" s="142">
        <f>'4 summary data'!B9</f>
        <v>150</v>
      </c>
      <c r="C9" s="207">
        <v>168</v>
      </c>
      <c r="D9" s="209">
        <f t="shared" si="0"/>
        <v>22.321428571428573</v>
      </c>
      <c r="E9" s="209">
        <f t="shared" si="1"/>
        <v>8.6536412078152747</v>
      </c>
      <c r="F9" s="204" t="s">
        <v>103</v>
      </c>
    </row>
    <row r="10" spans="1:6" ht="18" customHeight="1" x14ac:dyDescent="0.35">
      <c r="A10" s="47" t="s">
        <v>5</v>
      </c>
      <c r="B10" s="142">
        <f>'4 summary data'!B10</f>
        <v>90</v>
      </c>
      <c r="C10" s="207">
        <v>175</v>
      </c>
      <c r="D10" s="209">
        <f t="shared" si="0"/>
        <v>12.857142857142858</v>
      </c>
      <c r="E10" s="209">
        <f t="shared" si="1"/>
        <v>9.0142095914742448</v>
      </c>
      <c r="F10" s="204" t="s">
        <v>106</v>
      </c>
    </row>
    <row r="11" spans="1:6" ht="18" customHeight="1" x14ac:dyDescent="0.35">
      <c r="A11" s="47" t="s">
        <v>6</v>
      </c>
      <c r="B11" s="142">
        <f>'4 summary data'!B11</f>
        <v>80</v>
      </c>
      <c r="C11" s="207">
        <v>150</v>
      </c>
      <c r="D11" s="209">
        <f t="shared" si="0"/>
        <v>13.333333333333334</v>
      </c>
      <c r="E11" s="209">
        <f t="shared" si="1"/>
        <v>7.7264653641207808</v>
      </c>
      <c r="F11" s="204" t="s">
        <v>107</v>
      </c>
    </row>
    <row r="12" spans="1:6" ht="18" customHeight="1" x14ac:dyDescent="0.35">
      <c r="A12" s="208" t="s">
        <v>52</v>
      </c>
      <c r="B12" s="196"/>
      <c r="C12" s="196"/>
      <c r="D12" s="196"/>
      <c r="E12" s="196"/>
      <c r="F12" s="181"/>
    </row>
    <row r="13" spans="1:6" ht="18" customHeight="1" x14ac:dyDescent="0.35">
      <c r="A13" s="47" t="s">
        <v>26</v>
      </c>
      <c r="B13" s="51" t="s">
        <v>29</v>
      </c>
      <c r="C13" s="207">
        <v>25</v>
      </c>
      <c r="D13" s="209" t="s">
        <v>29</v>
      </c>
      <c r="E13" s="209">
        <f t="shared" si="1"/>
        <v>1.2877442273534634</v>
      </c>
      <c r="F13" s="204" t="s">
        <v>124</v>
      </c>
    </row>
    <row r="14" spans="1:6" ht="18" customHeight="1" x14ac:dyDescent="0.35">
      <c r="A14" s="47" t="s">
        <v>27</v>
      </c>
      <c r="B14" s="51" t="s">
        <v>29</v>
      </c>
      <c r="C14" s="207">
        <v>10</v>
      </c>
      <c r="D14" s="209" t="s">
        <v>29</v>
      </c>
      <c r="E14" s="209">
        <f t="shared" si="1"/>
        <v>0.51509769094138536</v>
      </c>
      <c r="F14" s="204" t="s">
        <v>125</v>
      </c>
    </row>
    <row r="15" spans="1:6" ht="18" customHeight="1" x14ac:dyDescent="0.35">
      <c r="A15" s="47" t="s">
        <v>28</v>
      </c>
      <c r="B15" s="51" t="s">
        <v>29</v>
      </c>
      <c r="C15" s="207">
        <v>10</v>
      </c>
      <c r="D15" s="209" t="s">
        <v>29</v>
      </c>
      <c r="E15" s="209">
        <f t="shared" si="1"/>
        <v>0.51509769094138536</v>
      </c>
      <c r="F15" s="204" t="s">
        <v>104</v>
      </c>
    </row>
    <row r="16" spans="1:6" s="38" customFormat="1" x14ac:dyDescent="0.35">
      <c r="A16" s="186"/>
      <c r="B16" s="187"/>
      <c r="C16" s="188"/>
      <c r="D16" s="189"/>
      <c r="E16" s="189"/>
      <c r="F16" s="188"/>
    </row>
    <row r="17" spans="1:8" ht="22.5" customHeight="1" x14ac:dyDescent="0.45">
      <c r="A17" s="225" t="s">
        <v>31</v>
      </c>
      <c r="B17" s="182"/>
      <c r="C17" s="182"/>
      <c r="D17" s="182"/>
      <c r="E17" s="182"/>
      <c r="F17" s="182"/>
    </row>
    <row r="18" spans="1:8" ht="26.25" customHeight="1" x14ac:dyDescent="0.35">
      <c r="A18" s="185"/>
      <c r="B18" s="185" t="s">
        <v>32</v>
      </c>
      <c r="C18" s="185" t="s">
        <v>25</v>
      </c>
      <c r="D18" s="413" t="s">
        <v>548</v>
      </c>
      <c r="E18" s="414"/>
      <c r="F18" s="415"/>
    </row>
    <row r="19" spans="1:8" ht="18" customHeight="1" x14ac:dyDescent="0.35">
      <c r="A19" s="184" t="s">
        <v>11</v>
      </c>
      <c r="B19" s="4">
        <f>SUM(B5:B11)</f>
        <v>920</v>
      </c>
      <c r="C19" s="4">
        <f>SUM(C5:C11)+SUM(C13:C15)</f>
        <v>1126</v>
      </c>
      <c r="D19" s="416"/>
      <c r="E19" s="417"/>
      <c r="F19" s="418"/>
    </row>
    <row r="20" spans="1:8" ht="18" customHeight="1" x14ac:dyDescent="0.35">
      <c r="A20" s="223" t="s">
        <v>135</v>
      </c>
      <c r="B20" s="224"/>
      <c r="C20" s="130"/>
      <c r="D20" s="416"/>
      <c r="E20" s="417"/>
      <c r="F20" s="418"/>
    </row>
    <row r="21" spans="1:8" ht="18" customHeight="1" x14ac:dyDescent="0.35">
      <c r="A21" s="24" t="s">
        <v>136</v>
      </c>
      <c r="B21" s="26"/>
      <c r="C21" s="194">
        <f>B19*B3/C19</f>
        <v>20.426287744227352</v>
      </c>
      <c r="D21" s="416"/>
      <c r="E21" s="417"/>
      <c r="F21" s="418"/>
    </row>
    <row r="22" spans="1:8" ht="18" customHeight="1" x14ac:dyDescent="0.35">
      <c r="A22" s="24" t="s">
        <v>42</v>
      </c>
      <c r="B22" s="26"/>
      <c r="C22" s="195">
        <f>C23/B3</f>
        <v>0.77655172413793105</v>
      </c>
      <c r="D22" s="416"/>
      <c r="E22" s="417"/>
      <c r="F22" s="418"/>
      <c r="H22" s="10"/>
    </row>
    <row r="23" spans="1:8" ht="18" customHeight="1" x14ac:dyDescent="0.35">
      <c r="A23" s="24" t="s">
        <v>41</v>
      </c>
      <c r="B23" s="26"/>
      <c r="C23" s="9">
        <f>C19/B24</f>
        <v>19.413793103448278</v>
      </c>
      <c r="D23" s="419"/>
      <c r="E23" s="420"/>
      <c r="F23" s="421"/>
    </row>
    <row r="24" spans="1:8" ht="18" customHeight="1" x14ac:dyDescent="0.35">
      <c r="A24" s="383" t="s">
        <v>108</v>
      </c>
      <c r="B24" s="384">
        <f>'4 summary data'!B23</f>
        <v>58</v>
      </c>
      <c r="C24" s="336" t="s">
        <v>147</v>
      </c>
      <c r="D24" s="385"/>
      <c r="E24" s="385"/>
      <c r="F24" s="386"/>
    </row>
    <row r="25" spans="1:8" s="38" customFormat="1" x14ac:dyDescent="0.35">
      <c r="A25" s="191"/>
      <c r="B25" s="192"/>
      <c r="C25" s="193"/>
      <c r="D25" s="193"/>
      <c r="E25" s="193"/>
      <c r="F25" s="193"/>
    </row>
    <row r="26" spans="1:8" ht="67.5" customHeight="1" x14ac:dyDescent="0.35">
      <c r="A26" s="404" t="s">
        <v>551</v>
      </c>
      <c r="B26" s="405"/>
      <c r="C26" s="405"/>
      <c r="D26" s="405"/>
      <c r="E26" s="406"/>
    </row>
    <row r="27" spans="1:8" ht="15" customHeight="1" x14ac:dyDescent="0.35">
      <c r="A27" s="422" t="s">
        <v>138</v>
      </c>
      <c r="B27" s="423"/>
      <c r="C27" s="423"/>
      <c r="D27" s="423"/>
      <c r="E27" s="424"/>
    </row>
    <row r="28" spans="1:8" x14ac:dyDescent="0.35">
      <c r="A28" s="213" t="s">
        <v>137</v>
      </c>
      <c r="B28" s="214"/>
      <c r="C28" s="214"/>
      <c r="D28" s="215"/>
      <c r="E28" s="6">
        <f>SUM(C5:C9)</f>
        <v>756</v>
      </c>
    </row>
    <row r="29" spans="1:8" x14ac:dyDescent="0.35">
      <c r="A29" s="213" t="s">
        <v>139</v>
      </c>
      <c r="B29" s="214"/>
      <c r="C29" s="214"/>
      <c r="D29" s="215"/>
      <c r="E29" s="9">
        <f>B3*SUM(B5:B9)/27</f>
        <v>694.44444444444446</v>
      </c>
    </row>
    <row r="30" spans="1:8" ht="16" customHeight="1" x14ac:dyDescent="0.35">
      <c r="A30" s="213" t="s">
        <v>140</v>
      </c>
      <c r="B30" s="214"/>
      <c r="C30" s="214"/>
      <c r="D30" s="215"/>
      <c r="E30" s="9">
        <f>E28-E29</f>
        <v>61.555555555555543</v>
      </c>
    </row>
    <row r="31" spans="1:8" ht="16" customHeight="1" x14ac:dyDescent="0.35">
      <c r="A31" s="213" t="s">
        <v>141</v>
      </c>
      <c r="B31" s="214"/>
      <c r="C31" s="214"/>
      <c r="D31" s="215"/>
      <c r="E31" s="243">
        <f>E30/E29</f>
        <v>8.8639999999999983E-2</v>
      </c>
    </row>
    <row r="32" spans="1:8" ht="16" customHeight="1" x14ac:dyDescent="0.35">
      <c r="A32" s="422" t="s">
        <v>142</v>
      </c>
      <c r="B32" s="423"/>
      <c r="C32" s="423"/>
      <c r="D32" s="423"/>
      <c r="E32" s="424"/>
    </row>
    <row r="33" spans="1:5" ht="16" customHeight="1" x14ac:dyDescent="0.35">
      <c r="A33" s="213" t="s">
        <v>137</v>
      </c>
      <c r="B33" s="214"/>
      <c r="C33" s="214"/>
      <c r="D33" s="215"/>
      <c r="E33" s="6">
        <f>SUM(C5:C9)+SUM(C13:C15)</f>
        <v>801</v>
      </c>
    </row>
    <row r="34" spans="1:5" ht="16" customHeight="1" x14ac:dyDescent="0.35">
      <c r="A34" s="213" t="s">
        <v>139</v>
      </c>
      <c r="B34" s="214"/>
      <c r="C34" s="214"/>
      <c r="D34" s="215"/>
      <c r="E34" s="9">
        <f>B3*SUM(B5:B9)/27</f>
        <v>694.44444444444446</v>
      </c>
    </row>
    <row r="35" spans="1:5" x14ac:dyDescent="0.35">
      <c r="A35" s="213" t="s">
        <v>140</v>
      </c>
      <c r="B35" s="214"/>
      <c r="C35" s="214"/>
      <c r="D35" s="215"/>
      <c r="E35" s="9">
        <f>E33-E34</f>
        <v>106.55555555555554</v>
      </c>
    </row>
    <row r="36" spans="1:5" ht="16" customHeight="1" x14ac:dyDescent="0.35">
      <c r="A36" s="183" t="s">
        <v>141</v>
      </c>
      <c r="B36" s="213"/>
      <c r="C36" s="214"/>
      <c r="D36" s="215"/>
      <c r="E36" s="243">
        <f>E35/E34</f>
        <v>0.15343999999999997</v>
      </c>
    </row>
    <row r="37" spans="1:5" ht="16" customHeight="1" x14ac:dyDescent="0.35"/>
    <row r="38" spans="1:5" ht="16" customHeight="1" x14ac:dyDescent="0.35"/>
    <row r="39" spans="1:5" ht="16" customHeight="1" x14ac:dyDescent="0.35"/>
  </sheetData>
  <sheetProtection algorithmName="SHA-512" hashValue="rrW6ymrygRsklp5i6wFeoPNApYlmu0avw+Q05DWKXjNiYgtbXQIJG0hMsP9je59DirAXuSZ9fIXvUQ5eIrhnjA==" saltValue="CqRa9jRN3+Tu8iavw4dNjA==" spinCount="100000" sheet="1" objects="1" scenarios="1"/>
  <mergeCells count="5">
    <mergeCell ref="C2:F2"/>
    <mergeCell ref="D18:F23"/>
    <mergeCell ref="A26:E26"/>
    <mergeCell ref="A27:E27"/>
    <mergeCell ref="A32:E32"/>
  </mergeCells>
  <conditionalFormatting sqref="A24:B24">
    <cfRule type="expression" dxfId="11" priority="11">
      <formula>$B$24&gt;$B$22</formula>
    </cfRule>
    <cfRule type="expression" dxfId="10" priority="12">
      <formula>$B$24&lt;$B$22</formula>
    </cfRule>
    <cfRule type="expression" dxfId="9" priority="13">
      <formula>$B$22=$B$24</formula>
    </cfRule>
  </conditionalFormatting>
  <pageMargins left="0.7" right="0.7" top="0.75" bottom="0.75" header="0.3" footer="0.3"/>
  <pageSetup paperSize="9" orientation="portrait" horizontalDpi="4294967294" r:id="rId1"/>
  <ignoredErrors>
    <ignoredError sqref="E28 E33"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90033"/>
  </sheetPr>
  <dimension ref="A1:F39"/>
  <sheetViews>
    <sheetView zoomScale="75" zoomScaleNormal="75" workbookViewId="0"/>
  </sheetViews>
  <sheetFormatPr defaultColWidth="9.1796875" defaultRowHeight="14.5" x14ac:dyDescent="0.35"/>
  <cols>
    <col min="1" max="1" width="32" style="1" customWidth="1"/>
    <col min="2" max="5" width="15.7265625" style="1" customWidth="1"/>
    <col min="6" max="6" width="103.54296875" style="1" customWidth="1"/>
    <col min="7" max="16384" width="9.1796875" style="1"/>
  </cols>
  <sheetData>
    <row r="1" spans="1:6" s="216" customFormat="1" ht="28" customHeight="1" x14ac:dyDescent="0.5">
      <c r="A1" s="176" t="s">
        <v>48</v>
      </c>
      <c r="B1" s="176"/>
      <c r="C1" s="176"/>
      <c r="D1" s="176"/>
      <c r="E1" s="176"/>
      <c r="F1" s="176"/>
    </row>
    <row r="2" spans="1:6" ht="28" customHeight="1" x14ac:dyDescent="0.35">
      <c r="A2" s="350" t="s">
        <v>46</v>
      </c>
      <c r="B2" s="200">
        <f>'4 summary data'!C2</f>
        <v>2025</v>
      </c>
      <c r="C2" s="413" t="s">
        <v>503</v>
      </c>
      <c r="D2" s="414"/>
      <c r="E2" s="414"/>
      <c r="F2" s="415"/>
    </row>
    <row r="3" spans="1:6" ht="28" customHeight="1" x14ac:dyDescent="0.35">
      <c r="A3" s="351" t="s">
        <v>502</v>
      </c>
      <c r="B3" s="198">
        <v>25</v>
      </c>
      <c r="C3" s="352"/>
      <c r="D3" s="353"/>
      <c r="E3" s="353"/>
      <c r="F3" s="178"/>
    </row>
    <row r="4" spans="1:6" ht="32.25" customHeight="1" x14ac:dyDescent="0.35">
      <c r="A4" s="174" t="s">
        <v>23</v>
      </c>
      <c r="B4" s="174" t="s">
        <v>24</v>
      </c>
      <c r="C4" s="174" t="s">
        <v>25</v>
      </c>
      <c r="D4" s="174" t="s">
        <v>30</v>
      </c>
      <c r="E4" s="174" t="s">
        <v>133</v>
      </c>
      <c r="F4" s="174" t="s">
        <v>33</v>
      </c>
    </row>
    <row r="5" spans="1:6" ht="18" customHeight="1" x14ac:dyDescent="0.35">
      <c r="A5" s="47" t="s">
        <v>0</v>
      </c>
      <c r="B5" s="142">
        <f>'4 summary data'!C5</f>
        <v>150</v>
      </c>
      <c r="C5" s="207">
        <v>133</v>
      </c>
      <c r="D5" s="209">
        <f>IF( C5=0,"n/a",B5*$B$3/C5)</f>
        <v>28.195488721804512</v>
      </c>
      <c r="E5" s="209">
        <f>IF($C$23=0,0,C5/$C$23)</f>
        <v>6.8468468468468462</v>
      </c>
      <c r="F5" s="204" t="s">
        <v>501</v>
      </c>
    </row>
    <row r="6" spans="1:6" ht="18" customHeight="1" x14ac:dyDescent="0.35">
      <c r="A6" s="47" t="s">
        <v>1</v>
      </c>
      <c r="B6" s="142">
        <f>'4 summary data'!C6</f>
        <v>150</v>
      </c>
      <c r="C6" s="207">
        <v>133</v>
      </c>
      <c r="D6" s="209">
        <f t="shared" ref="D6:D11" si="0">IF( C6=0,"n/a",B6*$B$3/C6)</f>
        <v>28.195488721804512</v>
      </c>
      <c r="E6" s="209">
        <f t="shared" ref="E6:E11" si="1">IF($C$23=0,0,C6/$C$23)</f>
        <v>6.8468468468468462</v>
      </c>
      <c r="F6" s="204" t="s">
        <v>105</v>
      </c>
    </row>
    <row r="7" spans="1:6" ht="18" customHeight="1" x14ac:dyDescent="0.35">
      <c r="A7" s="47" t="s">
        <v>2</v>
      </c>
      <c r="B7" s="142">
        <f>'4 summary data'!C7</f>
        <v>150</v>
      </c>
      <c r="C7" s="207">
        <v>154</v>
      </c>
      <c r="D7" s="209">
        <f t="shared" si="0"/>
        <v>24.350649350649352</v>
      </c>
      <c r="E7" s="209">
        <f t="shared" si="1"/>
        <v>7.9279279279279278</v>
      </c>
      <c r="F7" s="204" t="s">
        <v>102</v>
      </c>
    </row>
    <row r="8" spans="1:6" ht="18" customHeight="1" x14ac:dyDescent="0.35">
      <c r="A8" s="47" t="s">
        <v>3</v>
      </c>
      <c r="B8" s="142">
        <f>'4 summary data'!C8</f>
        <v>150</v>
      </c>
      <c r="C8" s="207">
        <v>168</v>
      </c>
      <c r="D8" s="209">
        <f t="shared" si="0"/>
        <v>22.321428571428573</v>
      </c>
      <c r="E8" s="209">
        <f t="shared" si="1"/>
        <v>8.6486486486486491</v>
      </c>
      <c r="F8" s="204" t="s">
        <v>128</v>
      </c>
    </row>
    <row r="9" spans="1:6" ht="18" customHeight="1" x14ac:dyDescent="0.35">
      <c r="A9" s="47" t="s">
        <v>4</v>
      </c>
      <c r="B9" s="142">
        <f>'4 summary data'!C9</f>
        <v>150</v>
      </c>
      <c r="C9" s="207">
        <v>168</v>
      </c>
      <c r="D9" s="209">
        <f t="shared" si="0"/>
        <v>22.321428571428573</v>
      </c>
      <c r="E9" s="209">
        <f t="shared" si="1"/>
        <v>8.6486486486486491</v>
      </c>
      <c r="F9" s="204" t="s">
        <v>128</v>
      </c>
    </row>
    <row r="10" spans="1:6" ht="18" customHeight="1" x14ac:dyDescent="0.35">
      <c r="A10" s="47" t="s">
        <v>5</v>
      </c>
      <c r="B10" s="142">
        <f>'4 summary data'!C10</f>
        <v>90</v>
      </c>
      <c r="C10" s="207">
        <v>175</v>
      </c>
      <c r="D10" s="209">
        <f t="shared" si="0"/>
        <v>12.857142857142858</v>
      </c>
      <c r="E10" s="209">
        <f t="shared" si="1"/>
        <v>9.0090090090090094</v>
      </c>
      <c r="F10" s="204" t="s">
        <v>129</v>
      </c>
    </row>
    <row r="11" spans="1:6" ht="18" customHeight="1" x14ac:dyDescent="0.35">
      <c r="A11" s="47" t="s">
        <v>6</v>
      </c>
      <c r="B11" s="142">
        <f>'4 summary data'!C11</f>
        <v>80</v>
      </c>
      <c r="C11" s="207">
        <v>150</v>
      </c>
      <c r="D11" s="209">
        <f t="shared" si="0"/>
        <v>13.333333333333334</v>
      </c>
      <c r="E11" s="209">
        <f t="shared" si="1"/>
        <v>7.7220077220077217</v>
      </c>
      <c r="F11" s="204" t="s">
        <v>130</v>
      </c>
    </row>
    <row r="12" spans="1:6" ht="18" customHeight="1" x14ac:dyDescent="0.35">
      <c r="A12" s="217" t="s">
        <v>52</v>
      </c>
      <c r="B12" s="205"/>
      <c r="C12" s="205"/>
      <c r="D12" s="205"/>
      <c r="E12" s="205"/>
      <c r="F12" s="175"/>
    </row>
    <row r="13" spans="1:6" ht="18" customHeight="1" x14ac:dyDescent="0.35">
      <c r="A13" s="47" t="s">
        <v>26</v>
      </c>
      <c r="B13" s="51" t="s">
        <v>29</v>
      </c>
      <c r="C13" s="207">
        <v>25</v>
      </c>
      <c r="D13" s="209" t="s">
        <v>29</v>
      </c>
      <c r="E13" s="209">
        <f>IF($C$23=0,0,C13/$C$23)</f>
        <v>1.287001287001287</v>
      </c>
      <c r="F13" s="204" t="s">
        <v>131</v>
      </c>
    </row>
    <row r="14" spans="1:6" ht="18" customHeight="1" x14ac:dyDescent="0.35">
      <c r="A14" s="47" t="s">
        <v>27</v>
      </c>
      <c r="B14" s="51" t="s">
        <v>29</v>
      </c>
      <c r="C14" s="207">
        <v>10</v>
      </c>
      <c r="D14" s="209" t="s">
        <v>29</v>
      </c>
      <c r="E14" s="209">
        <f t="shared" ref="E14:E15" si="2">IF($C$23=0,0,C14/$C$23)</f>
        <v>0.51480051480051481</v>
      </c>
      <c r="F14" s="204" t="s">
        <v>132</v>
      </c>
    </row>
    <row r="15" spans="1:6" ht="18" customHeight="1" x14ac:dyDescent="0.35">
      <c r="A15" s="47" t="s">
        <v>28</v>
      </c>
      <c r="B15" s="51" t="s">
        <v>29</v>
      </c>
      <c r="C15" s="207">
        <v>10</v>
      </c>
      <c r="D15" s="209" t="s">
        <v>29</v>
      </c>
      <c r="E15" s="209">
        <f t="shared" si="2"/>
        <v>0.51480051480051481</v>
      </c>
      <c r="F15" s="204" t="s">
        <v>143</v>
      </c>
    </row>
    <row r="16" spans="1:6" s="38" customFormat="1" x14ac:dyDescent="0.35">
      <c r="C16" s="202"/>
      <c r="D16" s="203"/>
      <c r="E16" s="203"/>
      <c r="F16" s="202"/>
    </row>
    <row r="17" spans="1:6" s="229" customFormat="1" ht="22.5" customHeight="1" x14ac:dyDescent="0.45">
      <c r="A17" s="226" t="s">
        <v>31</v>
      </c>
      <c r="B17" s="227"/>
      <c r="C17" s="227"/>
      <c r="D17" s="227"/>
      <c r="E17" s="227"/>
      <c r="F17" s="228"/>
    </row>
    <row r="18" spans="1:6" ht="18" customHeight="1" x14ac:dyDescent="0.35">
      <c r="A18" s="222"/>
      <c r="B18" s="222" t="s">
        <v>32</v>
      </c>
      <c r="C18" s="222" t="s">
        <v>25</v>
      </c>
      <c r="D18" s="413" t="s">
        <v>549</v>
      </c>
      <c r="E18" s="414"/>
      <c r="F18" s="415"/>
    </row>
    <row r="19" spans="1:6" ht="18" customHeight="1" x14ac:dyDescent="0.35">
      <c r="A19" s="241" t="s">
        <v>11</v>
      </c>
      <c r="B19" s="6">
        <f>SUM(B5:B11)</f>
        <v>920</v>
      </c>
      <c r="C19" s="6">
        <f>SUM(C5:C11)+SUM(C13:C15)</f>
        <v>1126</v>
      </c>
      <c r="D19" s="416"/>
      <c r="E19" s="417"/>
      <c r="F19" s="418"/>
    </row>
    <row r="20" spans="1:6" ht="18" customHeight="1" x14ac:dyDescent="0.35">
      <c r="A20" s="196" t="s">
        <v>135</v>
      </c>
      <c r="B20" s="182"/>
      <c r="C20" s="182"/>
      <c r="D20" s="416"/>
      <c r="E20" s="417"/>
      <c r="F20" s="418"/>
    </row>
    <row r="21" spans="1:6" ht="18" customHeight="1" x14ac:dyDescent="0.35">
      <c r="A21" s="232" t="s">
        <v>136</v>
      </c>
      <c r="B21" s="231"/>
      <c r="C21" s="194">
        <f>B19*B3/C19</f>
        <v>20.426287744227352</v>
      </c>
      <c r="D21" s="416"/>
      <c r="E21" s="417"/>
      <c r="F21" s="418"/>
    </row>
    <row r="22" spans="1:6" ht="18" customHeight="1" x14ac:dyDescent="0.35">
      <c r="A22" s="232" t="s">
        <v>504</v>
      </c>
      <c r="B22" s="231"/>
      <c r="C22" s="242">
        <v>0.77700000000000002</v>
      </c>
      <c r="D22" s="416"/>
      <c r="E22" s="417"/>
      <c r="F22" s="418"/>
    </row>
    <row r="23" spans="1:6" ht="18" customHeight="1" x14ac:dyDescent="0.35">
      <c r="A23" s="232" t="s">
        <v>41</v>
      </c>
      <c r="B23" s="231"/>
      <c r="C23" s="9">
        <f>C22*B3</f>
        <v>19.425000000000001</v>
      </c>
      <c r="D23" s="416"/>
      <c r="E23" s="417"/>
      <c r="F23" s="418"/>
    </row>
    <row r="24" spans="1:6" ht="18" customHeight="1" x14ac:dyDescent="0.35">
      <c r="A24" s="232" t="s">
        <v>134</v>
      </c>
      <c r="B24" s="231"/>
      <c r="C24" s="194">
        <f>ROUNDUP(C19/C23,1)</f>
        <v>58</v>
      </c>
      <c r="D24" s="419"/>
      <c r="E24" s="420"/>
      <c r="F24" s="421"/>
    </row>
    <row r="25" spans="1:6" ht="15" customHeight="1" x14ac:dyDescent="0.35">
      <c r="A25" s="18"/>
      <c r="B25" s="21"/>
      <c r="C25" s="210" t="s">
        <v>147</v>
      </c>
      <c r="D25" s="210"/>
      <c r="E25" s="210"/>
      <c r="F25" s="210"/>
    </row>
    <row r="26" spans="1:6" x14ac:dyDescent="0.35">
      <c r="A26" s="218" t="s">
        <v>108</v>
      </c>
      <c r="B26" s="22">
        <f>'4 summary data'!C23</f>
        <v>58</v>
      </c>
      <c r="C26" s="211" t="s">
        <v>356</v>
      </c>
      <c r="D26" s="211"/>
      <c r="E26" s="211"/>
      <c r="F26" s="211"/>
    </row>
    <row r="27" spans="1:6" x14ac:dyDescent="0.35">
      <c r="A27" s="20"/>
      <c r="B27" s="23"/>
      <c r="C27" s="212" t="s">
        <v>357</v>
      </c>
      <c r="D27" s="212"/>
      <c r="E27" s="212"/>
      <c r="F27" s="212"/>
    </row>
    <row r="28" spans="1:6" s="38" customFormat="1" x14ac:dyDescent="0.35">
      <c r="A28" s="230"/>
      <c r="B28" s="192"/>
      <c r="C28" s="193"/>
      <c r="D28" s="193"/>
      <c r="E28" s="193"/>
      <c r="F28" s="193"/>
    </row>
    <row r="29" spans="1:6" ht="63" customHeight="1" x14ac:dyDescent="0.35">
      <c r="A29" s="404" t="s">
        <v>552</v>
      </c>
      <c r="B29" s="405"/>
      <c r="C29" s="405"/>
      <c r="D29" s="405"/>
      <c r="E29" s="406"/>
    </row>
    <row r="30" spans="1:6" ht="16" customHeight="1" x14ac:dyDescent="0.35">
      <c r="A30" s="422" t="s">
        <v>138</v>
      </c>
      <c r="B30" s="423"/>
      <c r="C30" s="423"/>
      <c r="D30" s="423"/>
      <c r="E30" s="424"/>
    </row>
    <row r="31" spans="1:6" ht="16" customHeight="1" x14ac:dyDescent="0.35">
      <c r="A31" s="213" t="s">
        <v>137</v>
      </c>
      <c r="B31" s="214"/>
      <c r="C31" s="214"/>
      <c r="D31" s="215"/>
      <c r="E31" s="6">
        <f>SUM(C5:C9)</f>
        <v>756</v>
      </c>
    </row>
    <row r="32" spans="1:6" ht="16" customHeight="1" x14ac:dyDescent="0.35">
      <c r="A32" s="213" t="s">
        <v>139</v>
      </c>
      <c r="B32" s="214"/>
      <c r="C32" s="214"/>
      <c r="D32" s="215"/>
      <c r="E32" s="9">
        <f>B3*SUM(B5:B9)/27</f>
        <v>694.44444444444446</v>
      </c>
    </row>
    <row r="33" spans="1:5" ht="16" customHeight="1" x14ac:dyDescent="0.35">
      <c r="A33" s="213" t="s">
        <v>140</v>
      </c>
      <c r="B33" s="214"/>
      <c r="C33" s="214"/>
      <c r="D33" s="215"/>
      <c r="E33" s="9">
        <f>E31-E32</f>
        <v>61.555555555555543</v>
      </c>
    </row>
    <row r="34" spans="1:5" ht="16" customHeight="1" x14ac:dyDescent="0.35">
      <c r="A34" s="213" t="s">
        <v>141</v>
      </c>
      <c r="B34" s="214"/>
      <c r="C34" s="214"/>
      <c r="D34" s="215"/>
      <c r="E34" s="243">
        <f>E33/E32</f>
        <v>8.8639999999999983E-2</v>
      </c>
    </row>
    <row r="35" spans="1:5" ht="15" customHeight="1" x14ac:dyDescent="0.35">
      <c r="A35" s="422" t="s">
        <v>142</v>
      </c>
      <c r="B35" s="423"/>
      <c r="C35" s="423"/>
      <c r="D35" s="423"/>
      <c r="E35" s="424"/>
    </row>
    <row r="36" spans="1:5" ht="16" customHeight="1" x14ac:dyDescent="0.35">
      <c r="A36" s="213" t="s">
        <v>137</v>
      </c>
      <c r="B36" s="214"/>
      <c r="C36" s="214"/>
      <c r="D36" s="215"/>
      <c r="E36" s="6">
        <f>SUM(C5:C9)+SUM(C13:C15)</f>
        <v>801</v>
      </c>
    </row>
    <row r="37" spans="1:5" ht="16" customHeight="1" x14ac:dyDescent="0.35">
      <c r="A37" s="213" t="s">
        <v>139</v>
      </c>
      <c r="B37" s="214"/>
      <c r="C37" s="214"/>
      <c r="D37" s="215"/>
      <c r="E37" s="9">
        <f>B3*SUM(B5:B9)/27</f>
        <v>694.44444444444446</v>
      </c>
    </row>
    <row r="38" spans="1:5" ht="16" customHeight="1" x14ac:dyDescent="0.35">
      <c r="A38" s="213" t="s">
        <v>140</v>
      </c>
      <c r="B38" s="214"/>
      <c r="C38" s="214"/>
      <c r="D38" s="215"/>
      <c r="E38" s="9">
        <f>E36-E37</f>
        <v>106.55555555555554</v>
      </c>
    </row>
    <row r="39" spans="1:5" ht="16" customHeight="1" x14ac:dyDescent="0.35">
      <c r="A39" s="213" t="s">
        <v>141</v>
      </c>
      <c r="B39" s="214"/>
      <c r="C39" s="214"/>
      <c r="D39" s="215"/>
      <c r="E39" s="243">
        <f>E38/E37</f>
        <v>0.15343999999999997</v>
      </c>
    </row>
  </sheetData>
  <sheetProtection algorithmName="SHA-512" hashValue="HUrncm1gkjM98X9wo20T5LwWNupc+9qrNarTowbjObjz4cZW9J71RZN2wfhKAUQUJdV0UobhBOVHVqqk6ejlRg==" saltValue="QPGvc5Mbv/TgDrhM+8emWA==" spinCount="100000" sheet="1" objects="1" scenarios="1"/>
  <mergeCells count="5">
    <mergeCell ref="C2:F2"/>
    <mergeCell ref="D18:F24"/>
    <mergeCell ref="A29:E29"/>
    <mergeCell ref="A30:E30"/>
    <mergeCell ref="A35:E35"/>
  </mergeCells>
  <conditionalFormatting sqref="A25:B27">
    <cfRule type="expression" dxfId="8" priority="7">
      <formula>$B$26&gt;$C$24</formula>
    </cfRule>
    <cfRule type="expression" dxfId="7" priority="8">
      <formula>$B$26&lt;$C$24</formula>
    </cfRule>
    <cfRule type="expression" dxfId="6" priority="9">
      <formula>$C$24=$B$26</formula>
    </cfRule>
  </conditionalFormatting>
  <pageMargins left="0.7" right="0.7" top="0.75" bottom="0.75" header="0.3" footer="0.3"/>
  <pageSetup paperSize="9" orientation="portrait" horizontalDpi="4294967294" verticalDpi="0" r:id="rId1"/>
  <ignoredErrors>
    <ignoredError sqref="E31 E36"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90033"/>
  </sheetPr>
  <dimension ref="A1:F39"/>
  <sheetViews>
    <sheetView showGridLines="0" zoomScale="75" zoomScaleNormal="75" workbookViewId="0"/>
  </sheetViews>
  <sheetFormatPr defaultColWidth="9.1796875" defaultRowHeight="14.5" x14ac:dyDescent="0.35"/>
  <cols>
    <col min="1" max="1" width="32" style="1" customWidth="1"/>
    <col min="2" max="5" width="15.7265625" style="1" customWidth="1"/>
    <col min="6" max="6" width="103.1796875" style="1" customWidth="1"/>
    <col min="7" max="16384" width="9.1796875" style="1"/>
  </cols>
  <sheetData>
    <row r="1" spans="1:6" s="216" customFormat="1" ht="28" customHeight="1" x14ac:dyDescent="0.5">
      <c r="A1" s="176" t="s">
        <v>505</v>
      </c>
      <c r="B1" s="176"/>
      <c r="C1" s="176"/>
      <c r="D1" s="176"/>
      <c r="E1" s="176"/>
      <c r="F1" s="176"/>
    </row>
    <row r="2" spans="1:6" ht="28" customHeight="1" x14ac:dyDescent="0.35">
      <c r="A2" s="350" t="s">
        <v>46</v>
      </c>
      <c r="B2" s="200">
        <f>'4 summary data'!D2</f>
        <v>2026</v>
      </c>
      <c r="C2" s="236" t="s">
        <v>506</v>
      </c>
      <c r="D2" s="347"/>
      <c r="E2" s="347"/>
      <c r="F2" s="233"/>
    </row>
    <row r="3" spans="1:6" ht="28" customHeight="1" x14ac:dyDescent="0.35">
      <c r="A3" s="351" t="s">
        <v>502</v>
      </c>
      <c r="B3" s="198">
        <v>25</v>
      </c>
      <c r="C3" s="348"/>
      <c r="D3" s="349"/>
      <c r="E3" s="349"/>
      <c r="F3" s="234"/>
    </row>
    <row r="4" spans="1:6" ht="32.25" customHeight="1" x14ac:dyDescent="0.35">
      <c r="A4" s="174" t="s">
        <v>23</v>
      </c>
      <c r="B4" s="174" t="s">
        <v>24</v>
      </c>
      <c r="C4" s="174" t="s">
        <v>25</v>
      </c>
      <c r="D4" s="174" t="s">
        <v>30</v>
      </c>
      <c r="E4" s="174" t="s">
        <v>133</v>
      </c>
      <c r="F4" s="174" t="s">
        <v>33</v>
      </c>
    </row>
    <row r="5" spans="1:6" ht="18" customHeight="1" x14ac:dyDescent="0.35">
      <c r="A5" s="47" t="s">
        <v>0</v>
      </c>
      <c r="B5" s="142">
        <f>'4 summary data'!D5</f>
        <v>150</v>
      </c>
      <c r="C5" s="207">
        <v>133</v>
      </c>
      <c r="D5" s="209">
        <f>IF( C5=0,"n/a",B5*$B$3/C5)</f>
        <v>28.195488721804512</v>
      </c>
      <c r="E5" s="209">
        <f>IF($C$23=0,0,C5/$C$23)</f>
        <v>6.8468468468468462</v>
      </c>
      <c r="F5" s="204" t="s">
        <v>501</v>
      </c>
    </row>
    <row r="6" spans="1:6" ht="18" customHeight="1" x14ac:dyDescent="0.35">
      <c r="A6" s="47" t="s">
        <v>1</v>
      </c>
      <c r="B6" s="142">
        <f>'4 summary data'!D6</f>
        <v>150</v>
      </c>
      <c r="C6" s="207">
        <v>133</v>
      </c>
      <c r="D6" s="209">
        <f t="shared" ref="D6:D11" si="0">IF( C6=0,"n/a",B6*$B$3/C6)</f>
        <v>28.195488721804512</v>
      </c>
      <c r="E6" s="209">
        <f t="shared" ref="E6:E11" si="1">IF($C$23=0,0,C6/$C$23)</f>
        <v>6.8468468468468462</v>
      </c>
      <c r="F6" s="204" t="s">
        <v>105</v>
      </c>
    </row>
    <row r="7" spans="1:6" ht="18" customHeight="1" x14ac:dyDescent="0.35">
      <c r="A7" s="47" t="s">
        <v>2</v>
      </c>
      <c r="B7" s="142">
        <f>'4 summary data'!D7</f>
        <v>150</v>
      </c>
      <c r="C7" s="207">
        <v>154</v>
      </c>
      <c r="D7" s="209">
        <f t="shared" si="0"/>
        <v>24.350649350649352</v>
      </c>
      <c r="E7" s="209">
        <f t="shared" si="1"/>
        <v>7.9279279279279278</v>
      </c>
      <c r="F7" s="204" t="s">
        <v>102</v>
      </c>
    </row>
    <row r="8" spans="1:6" ht="18" customHeight="1" x14ac:dyDescent="0.35">
      <c r="A8" s="47" t="s">
        <v>3</v>
      </c>
      <c r="B8" s="142">
        <f>'4 summary data'!D8</f>
        <v>150</v>
      </c>
      <c r="C8" s="207">
        <v>168</v>
      </c>
      <c r="D8" s="209">
        <f t="shared" si="0"/>
        <v>22.321428571428573</v>
      </c>
      <c r="E8" s="209">
        <f t="shared" si="1"/>
        <v>8.6486486486486491</v>
      </c>
      <c r="F8" s="204" t="s">
        <v>128</v>
      </c>
    </row>
    <row r="9" spans="1:6" ht="18" customHeight="1" x14ac:dyDescent="0.35">
      <c r="A9" s="47" t="s">
        <v>4</v>
      </c>
      <c r="B9" s="142">
        <f>'4 summary data'!D9</f>
        <v>150</v>
      </c>
      <c r="C9" s="207">
        <v>168</v>
      </c>
      <c r="D9" s="209">
        <f t="shared" si="0"/>
        <v>22.321428571428573</v>
      </c>
      <c r="E9" s="209">
        <f t="shared" si="1"/>
        <v>8.6486486486486491</v>
      </c>
      <c r="F9" s="204" t="s">
        <v>128</v>
      </c>
    </row>
    <row r="10" spans="1:6" ht="18" customHeight="1" x14ac:dyDescent="0.35">
      <c r="A10" s="47" t="s">
        <v>5</v>
      </c>
      <c r="B10" s="142">
        <f>'4 summary data'!D10</f>
        <v>90</v>
      </c>
      <c r="C10" s="207">
        <v>175</v>
      </c>
      <c r="D10" s="209">
        <f t="shared" si="0"/>
        <v>12.857142857142858</v>
      </c>
      <c r="E10" s="209">
        <f t="shared" si="1"/>
        <v>9.0090090090090094</v>
      </c>
      <c r="F10" s="204" t="s">
        <v>129</v>
      </c>
    </row>
    <row r="11" spans="1:6" ht="18" customHeight="1" x14ac:dyDescent="0.35">
      <c r="A11" s="47" t="s">
        <v>6</v>
      </c>
      <c r="B11" s="142">
        <f>'4 summary data'!D11</f>
        <v>80</v>
      </c>
      <c r="C11" s="207">
        <v>150</v>
      </c>
      <c r="D11" s="209">
        <f t="shared" si="0"/>
        <v>13.333333333333334</v>
      </c>
      <c r="E11" s="209">
        <f t="shared" si="1"/>
        <v>7.7220077220077217</v>
      </c>
      <c r="F11" s="204" t="s">
        <v>130</v>
      </c>
    </row>
    <row r="12" spans="1:6" ht="18" customHeight="1" x14ac:dyDescent="0.35">
      <c r="A12" s="208" t="s">
        <v>52</v>
      </c>
      <c r="B12" s="196"/>
      <c r="C12" s="196"/>
      <c r="D12" s="196"/>
      <c r="E12" s="196"/>
      <c r="F12" s="181"/>
    </row>
    <row r="13" spans="1:6" ht="18" customHeight="1" x14ac:dyDescent="0.35">
      <c r="A13" s="183" t="s">
        <v>26</v>
      </c>
      <c r="B13" s="51" t="s">
        <v>29</v>
      </c>
      <c r="C13" s="207">
        <v>25</v>
      </c>
      <c r="D13" s="209" t="s">
        <v>29</v>
      </c>
      <c r="E13" s="209">
        <f>IF($C$23=0,0,C13/$C$23)</f>
        <v>1.287001287001287</v>
      </c>
      <c r="F13" s="204" t="s">
        <v>131</v>
      </c>
    </row>
    <row r="14" spans="1:6" ht="18" customHeight="1" x14ac:dyDescent="0.35">
      <c r="A14" s="183" t="s">
        <v>27</v>
      </c>
      <c r="B14" s="51" t="s">
        <v>29</v>
      </c>
      <c r="C14" s="207">
        <v>10</v>
      </c>
      <c r="D14" s="209" t="s">
        <v>29</v>
      </c>
      <c r="E14" s="209">
        <f t="shared" ref="E14:E15" si="2">IF($C$23=0,0,C14/$C$23)</f>
        <v>0.51480051480051481</v>
      </c>
      <c r="F14" s="204" t="s">
        <v>132</v>
      </c>
    </row>
    <row r="15" spans="1:6" ht="18" customHeight="1" x14ac:dyDescent="0.35">
      <c r="A15" s="183" t="s">
        <v>28</v>
      </c>
      <c r="B15" s="51" t="s">
        <v>29</v>
      </c>
      <c r="C15" s="207">
        <v>10</v>
      </c>
      <c r="D15" s="209" t="s">
        <v>29</v>
      </c>
      <c r="E15" s="209">
        <f t="shared" si="2"/>
        <v>0.51480051480051481</v>
      </c>
      <c r="F15" s="204" t="s">
        <v>143</v>
      </c>
    </row>
    <row r="16" spans="1:6" x14ac:dyDescent="0.35">
      <c r="A16" s="355"/>
      <c r="B16" s="356"/>
      <c r="C16" s="357"/>
      <c r="D16" s="358"/>
      <c r="E16" s="358"/>
      <c r="F16" s="235"/>
    </row>
    <row r="17" spans="1:6" ht="22.5" customHeight="1" x14ac:dyDescent="0.45">
      <c r="A17" s="226" t="s">
        <v>31</v>
      </c>
      <c r="B17" s="220"/>
      <c r="C17" s="220"/>
      <c r="D17" s="220"/>
      <c r="E17" s="220"/>
      <c r="F17" s="221"/>
    </row>
    <row r="18" spans="1:6" ht="18" customHeight="1" x14ac:dyDescent="0.35">
      <c r="A18" s="222"/>
      <c r="B18" s="222" t="s">
        <v>32</v>
      </c>
      <c r="C18" s="222" t="s">
        <v>25</v>
      </c>
      <c r="D18" s="413" t="s">
        <v>550</v>
      </c>
      <c r="E18" s="414"/>
      <c r="F18" s="415"/>
    </row>
    <row r="19" spans="1:6" ht="18" customHeight="1" x14ac:dyDescent="0.35">
      <c r="A19" s="6" t="s">
        <v>11</v>
      </c>
      <c r="B19" s="6">
        <f>SUM(B5:B11)</f>
        <v>920</v>
      </c>
      <c r="C19" s="6">
        <f>SUM(C5:C11)+SUM(C13:C15)</f>
        <v>1126</v>
      </c>
      <c r="D19" s="416"/>
      <c r="E19" s="417"/>
      <c r="F19" s="418"/>
    </row>
    <row r="20" spans="1:6" ht="18" customHeight="1" x14ac:dyDescent="0.35">
      <c r="A20" s="208" t="s">
        <v>135</v>
      </c>
      <c r="B20" s="182"/>
      <c r="C20" s="182"/>
      <c r="D20" s="416"/>
      <c r="E20" s="417"/>
      <c r="F20" s="418"/>
    </row>
    <row r="21" spans="1:6" ht="18" customHeight="1" x14ac:dyDescent="0.35">
      <c r="A21" s="24" t="s">
        <v>136</v>
      </c>
      <c r="B21" s="26"/>
      <c r="C21" s="194">
        <f>B19*B3/C19</f>
        <v>20.426287744227352</v>
      </c>
      <c r="D21" s="416"/>
      <c r="E21" s="417"/>
      <c r="F21" s="418"/>
    </row>
    <row r="22" spans="1:6" ht="18" customHeight="1" x14ac:dyDescent="0.35">
      <c r="A22" s="24" t="s">
        <v>504</v>
      </c>
      <c r="B22" s="26"/>
      <c r="C22" s="237">
        <v>0.77700000000000002</v>
      </c>
      <c r="D22" s="416"/>
      <c r="E22" s="417"/>
      <c r="F22" s="418"/>
    </row>
    <row r="23" spans="1:6" ht="18" customHeight="1" x14ac:dyDescent="0.35">
      <c r="A23" s="24" t="s">
        <v>41</v>
      </c>
      <c r="B23" s="26"/>
      <c r="C23" s="9">
        <f>C22*B3</f>
        <v>19.425000000000001</v>
      </c>
      <c r="D23" s="416"/>
      <c r="E23" s="417"/>
      <c r="F23" s="418"/>
    </row>
    <row r="24" spans="1:6" ht="18" customHeight="1" x14ac:dyDescent="0.35">
      <c r="A24" s="24" t="s">
        <v>134</v>
      </c>
      <c r="B24" s="26"/>
      <c r="C24" s="6">
        <f>ROUNDUP(C19/C23,1)</f>
        <v>58</v>
      </c>
      <c r="D24" s="419"/>
      <c r="E24" s="420"/>
      <c r="F24" s="421"/>
    </row>
    <row r="25" spans="1:6" ht="15" customHeight="1" x14ac:dyDescent="0.35">
      <c r="A25" s="18"/>
      <c r="B25" s="21"/>
      <c r="C25" s="210" t="s">
        <v>147</v>
      </c>
      <c r="D25" s="210"/>
      <c r="E25" s="210"/>
      <c r="F25" s="210"/>
    </row>
    <row r="26" spans="1:6" x14ac:dyDescent="0.35">
      <c r="A26" s="19" t="s">
        <v>108</v>
      </c>
      <c r="B26" s="22">
        <f>'4 summary data'!D23</f>
        <v>58</v>
      </c>
      <c r="C26" s="211" t="s">
        <v>358</v>
      </c>
      <c r="D26" s="211"/>
      <c r="E26" s="211"/>
      <c r="F26" s="211"/>
    </row>
    <row r="27" spans="1:6" x14ac:dyDescent="0.35">
      <c r="A27" s="20"/>
      <c r="B27" s="23"/>
      <c r="C27" s="212" t="s">
        <v>359</v>
      </c>
      <c r="D27" s="212"/>
      <c r="E27" s="212"/>
      <c r="F27" s="212"/>
    </row>
    <row r="28" spans="1:6" x14ac:dyDescent="0.35">
      <c r="A28" s="238"/>
      <c r="B28" s="239"/>
      <c r="C28" s="240"/>
      <c r="D28" s="240"/>
      <c r="E28" s="240"/>
      <c r="F28" s="240"/>
    </row>
    <row r="29" spans="1:6" ht="63" customHeight="1" x14ac:dyDescent="0.35">
      <c r="A29" s="404" t="s">
        <v>553</v>
      </c>
      <c r="B29" s="405"/>
      <c r="C29" s="405"/>
      <c r="D29" s="405"/>
      <c r="E29" s="406"/>
    </row>
    <row r="30" spans="1:6" ht="16" customHeight="1" x14ac:dyDescent="0.35">
      <c r="A30" s="422" t="s">
        <v>138</v>
      </c>
      <c r="B30" s="423"/>
      <c r="C30" s="423"/>
      <c r="D30" s="423"/>
      <c r="E30" s="424"/>
    </row>
    <row r="31" spans="1:6" ht="16" customHeight="1" x14ac:dyDescent="0.35">
      <c r="A31" s="213" t="s">
        <v>137</v>
      </c>
      <c r="B31" s="214"/>
      <c r="C31" s="214"/>
      <c r="D31" s="215"/>
      <c r="E31" s="6">
        <f>SUM(C5:C9)</f>
        <v>756</v>
      </c>
    </row>
    <row r="32" spans="1:6" ht="16" customHeight="1" x14ac:dyDescent="0.35">
      <c r="A32" s="213" t="s">
        <v>139</v>
      </c>
      <c r="B32" s="214"/>
      <c r="C32" s="214"/>
      <c r="D32" s="215"/>
      <c r="E32" s="9">
        <f>B3*SUM(B5:B9)/27</f>
        <v>694.44444444444446</v>
      </c>
    </row>
    <row r="33" spans="1:5" ht="16" customHeight="1" x14ac:dyDescent="0.35">
      <c r="A33" s="213" t="s">
        <v>140</v>
      </c>
      <c r="B33" s="214"/>
      <c r="C33" s="214"/>
      <c r="D33" s="215"/>
      <c r="E33" s="9">
        <f>E31-E32</f>
        <v>61.555555555555543</v>
      </c>
    </row>
    <row r="34" spans="1:5" ht="16" customHeight="1" x14ac:dyDescent="0.35">
      <c r="A34" s="213" t="s">
        <v>141</v>
      </c>
      <c r="B34" s="214"/>
      <c r="C34" s="214"/>
      <c r="D34" s="215"/>
      <c r="E34" s="243">
        <f>E33/E32</f>
        <v>8.8639999999999983E-2</v>
      </c>
    </row>
    <row r="35" spans="1:5" ht="15" customHeight="1" x14ac:dyDescent="0.35">
      <c r="A35" s="422" t="s">
        <v>142</v>
      </c>
      <c r="B35" s="423"/>
      <c r="C35" s="423"/>
      <c r="D35" s="423"/>
      <c r="E35" s="424"/>
    </row>
    <row r="36" spans="1:5" ht="16" customHeight="1" x14ac:dyDescent="0.35">
      <c r="A36" s="213" t="s">
        <v>137</v>
      </c>
      <c r="B36" s="214"/>
      <c r="C36" s="214"/>
      <c r="D36" s="215"/>
      <c r="E36" s="6">
        <f>SUM(C5:C9)+SUM(C13:C15)</f>
        <v>801</v>
      </c>
    </row>
    <row r="37" spans="1:5" ht="16" customHeight="1" x14ac:dyDescent="0.35">
      <c r="A37" s="213" t="s">
        <v>139</v>
      </c>
      <c r="B37" s="214"/>
      <c r="C37" s="214"/>
      <c r="D37" s="215"/>
      <c r="E37" s="9">
        <f>B3*SUM(B5:B9)/27</f>
        <v>694.44444444444446</v>
      </c>
    </row>
    <row r="38" spans="1:5" ht="16" customHeight="1" x14ac:dyDescent="0.35">
      <c r="A38" s="213" t="s">
        <v>140</v>
      </c>
      <c r="B38" s="214"/>
      <c r="C38" s="214"/>
      <c r="D38" s="215"/>
      <c r="E38" s="9">
        <f>E36-E37</f>
        <v>106.55555555555554</v>
      </c>
    </row>
    <row r="39" spans="1:5" ht="16" customHeight="1" x14ac:dyDescent="0.35">
      <c r="A39" s="213" t="s">
        <v>141</v>
      </c>
      <c r="B39" s="214"/>
      <c r="C39" s="214"/>
      <c r="D39" s="215"/>
      <c r="E39" s="243">
        <f>E38/E37</f>
        <v>0.15343999999999997</v>
      </c>
    </row>
  </sheetData>
  <sheetProtection algorithmName="SHA-512" hashValue="wTu8quQR6llV7AtfAzNx5IOMrIlBODvzcAPkCLPIxGfb1SayxG0S5cEtw8K9RV4e34HRdyVxgX1qLNH36+Pe+Q==" saltValue="ehBBy3INNSqNgWHbC6DuSA==" spinCount="100000" sheet="1" objects="1" scenarios="1"/>
  <mergeCells count="4">
    <mergeCell ref="D18:F24"/>
    <mergeCell ref="A35:E35"/>
    <mergeCell ref="A30:E30"/>
    <mergeCell ref="A29:E29"/>
  </mergeCells>
  <conditionalFormatting sqref="A25:B27">
    <cfRule type="expression" dxfId="5" priority="1">
      <formula>$B$26&gt;$C$24</formula>
    </cfRule>
    <cfRule type="expression" dxfId="4" priority="2">
      <formula>$B$26&lt;$C$24</formula>
    </cfRule>
    <cfRule type="expression" dxfId="3" priority="3">
      <formula>$C$24=$B$26</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79998168889431442"/>
  </sheetPr>
  <dimension ref="A1:AA50"/>
  <sheetViews>
    <sheetView showGridLines="0" zoomScale="75" zoomScaleNormal="75" workbookViewId="0"/>
  </sheetViews>
  <sheetFormatPr defaultColWidth="9.1796875" defaultRowHeight="14.5" x14ac:dyDescent="0.35"/>
  <cols>
    <col min="1" max="1" width="46.54296875" style="1" customWidth="1"/>
    <col min="2" max="2" width="12.453125" style="1" customWidth="1"/>
    <col min="3" max="3" width="43.81640625" style="1" customWidth="1"/>
    <col min="4" max="4" width="42.81640625" style="1" customWidth="1"/>
    <col min="5" max="5" width="30" style="1" customWidth="1"/>
    <col min="6" max="6" width="21.1796875" style="1" customWidth="1"/>
    <col min="7" max="7" width="9.1796875" style="1"/>
    <col min="8" max="8" width="11.26953125" style="1" customWidth="1"/>
    <col min="9" max="9" width="10.453125" style="1" customWidth="1"/>
    <col min="10" max="10" width="9.1796875" style="1"/>
    <col min="11" max="11" width="14.26953125" style="1" customWidth="1"/>
    <col min="12" max="13" width="9.1796875" style="1"/>
    <col min="14" max="14" width="12.7265625" style="1" customWidth="1"/>
    <col min="15" max="25" width="4.54296875" style="1" customWidth="1"/>
    <col min="26" max="26" width="2.54296875" style="1" customWidth="1"/>
    <col min="27" max="27" width="128.81640625" style="1" customWidth="1"/>
    <col min="28" max="16384" width="9.1796875" style="1"/>
  </cols>
  <sheetData>
    <row r="1" spans="1:27" ht="18.5" x14ac:dyDescent="0.45">
      <c r="E1" s="399" t="s">
        <v>193</v>
      </c>
      <c r="F1" s="388">
        <v>25</v>
      </c>
      <c r="G1" s="14"/>
      <c r="O1" s="31"/>
      <c r="P1" s="32"/>
      <c r="Q1" s="32"/>
      <c r="R1" s="32"/>
      <c r="S1" s="34" t="s">
        <v>251</v>
      </c>
      <c r="T1" s="32"/>
      <c r="U1" s="32"/>
      <c r="V1" s="32"/>
      <c r="W1" s="32"/>
      <c r="X1" s="32"/>
      <c r="Y1" s="33"/>
      <c r="AA1" s="387"/>
    </row>
    <row r="2" spans="1:27" ht="54" customHeight="1" x14ac:dyDescent="0.35">
      <c r="A2" s="259" t="s">
        <v>353</v>
      </c>
      <c r="B2" s="259"/>
      <c r="D2" s="27"/>
      <c r="E2" s="274" t="s">
        <v>149</v>
      </c>
      <c r="F2" s="274" t="s">
        <v>32</v>
      </c>
      <c r="G2" s="274" t="s">
        <v>72</v>
      </c>
      <c r="H2" s="177" t="s">
        <v>150</v>
      </c>
      <c r="I2" s="177" t="s">
        <v>151</v>
      </c>
      <c r="J2" s="259" t="s">
        <v>152</v>
      </c>
      <c r="K2" s="259"/>
      <c r="L2" s="259"/>
      <c r="M2" s="201" t="s">
        <v>199</v>
      </c>
      <c r="N2" s="201" t="s">
        <v>201</v>
      </c>
      <c r="O2" s="279" t="s">
        <v>242</v>
      </c>
      <c r="P2" s="279" t="s">
        <v>243</v>
      </c>
      <c r="Q2" s="279" t="s">
        <v>244</v>
      </c>
      <c r="R2" s="279" t="s">
        <v>245</v>
      </c>
      <c r="S2" s="279" t="s">
        <v>246</v>
      </c>
      <c r="T2" s="279" t="s">
        <v>248</v>
      </c>
      <c r="U2" s="279" t="s">
        <v>247</v>
      </c>
      <c r="V2" s="279" t="s">
        <v>249</v>
      </c>
      <c r="W2" s="279" t="s">
        <v>250</v>
      </c>
      <c r="X2" s="279" t="s">
        <v>250</v>
      </c>
      <c r="Y2" s="279" t="s">
        <v>250</v>
      </c>
      <c r="AA2" s="364" t="s">
        <v>387</v>
      </c>
    </row>
    <row r="3" spans="1:27" ht="18" customHeight="1" x14ac:dyDescent="0.35">
      <c r="A3" s="183" t="s">
        <v>43</v>
      </c>
      <c r="B3" s="183">
        <f>G44</f>
        <v>39.299999999999997</v>
      </c>
      <c r="C3" s="183" t="s">
        <v>507</v>
      </c>
      <c r="D3" s="28"/>
      <c r="E3" s="275"/>
      <c r="F3" s="275"/>
      <c r="G3" s="275"/>
      <c r="H3" s="276"/>
      <c r="I3" s="276"/>
      <c r="J3" s="127" t="s">
        <v>76</v>
      </c>
      <c r="K3" s="127" t="s">
        <v>153</v>
      </c>
      <c r="L3" s="127" t="s">
        <v>77</v>
      </c>
      <c r="M3" s="277"/>
      <c r="N3" s="277"/>
      <c r="O3" s="35"/>
      <c r="P3" s="35"/>
      <c r="Q3" s="35"/>
      <c r="R3" s="35"/>
      <c r="S3" s="35"/>
      <c r="T3" s="35"/>
      <c r="U3" s="35"/>
      <c r="V3" s="35"/>
      <c r="W3" s="35"/>
      <c r="X3" s="35"/>
      <c r="Y3" s="35"/>
      <c r="AA3" s="365" t="s">
        <v>512</v>
      </c>
    </row>
    <row r="4" spans="1:27" ht="18" customHeight="1" x14ac:dyDescent="0.35">
      <c r="A4" s="183" t="s">
        <v>195</v>
      </c>
      <c r="B4" s="183">
        <f>I44</f>
        <v>755</v>
      </c>
      <c r="C4" s="183" t="s">
        <v>508</v>
      </c>
      <c r="D4" s="28"/>
      <c r="E4" s="204" t="s">
        <v>154</v>
      </c>
      <c r="F4" s="204" t="s">
        <v>54</v>
      </c>
      <c r="G4" s="204">
        <v>1</v>
      </c>
      <c r="H4" s="278">
        <v>25</v>
      </c>
      <c r="I4" s="278">
        <v>0</v>
      </c>
      <c r="J4" s="278">
        <v>0</v>
      </c>
      <c r="K4" s="278">
        <v>25</v>
      </c>
      <c r="L4" s="278">
        <v>0</v>
      </c>
      <c r="M4" s="281">
        <f>SUM(I4:L4)</f>
        <v>25</v>
      </c>
      <c r="N4" s="262" t="str">
        <f>IF(I4=0,"n/a",J4/I4)</f>
        <v>n/a</v>
      </c>
      <c r="O4" s="11"/>
      <c r="P4" s="15"/>
      <c r="Q4" s="15"/>
      <c r="R4" s="15"/>
      <c r="S4" s="15"/>
      <c r="T4" s="15"/>
      <c r="U4" s="15"/>
      <c r="V4" s="15"/>
      <c r="W4" s="15"/>
      <c r="X4" s="15"/>
      <c r="Y4" s="15"/>
      <c r="AA4" s="366" t="s">
        <v>513</v>
      </c>
    </row>
    <row r="5" spans="1:27" ht="18" customHeight="1" x14ac:dyDescent="0.35">
      <c r="A5" s="183" t="s">
        <v>196</v>
      </c>
      <c r="B5" s="260">
        <f>B4/B3</f>
        <v>19.211195928753181</v>
      </c>
      <c r="C5" s="183" t="s">
        <v>522</v>
      </c>
      <c r="D5" s="28"/>
      <c r="E5" s="204" t="s">
        <v>155</v>
      </c>
      <c r="F5" s="204" t="s">
        <v>156</v>
      </c>
      <c r="G5" s="204">
        <v>1</v>
      </c>
      <c r="H5" s="278">
        <v>25</v>
      </c>
      <c r="I5" s="278">
        <v>5</v>
      </c>
      <c r="J5" s="278">
        <v>1</v>
      </c>
      <c r="K5" s="278">
        <v>19</v>
      </c>
      <c r="L5" s="278">
        <v>0</v>
      </c>
      <c r="M5" s="183">
        <f t="shared" ref="M5:M43" si="0">SUM(I5:L5)</f>
        <v>25</v>
      </c>
      <c r="N5" s="262">
        <f t="shared" ref="N5:N43" si="1">IF(I5=0,"n/a",J5/I5)</f>
        <v>0.2</v>
      </c>
      <c r="O5" s="15"/>
      <c r="P5" s="15"/>
      <c r="Q5" s="15"/>
      <c r="R5" s="15"/>
      <c r="S5" s="15"/>
      <c r="T5" s="15"/>
      <c r="U5" s="15"/>
      <c r="V5" s="15"/>
      <c r="W5" s="15"/>
      <c r="X5" s="15"/>
      <c r="Y5" s="15"/>
    </row>
    <row r="6" spans="1:27" ht="18" customHeight="1" x14ac:dyDescent="0.35">
      <c r="A6" s="183" t="s">
        <v>197</v>
      </c>
      <c r="B6" s="183">
        <f>F1</f>
        <v>25</v>
      </c>
      <c r="C6" s="183" t="s">
        <v>523</v>
      </c>
      <c r="D6" s="28"/>
      <c r="E6" s="204" t="s">
        <v>157</v>
      </c>
      <c r="F6" s="204" t="s">
        <v>202</v>
      </c>
      <c r="G6" s="204">
        <v>1</v>
      </c>
      <c r="H6" s="278">
        <v>25</v>
      </c>
      <c r="I6" s="278">
        <v>10</v>
      </c>
      <c r="J6" s="278">
        <v>1</v>
      </c>
      <c r="K6" s="278">
        <v>14</v>
      </c>
      <c r="L6" s="278">
        <v>0</v>
      </c>
      <c r="M6" s="183">
        <f t="shared" si="0"/>
        <v>25</v>
      </c>
      <c r="N6" s="262">
        <f t="shared" si="1"/>
        <v>0.1</v>
      </c>
      <c r="O6" s="15"/>
      <c r="P6" s="15"/>
      <c r="Q6" s="15"/>
      <c r="R6" s="15"/>
      <c r="S6" s="15"/>
      <c r="T6" s="15"/>
      <c r="U6" s="15"/>
      <c r="V6" s="15"/>
      <c r="W6" s="15"/>
      <c r="X6" s="15"/>
      <c r="Y6" s="15"/>
    </row>
    <row r="7" spans="1:27" ht="18" customHeight="1" x14ac:dyDescent="0.35">
      <c r="A7" s="183" t="s">
        <v>198</v>
      </c>
      <c r="B7" s="260">
        <f>B5/B6</f>
        <v>0.76844783715012721</v>
      </c>
      <c r="C7" s="183" t="s">
        <v>524</v>
      </c>
      <c r="D7" s="28"/>
      <c r="E7" s="204" t="s">
        <v>158</v>
      </c>
      <c r="F7" s="204" t="s">
        <v>202</v>
      </c>
      <c r="G7" s="204">
        <v>1</v>
      </c>
      <c r="H7" s="278">
        <v>25</v>
      </c>
      <c r="I7" s="278">
        <v>10</v>
      </c>
      <c r="J7" s="278">
        <v>1</v>
      </c>
      <c r="K7" s="278">
        <v>14</v>
      </c>
      <c r="L7" s="278">
        <v>0</v>
      </c>
      <c r="M7" s="183">
        <f t="shared" si="0"/>
        <v>25</v>
      </c>
      <c r="N7" s="262">
        <f t="shared" si="1"/>
        <v>0.1</v>
      </c>
      <c r="O7" s="15"/>
      <c r="P7" s="15"/>
      <c r="Q7" s="15"/>
      <c r="R7" s="15"/>
      <c r="S7" s="15"/>
      <c r="T7" s="15"/>
      <c r="U7" s="15"/>
      <c r="V7" s="15"/>
      <c r="W7" s="15"/>
      <c r="X7" s="15"/>
      <c r="Y7" s="15"/>
    </row>
    <row r="8" spans="1:27" ht="18" customHeight="1" x14ac:dyDescent="0.35">
      <c r="A8" s="183" t="s">
        <v>200</v>
      </c>
      <c r="B8" s="261">
        <f>J44/I44</f>
        <v>0.12450331125827814</v>
      </c>
      <c r="C8" s="183" t="s">
        <v>525</v>
      </c>
      <c r="D8" s="28"/>
      <c r="E8" s="204" t="s">
        <v>252</v>
      </c>
      <c r="F8" s="204" t="s">
        <v>202</v>
      </c>
      <c r="G8" s="204">
        <v>1</v>
      </c>
      <c r="H8" s="278">
        <v>25</v>
      </c>
      <c r="I8" s="278">
        <v>10</v>
      </c>
      <c r="J8" s="278">
        <v>1</v>
      </c>
      <c r="K8" s="278">
        <v>14</v>
      </c>
      <c r="L8" s="278">
        <v>0</v>
      </c>
      <c r="M8" s="183">
        <f t="shared" si="0"/>
        <v>25</v>
      </c>
      <c r="N8" s="262">
        <f t="shared" si="1"/>
        <v>0.1</v>
      </c>
      <c r="O8" s="15"/>
      <c r="P8" s="15"/>
      <c r="Q8" s="15"/>
      <c r="R8" s="15"/>
      <c r="S8" s="15"/>
      <c r="T8" s="15"/>
      <c r="U8" s="15"/>
      <c r="V8" s="15"/>
      <c r="W8" s="15"/>
      <c r="X8" s="15"/>
      <c r="Y8" s="15"/>
    </row>
    <row r="9" spans="1:27" ht="18" customHeight="1" x14ac:dyDescent="0.35">
      <c r="A9" s="183" t="s">
        <v>206</v>
      </c>
      <c r="B9" s="262">
        <f>J44/H44</f>
        <v>9.5625635808748735E-2</v>
      </c>
      <c r="C9" s="183" t="s">
        <v>526</v>
      </c>
      <c r="D9" s="28"/>
      <c r="E9" s="204" t="s">
        <v>159</v>
      </c>
      <c r="F9" s="204" t="s">
        <v>204</v>
      </c>
      <c r="G9" s="204">
        <v>1</v>
      </c>
      <c r="H9" s="278">
        <v>25</v>
      </c>
      <c r="I9" s="278">
        <v>18</v>
      </c>
      <c r="J9" s="278">
        <v>2</v>
      </c>
      <c r="K9" s="278">
        <v>5</v>
      </c>
      <c r="L9" s="278">
        <v>0</v>
      </c>
      <c r="M9" s="183">
        <f t="shared" si="0"/>
        <v>25</v>
      </c>
      <c r="N9" s="262">
        <f t="shared" si="1"/>
        <v>0.1111111111111111</v>
      </c>
      <c r="O9" s="15"/>
      <c r="P9" s="15"/>
      <c r="Q9" s="15"/>
      <c r="R9" s="15"/>
      <c r="S9" s="15"/>
      <c r="T9" s="15"/>
      <c r="U9" s="15"/>
      <c r="V9" s="15"/>
      <c r="W9" s="15"/>
      <c r="X9" s="15"/>
      <c r="Y9" s="15"/>
    </row>
    <row r="10" spans="1:27" ht="18" customHeight="1" x14ac:dyDescent="0.35">
      <c r="A10" s="183" t="s">
        <v>207</v>
      </c>
      <c r="B10" s="262">
        <f>K44/H44</f>
        <v>0.1353001017293998</v>
      </c>
      <c r="C10" s="183" t="s">
        <v>527</v>
      </c>
      <c r="D10" s="28"/>
      <c r="E10" s="204" t="s">
        <v>160</v>
      </c>
      <c r="F10" s="204" t="s">
        <v>204</v>
      </c>
      <c r="G10" s="204">
        <v>1</v>
      </c>
      <c r="H10" s="278">
        <v>25</v>
      </c>
      <c r="I10" s="278">
        <v>18</v>
      </c>
      <c r="J10" s="278">
        <v>2</v>
      </c>
      <c r="K10" s="278">
        <v>5</v>
      </c>
      <c r="L10" s="278">
        <v>0</v>
      </c>
      <c r="M10" s="183">
        <f t="shared" si="0"/>
        <v>25</v>
      </c>
      <c r="N10" s="262">
        <f t="shared" si="1"/>
        <v>0.1111111111111111</v>
      </c>
      <c r="O10" s="15"/>
      <c r="P10" s="15"/>
      <c r="Q10" s="15"/>
      <c r="R10" s="15"/>
      <c r="S10" s="15"/>
      <c r="T10" s="15"/>
      <c r="U10" s="15"/>
      <c r="V10" s="15"/>
      <c r="W10" s="15"/>
      <c r="X10" s="15"/>
      <c r="Y10" s="15"/>
    </row>
    <row r="11" spans="1:27" ht="18" customHeight="1" x14ac:dyDescent="0.35">
      <c r="D11" s="27"/>
      <c r="E11" s="204" t="s">
        <v>161</v>
      </c>
      <c r="F11" s="204" t="s">
        <v>204</v>
      </c>
      <c r="G11" s="204">
        <v>1</v>
      </c>
      <c r="H11" s="278">
        <v>25</v>
      </c>
      <c r="I11" s="278">
        <v>18</v>
      </c>
      <c r="J11" s="278">
        <v>2</v>
      </c>
      <c r="K11" s="278">
        <v>5</v>
      </c>
      <c r="L11" s="278">
        <v>0</v>
      </c>
      <c r="M11" s="183">
        <f t="shared" si="0"/>
        <v>25</v>
      </c>
      <c r="N11" s="262">
        <f t="shared" si="1"/>
        <v>0.1111111111111111</v>
      </c>
      <c r="O11" s="15"/>
      <c r="P11" s="15"/>
      <c r="Q11" s="15"/>
      <c r="R11" s="15"/>
      <c r="S11" s="15"/>
      <c r="T11" s="15"/>
      <c r="U11" s="15"/>
      <c r="V11" s="15"/>
      <c r="W11" s="15"/>
      <c r="X11" s="15"/>
      <c r="Y11" s="15"/>
    </row>
    <row r="12" spans="1:27" ht="18" customHeight="1" x14ac:dyDescent="0.35">
      <c r="A12" s="264" t="s">
        <v>377</v>
      </c>
      <c r="B12" s="265"/>
      <c r="C12" s="265"/>
      <c r="D12" s="266"/>
      <c r="E12" s="204" t="s">
        <v>162</v>
      </c>
      <c r="F12" s="204" t="s">
        <v>204</v>
      </c>
      <c r="G12" s="204">
        <v>1</v>
      </c>
      <c r="H12" s="278">
        <v>25</v>
      </c>
      <c r="I12" s="278">
        <v>18</v>
      </c>
      <c r="J12" s="278">
        <v>2</v>
      </c>
      <c r="K12" s="278">
        <v>5</v>
      </c>
      <c r="L12" s="278">
        <v>0</v>
      </c>
      <c r="M12" s="183">
        <f t="shared" si="0"/>
        <v>25</v>
      </c>
      <c r="N12" s="262">
        <f t="shared" si="1"/>
        <v>0.1111111111111111</v>
      </c>
      <c r="O12" s="15"/>
      <c r="P12" s="15"/>
      <c r="Q12" s="15"/>
      <c r="R12" s="15"/>
      <c r="S12" s="15"/>
      <c r="T12" s="15"/>
      <c r="U12" s="15"/>
      <c r="V12" s="15"/>
      <c r="W12" s="15"/>
      <c r="X12" s="15"/>
      <c r="Y12" s="15"/>
    </row>
    <row r="13" spans="1:27" ht="18" customHeight="1" x14ac:dyDescent="0.35">
      <c r="A13" s="267"/>
      <c r="B13" s="169"/>
      <c r="C13" s="169"/>
      <c r="D13" s="263"/>
      <c r="E13" s="204" t="s">
        <v>163</v>
      </c>
      <c r="F13" s="204" t="s">
        <v>203</v>
      </c>
      <c r="G13" s="204">
        <v>1</v>
      </c>
      <c r="H13" s="278">
        <v>25</v>
      </c>
      <c r="I13" s="278">
        <v>20</v>
      </c>
      <c r="J13" s="278">
        <v>2</v>
      </c>
      <c r="K13" s="278">
        <v>3</v>
      </c>
      <c r="L13" s="278">
        <v>0</v>
      </c>
      <c r="M13" s="183">
        <f t="shared" si="0"/>
        <v>25</v>
      </c>
      <c r="N13" s="262">
        <f t="shared" si="1"/>
        <v>0.1</v>
      </c>
      <c r="O13" s="15"/>
      <c r="P13" s="15"/>
      <c r="Q13" s="15"/>
      <c r="R13" s="15"/>
      <c r="S13" s="15"/>
      <c r="T13" s="15"/>
      <c r="U13" s="15"/>
      <c r="V13" s="15"/>
      <c r="W13" s="15"/>
      <c r="X13" s="15"/>
      <c r="Y13" s="15"/>
    </row>
    <row r="14" spans="1:27" ht="18" customHeight="1" x14ac:dyDescent="0.35">
      <c r="A14" s="268" t="s">
        <v>378</v>
      </c>
      <c r="B14" s="169"/>
      <c r="C14" s="169"/>
      <c r="D14" s="263"/>
      <c r="E14" s="204" t="s">
        <v>164</v>
      </c>
      <c r="F14" s="204" t="s">
        <v>203</v>
      </c>
      <c r="G14" s="204">
        <v>1</v>
      </c>
      <c r="H14" s="278">
        <v>25</v>
      </c>
      <c r="I14" s="278">
        <v>20</v>
      </c>
      <c r="J14" s="278">
        <v>2</v>
      </c>
      <c r="K14" s="278">
        <v>3</v>
      </c>
      <c r="L14" s="278">
        <v>0</v>
      </c>
      <c r="M14" s="183">
        <f t="shared" si="0"/>
        <v>25</v>
      </c>
      <c r="N14" s="262">
        <f t="shared" si="1"/>
        <v>0.1</v>
      </c>
      <c r="O14" s="15"/>
      <c r="P14" s="15"/>
      <c r="Q14" s="15"/>
      <c r="R14" s="15"/>
      <c r="S14" s="15"/>
      <c r="T14" s="15"/>
      <c r="U14" s="15"/>
      <c r="V14" s="15"/>
      <c r="W14" s="15"/>
      <c r="X14" s="15"/>
      <c r="Y14" s="15"/>
    </row>
    <row r="15" spans="1:27" ht="18" customHeight="1" x14ac:dyDescent="0.35">
      <c r="A15" s="267"/>
      <c r="B15" s="169"/>
      <c r="C15" s="169"/>
      <c r="D15" s="263"/>
      <c r="E15" s="204" t="s">
        <v>165</v>
      </c>
      <c r="F15" s="204" t="s">
        <v>203</v>
      </c>
      <c r="G15" s="204">
        <v>1</v>
      </c>
      <c r="H15" s="278">
        <v>25</v>
      </c>
      <c r="I15" s="278">
        <v>20</v>
      </c>
      <c r="J15" s="278">
        <v>2</v>
      </c>
      <c r="K15" s="278">
        <v>3</v>
      </c>
      <c r="L15" s="278">
        <v>0</v>
      </c>
      <c r="M15" s="183">
        <f t="shared" si="0"/>
        <v>25</v>
      </c>
      <c r="N15" s="262">
        <f t="shared" si="1"/>
        <v>0.1</v>
      </c>
      <c r="O15" s="15"/>
      <c r="P15" s="15"/>
      <c r="Q15" s="15"/>
      <c r="R15" s="15"/>
      <c r="S15" s="15"/>
      <c r="T15" s="15"/>
      <c r="U15" s="15"/>
      <c r="V15" s="15"/>
      <c r="W15" s="15"/>
      <c r="X15" s="15"/>
      <c r="Y15" s="15"/>
    </row>
    <row r="16" spans="1:27" ht="18" customHeight="1" x14ac:dyDescent="0.35">
      <c r="A16" s="269" t="s">
        <v>379</v>
      </c>
      <c r="B16" s="169"/>
      <c r="C16" s="169"/>
      <c r="D16" s="263"/>
      <c r="E16" s="204" t="s">
        <v>166</v>
      </c>
      <c r="F16" s="204" t="s">
        <v>203</v>
      </c>
      <c r="G16" s="204">
        <v>1</v>
      </c>
      <c r="H16" s="278">
        <v>25</v>
      </c>
      <c r="I16" s="278">
        <v>20</v>
      </c>
      <c r="J16" s="278">
        <v>2</v>
      </c>
      <c r="K16" s="278">
        <v>3</v>
      </c>
      <c r="L16" s="278">
        <v>0</v>
      </c>
      <c r="M16" s="183">
        <f t="shared" si="0"/>
        <v>25</v>
      </c>
      <c r="N16" s="262">
        <f t="shared" si="1"/>
        <v>0.1</v>
      </c>
      <c r="O16" s="15"/>
      <c r="P16" s="15"/>
      <c r="Q16" s="15"/>
      <c r="R16" s="15"/>
      <c r="S16" s="15"/>
      <c r="T16" s="15"/>
      <c r="U16" s="15"/>
      <c r="V16" s="15"/>
      <c r="W16" s="15"/>
      <c r="X16" s="15"/>
      <c r="Y16" s="15"/>
    </row>
    <row r="17" spans="1:25" ht="18" customHeight="1" x14ac:dyDescent="0.35">
      <c r="A17" s="270" t="s">
        <v>380</v>
      </c>
      <c r="B17" s="169"/>
      <c r="C17" s="169"/>
      <c r="D17" s="263"/>
      <c r="E17" s="204" t="s">
        <v>167</v>
      </c>
      <c r="F17" s="204" t="s">
        <v>203</v>
      </c>
      <c r="G17" s="204">
        <v>1</v>
      </c>
      <c r="H17" s="278">
        <v>25</v>
      </c>
      <c r="I17" s="278">
        <v>20</v>
      </c>
      <c r="J17" s="278">
        <v>2</v>
      </c>
      <c r="K17" s="278">
        <v>3</v>
      </c>
      <c r="L17" s="278">
        <v>0</v>
      </c>
      <c r="M17" s="183">
        <f t="shared" si="0"/>
        <v>25</v>
      </c>
      <c r="N17" s="262">
        <f t="shared" si="1"/>
        <v>0.1</v>
      </c>
      <c r="O17" s="15"/>
      <c r="P17" s="15"/>
      <c r="Q17" s="15"/>
      <c r="R17" s="15"/>
      <c r="S17" s="15"/>
      <c r="T17" s="15"/>
      <c r="U17" s="15"/>
      <c r="V17" s="15"/>
      <c r="W17" s="15"/>
      <c r="X17" s="15"/>
      <c r="Y17" s="15"/>
    </row>
    <row r="18" spans="1:25" ht="18" customHeight="1" x14ac:dyDescent="0.35">
      <c r="A18" s="267"/>
      <c r="B18" s="169"/>
      <c r="C18" s="169"/>
      <c r="D18" s="263"/>
      <c r="E18" s="204" t="s">
        <v>168</v>
      </c>
      <c r="F18" s="204" t="s">
        <v>203</v>
      </c>
      <c r="G18" s="204">
        <v>1</v>
      </c>
      <c r="H18" s="278">
        <v>25</v>
      </c>
      <c r="I18" s="278">
        <v>20</v>
      </c>
      <c r="J18" s="278">
        <v>2</v>
      </c>
      <c r="K18" s="278">
        <v>3</v>
      </c>
      <c r="L18" s="278">
        <v>0</v>
      </c>
      <c r="M18" s="183">
        <f t="shared" si="0"/>
        <v>25</v>
      </c>
      <c r="N18" s="262">
        <f t="shared" si="1"/>
        <v>0.1</v>
      </c>
      <c r="O18" s="15"/>
      <c r="P18" s="15"/>
      <c r="Q18" s="15"/>
      <c r="R18" s="15"/>
      <c r="S18" s="15"/>
      <c r="T18" s="15"/>
      <c r="U18" s="15"/>
      <c r="V18" s="15"/>
      <c r="W18" s="15"/>
      <c r="X18" s="15"/>
      <c r="Y18" s="15"/>
    </row>
    <row r="19" spans="1:25" ht="18" customHeight="1" x14ac:dyDescent="0.35">
      <c r="A19" s="269" t="s">
        <v>381</v>
      </c>
      <c r="B19" s="169"/>
      <c r="C19" s="169"/>
      <c r="D19" s="263"/>
      <c r="E19" s="204" t="s">
        <v>169</v>
      </c>
      <c r="F19" s="204" t="s">
        <v>203</v>
      </c>
      <c r="G19" s="204">
        <v>1</v>
      </c>
      <c r="H19" s="278">
        <v>25</v>
      </c>
      <c r="I19" s="278">
        <v>20</v>
      </c>
      <c r="J19" s="278">
        <v>2</v>
      </c>
      <c r="K19" s="278">
        <v>3</v>
      </c>
      <c r="L19" s="278">
        <v>0</v>
      </c>
      <c r="M19" s="183">
        <f t="shared" si="0"/>
        <v>25</v>
      </c>
      <c r="N19" s="262">
        <f t="shared" si="1"/>
        <v>0.1</v>
      </c>
      <c r="O19" s="15"/>
      <c r="P19" s="15"/>
      <c r="Q19" s="15"/>
      <c r="R19" s="15"/>
      <c r="S19" s="15"/>
      <c r="T19" s="15"/>
      <c r="U19" s="15"/>
      <c r="V19" s="15"/>
      <c r="W19" s="15"/>
      <c r="X19" s="15"/>
      <c r="Y19" s="15"/>
    </row>
    <row r="20" spans="1:25" ht="18" customHeight="1" x14ac:dyDescent="0.35">
      <c r="A20" s="269" t="s">
        <v>382</v>
      </c>
      <c r="B20" s="169"/>
      <c r="C20" s="169"/>
      <c r="D20" s="263"/>
      <c r="E20" s="204" t="s">
        <v>170</v>
      </c>
      <c r="F20" s="204" t="s">
        <v>203</v>
      </c>
      <c r="G20" s="204">
        <v>1</v>
      </c>
      <c r="H20" s="278">
        <v>25</v>
      </c>
      <c r="I20" s="278">
        <v>20</v>
      </c>
      <c r="J20" s="278">
        <v>2</v>
      </c>
      <c r="K20" s="278">
        <v>3</v>
      </c>
      <c r="L20" s="278">
        <v>0</v>
      </c>
      <c r="M20" s="183">
        <f t="shared" si="0"/>
        <v>25</v>
      </c>
      <c r="N20" s="262">
        <f t="shared" si="1"/>
        <v>0.1</v>
      </c>
      <c r="O20" s="15"/>
      <c r="P20" s="15"/>
      <c r="Q20" s="15"/>
      <c r="R20" s="15"/>
      <c r="S20" s="15"/>
      <c r="T20" s="15"/>
      <c r="U20" s="15"/>
      <c r="V20" s="15"/>
      <c r="W20" s="15"/>
      <c r="X20" s="15"/>
      <c r="Y20" s="15"/>
    </row>
    <row r="21" spans="1:25" ht="18" customHeight="1" x14ac:dyDescent="0.35">
      <c r="A21" s="269" t="s">
        <v>385</v>
      </c>
      <c r="B21" s="169"/>
      <c r="C21" s="169"/>
      <c r="D21" s="263"/>
      <c r="E21" s="204" t="s">
        <v>194</v>
      </c>
      <c r="F21" s="204" t="s">
        <v>203</v>
      </c>
      <c r="G21" s="204">
        <v>1</v>
      </c>
      <c r="H21" s="278">
        <v>25</v>
      </c>
      <c r="I21" s="278">
        <v>20</v>
      </c>
      <c r="J21" s="278">
        <v>2</v>
      </c>
      <c r="K21" s="278">
        <v>3</v>
      </c>
      <c r="L21" s="278">
        <v>0</v>
      </c>
      <c r="M21" s="183">
        <f t="shared" si="0"/>
        <v>25</v>
      </c>
      <c r="N21" s="262">
        <f t="shared" si="1"/>
        <v>0.1</v>
      </c>
      <c r="O21" s="15"/>
      <c r="P21" s="15"/>
      <c r="Q21" s="15"/>
      <c r="R21" s="15"/>
      <c r="S21" s="15"/>
      <c r="T21" s="15"/>
      <c r="U21" s="15"/>
      <c r="V21" s="15"/>
      <c r="W21" s="15"/>
      <c r="X21" s="15"/>
      <c r="Y21" s="15"/>
    </row>
    <row r="22" spans="1:25" ht="18" customHeight="1" x14ac:dyDescent="0.35">
      <c r="A22" s="269" t="s">
        <v>542</v>
      </c>
      <c r="B22" s="169"/>
      <c r="C22" s="169"/>
      <c r="D22" s="263"/>
      <c r="E22" s="204" t="s">
        <v>171</v>
      </c>
      <c r="F22" s="204" t="s">
        <v>205</v>
      </c>
      <c r="G22" s="204">
        <v>1</v>
      </c>
      <c r="H22" s="278">
        <v>25</v>
      </c>
      <c r="I22" s="278">
        <v>22</v>
      </c>
      <c r="J22" s="278">
        <v>3</v>
      </c>
      <c r="K22" s="278">
        <v>0</v>
      </c>
      <c r="L22" s="278">
        <v>0</v>
      </c>
      <c r="M22" s="183">
        <f t="shared" si="0"/>
        <v>25</v>
      </c>
      <c r="N22" s="262">
        <f t="shared" si="1"/>
        <v>0.13636363636363635</v>
      </c>
      <c r="O22" s="15"/>
      <c r="P22" s="15"/>
      <c r="Q22" s="15"/>
      <c r="R22" s="15"/>
      <c r="S22" s="15"/>
      <c r="T22" s="15"/>
      <c r="U22" s="15"/>
      <c r="V22" s="15"/>
      <c r="W22" s="15"/>
      <c r="X22" s="15"/>
      <c r="Y22" s="15"/>
    </row>
    <row r="23" spans="1:25" ht="18" customHeight="1" x14ac:dyDescent="0.35">
      <c r="A23" s="267"/>
      <c r="B23" s="169"/>
      <c r="C23" s="169"/>
      <c r="D23" s="263"/>
      <c r="E23" s="204" t="s">
        <v>172</v>
      </c>
      <c r="F23" s="204" t="s">
        <v>205</v>
      </c>
      <c r="G23" s="204">
        <v>1</v>
      </c>
      <c r="H23" s="278">
        <v>25</v>
      </c>
      <c r="I23" s="278">
        <v>22</v>
      </c>
      <c r="J23" s="278">
        <v>3</v>
      </c>
      <c r="K23" s="278">
        <v>0</v>
      </c>
      <c r="L23" s="278">
        <v>0</v>
      </c>
      <c r="M23" s="183">
        <f t="shared" si="0"/>
        <v>25</v>
      </c>
      <c r="N23" s="262">
        <f t="shared" si="1"/>
        <v>0.13636363636363635</v>
      </c>
      <c r="O23" s="15"/>
      <c r="P23" s="15"/>
      <c r="Q23" s="15"/>
      <c r="R23" s="15"/>
      <c r="S23" s="15"/>
      <c r="T23" s="15"/>
      <c r="U23" s="15"/>
      <c r="V23" s="15"/>
      <c r="W23" s="15"/>
      <c r="X23" s="15"/>
      <c r="Y23" s="15"/>
    </row>
    <row r="24" spans="1:25" ht="18" customHeight="1" x14ac:dyDescent="0.35">
      <c r="A24" s="269" t="s">
        <v>386</v>
      </c>
      <c r="B24" s="169"/>
      <c r="C24" s="169"/>
      <c r="D24" s="263"/>
      <c r="E24" s="204" t="s">
        <v>173</v>
      </c>
      <c r="F24" s="204" t="s">
        <v>205</v>
      </c>
      <c r="G24" s="204">
        <v>1</v>
      </c>
      <c r="H24" s="278">
        <v>25</v>
      </c>
      <c r="I24" s="278">
        <v>22</v>
      </c>
      <c r="J24" s="278">
        <v>3</v>
      </c>
      <c r="K24" s="278">
        <v>0</v>
      </c>
      <c r="L24" s="278">
        <v>0</v>
      </c>
      <c r="M24" s="183">
        <f t="shared" si="0"/>
        <v>25</v>
      </c>
      <c r="N24" s="262">
        <f t="shared" si="1"/>
        <v>0.13636363636363635</v>
      </c>
      <c r="O24" s="15"/>
      <c r="P24" s="15"/>
      <c r="Q24" s="15"/>
      <c r="R24" s="15"/>
      <c r="S24" s="15"/>
      <c r="T24" s="15"/>
      <c r="U24" s="15"/>
      <c r="V24" s="15"/>
      <c r="W24" s="15"/>
      <c r="X24" s="15"/>
      <c r="Y24" s="15"/>
    </row>
    <row r="25" spans="1:25" ht="18" customHeight="1" x14ac:dyDescent="0.35">
      <c r="A25" s="270" t="s">
        <v>383</v>
      </c>
      <c r="B25" s="169"/>
      <c r="C25" s="169"/>
      <c r="D25" s="263"/>
      <c r="E25" s="204" t="s">
        <v>174</v>
      </c>
      <c r="F25" s="204" t="s">
        <v>205</v>
      </c>
      <c r="G25" s="204">
        <v>1</v>
      </c>
      <c r="H25" s="278">
        <v>25</v>
      </c>
      <c r="I25" s="278">
        <v>22</v>
      </c>
      <c r="J25" s="278">
        <v>3</v>
      </c>
      <c r="K25" s="278">
        <v>0</v>
      </c>
      <c r="L25" s="278">
        <v>0</v>
      </c>
      <c r="M25" s="183">
        <f t="shared" si="0"/>
        <v>25</v>
      </c>
      <c r="N25" s="262">
        <f t="shared" si="1"/>
        <v>0.13636363636363635</v>
      </c>
      <c r="O25" s="15"/>
      <c r="P25" s="15"/>
      <c r="Q25" s="15"/>
      <c r="R25" s="15"/>
      <c r="S25" s="15"/>
      <c r="T25" s="15"/>
      <c r="U25" s="15"/>
      <c r="V25" s="15"/>
      <c r="W25" s="15"/>
      <c r="X25" s="15"/>
      <c r="Y25" s="15"/>
    </row>
    <row r="26" spans="1:25" ht="18" customHeight="1" x14ac:dyDescent="0.35">
      <c r="A26" s="271" t="s">
        <v>384</v>
      </c>
      <c r="B26" s="272"/>
      <c r="C26" s="272"/>
      <c r="D26" s="273"/>
      <c r="E26" s="204" t="s">
        <v>175</v>
      </c>
      <c r="F26" s="204" t="s">
        <v>205</v>
      </c>
      <c r="G26" s="204">
        <v>1</v>
      </c>
      <c r="H26" s="278">
        <v>25</v>
      </c>
      <c r="I26" s="278">
        <v>22</v>
      </c>
      <c r="J26" s="278">
        <v>3</v>
      </c>
      <c r="K26" s="278">
        <v>0</v>
      </c>
      <c r="L26" s="278">
        <v>0</v>
      </c>
      <c r="M26" s="183">
        <f t="shared" si="0"/>
        <v>25</v>
      </c>
      <c r="N26" s="262">
        <f t="shared" si="1"/>
        <v>0.13636363636363635</v>
      </c>
      <c r="O26" s="15"/>
      <c r="P26" s="15"/>
      <c r="Q26" s="15"/>
      <c r="R26" s="15"/>
      <c r="S26" s="15"/>
      <c r="T26" s="15"/>
      <c r="U26" s="15"/>
      <c r="V26" s="15"/>
      <c r="W26" s="15"/>
      <c r="X26" s="15"/>
      <c r="Y26" s="15"/>
    </row>
    <row r="27" spans="1:25" ht="18" customHeight="1" x14ac:dyDescent="0.35">
      <c r="E27" s="204" t="s">
        <v>176</v>
      </c>
      <c r="F27" s="204" t="s">
        <v>205</v>
      </c>
      <c r="G27" s="204">
        <v>1</v>
      </c>
      <c r="H27" s="278">
        <v>25</v>
      </c>
      <c r="I27" s="278">
        <v>22</v>
      </c>
      <c r="J27" s="278">
        <v>3</v>
      </c>
      <c r="K27" s="278">
        <v>0</v>
      </c>
      <c r="L27" s="278">
        <v>0</v>
      </c>
      <c r="M27" s="183">
        <f t="shared" si="0"/>
        <v>25</v>
      </c>
      <c r="N27" s="262">
        <f t="shared" si="1"/>
        <v>0.13636363636363635</v>
      </c>
      <c r="O27" s="15"/>
      <c r="P27" s="15"/>
      <c r="Q27" s="15"/>
      <c r="R27" s="15"/>
      <c r="S27" s="15"/>
      <c r="T27" s="15"/>
      <c r="U27" s="15"/>
      <c r="V27" s="15"/>
      <c r="W27" s="15"/>
      <c r="X27" s="15"/>
      <c r="Y27" s="15"/>
    </row>
    <row r="28" spans="1:25" ht="18" customHeight="1" x14ac:dyDescent="0.35">
      <c r="E28" s="204" t="s">
        <v>177</v>
      </c>
      <c r="F28" s="204" t="s">
        <v>205</v>
      </c>
      <c r="G28" s="204">
        <v>1</v>
      </c>
      <c r="H28" s="278">
        <v>25</v>
      </c>
      <c r="I28" s="278">
        <v>22</v>
      </c>
      <c r="J28" s="278">
        <v>3</v>
      </c>
      <c r="K28" s="278">
        <v>0</v>
      </c>
      <c r="L28" s="278">
        <v>0</v>
      </c>
      <c r="M28" s="183">
        <f t="shared" si="0"/>
        <v>25</v>
      </c>
      <c r="N28" s="262">
        <f t="shared" si="1"/>
        <v>0.13636363636363635</v>
      </c>
      <c r="O28" s="15"/>
      <c r="P28" s="15"/>
      <c r="Q28" s="15"/>
      <c r="R28" s="15"/>
      <c r="S28" s="15"/>
      <c r="T28" s="15"/>
      <c r="U28" s="15"/>
      <c r="V28" s="15"/>
      <c r="W28" s="15"/>
      <c r="X28" s="15"/>
      <c r="Y28" s="15"/>
    </row>
    <row r="29" spans="1:25" ht="18" customHeight="1" x14ac:dyDescent="0.35">
      <c r="E29" s="204" t="s">
        <v>178</v>
      </c>
      <c r="F29" s="204" t="s">
        <v>205</v>
      </c>
      <c r="G29" s="204">
        <v>1</v>
      </c>
      <c r="H29" s="278">
        <v>25</v>
      </c>
      <c r="I29" s="278">
        <v>22</v>
      </c>
      <c r="J29" s="278">
        <v>3</v>
      </c>
      <c r="K29" s="278">
        <v>0</v>
      </c>
      <c r="L29" s="278">
        <v>0</v>
      </c>
      <c r="M29" s="183">
        <f t="shared" si="0"/>
        <v>25</v>
      </c>
      <c r="N29" s="262">
        <f t="shared" si="1"/>
        <v>0.13636363636363635</v>
      </c>
      <c r="O29" s="15"/>
      <c r="P29" s="15"/>
      <c r="Q29" s="15"/>
      <c r="R29" s="15"/>
      <c r="S29" s="15"/>
      <c r="T29" s="15"/>
      <c r="U29" s="15"/>
      <c r="V29" s="15"/>
      <c r="W29" s="15"/>
      <c r="X29" s="15"/>
      <c r="Y29" s="15"/>
    </row>
    <row r="30" spans="1:25" ht="18" customHeight="1" x14ac:dyDescent="0.35">
      <c r="E30" s="204" t="s">
        <v>179</v>
      </c>
      <c r="F30" s="204" t="s">
        <v>205</v>
      </c>
      <c r="G30" s="204">
        <v>1</v>
      </c>
      <c r="H30" s="278">
        <v>25</v>
      </c>
      <c r="I30" s="278">
        <v>22</v>
      </c>
      <c r="J30" s="278">
        <v>3</v>
      </c>
      <c r="K30" s="278">
        <v>0</v>
      </c>
      <c r="L30" s="278">
        <v>0</v>
      </c>
      <c r="M30" s="183">
        <f t="shared" si="0"/>
        <v>25</v>
      </c>
      <c r="N30" s="262">
        <f t="shared" si="1"/>
        <v>0.13636363636363635</v>
      </c>
      <c r="O30" s="15"/>
      <c r="P30" s="15"/>
      <c r="Q30" s="15"/>
      <c r="R30" s="15"/>
      <c r="S30" s="15"/>
      <c r="T30" s="15"/>
      <c r="U30" s="15"/>
      <c r="V30" s="15"/>
      <c r="W30" s="15"/>
      <c r="X30" s="15"/>
      <c r="Y30" s="15"/>
    </row>
    <row r="31" spans="1:25" ht="18" customHeight="1" x14ac:dyDescent="0.35">
      <c r="E31" s="204" t="s">
        <v>180</v>
      </c>
      <c r="F31" s="204" t="s">
        <v>205</v>
      </c>
      <c r="G31" s="204">
        <v>1</v>
      </c>
      <c r="H31" s="278">
        <v>25</v>
      </c>
      <c r="I31" s="278">
        <v>22</v>
      </c>
      <c r="J31" s="278">
        <v>3</v>
      </c>
      <c r="K31" s="278">
        <v>0</v>
      </c>
      <c r="L31" s="278">
        <v>0</v>
      </c>
      <c r="M31" s="183">
        <f t="shared" si="0"/>
        <v>25</v>
      </c>
      <c r="N31" s="262">
        <f t="shared" si="1"/>
        <v>0.13636363636363635</v>
      </c>
      <c r="O31" s="15"/>
      <c r="P31" s="15"/>
      <c r="Q31" s="15"/>
      <c r="R31" s="15"/>
      <c r="S31" s="15"/>
      <c r="T31" s="15"/>
      <c r="U31" s="15"/>
      <c r="V31" s="15"/>
      <c r="W31" s="15"/>
      <c r="X31" s="15"/>
      <c r="Y31" s="15"/>
    </row>
    <row r="32" spans="1:25" ht="18" customHeight="1" x14ac:dyDescent="0.35">
      <c r="E32" s="204" t="s">
        <v>181</v>
      </c>
      <c r="F32" s="204" t="s">
        <v>205</v>
      </c>
      <c r="G32" s="204">
        <v>1</v>
      </c>
      <c r="H32" s="278">
        <v>25</v>
      </c>
      <c r="I32" s="278">
        <v>22</v>
      </c>
      <c r="J32" s="278">
        <v>3</v>
      </c>
      <c r="K32" s="278">
        <v>0</v>
      </c>
      <c r="L32" s="278">
        <v>0</v>
      </c>
      <c r="M32" s="183">
        <f t="shared" si="0"/>
        <v>25</v>
      </c>
      <c r="N32" s="262">
        <f t="shared" si="1"/>
        <v>0.13636363636363635</v>
      </c>
      <c r="O32" s="15"/>
      <c r="P32" s="15"/>
      <c r="Q32" s="15"/>
      <c r="R32" s="15"/>
      <c r="S32" s="15"/>
      <c r="T32" s="15"/>
      <c r="U32" s="15"/>
      <c r="V32" s="15"/>
      <c r="W32" s="15"/>
      <c r="X32" s="15"/>
      <c r="Y32" s="15"/>
    </row>
    <row r="33" spans="5:25" ht="18" customHeight="1" x14ac:dyDescent="0.35">
      <c r="E33" s="204" t="s">
        <v>182</v>
      </c>
      <c r="F33" s="204" t="s">
        <v>205</v>
      </c>
      <c r="G33" s="204">
        <v>1</v>
      </c>
      <c r="H33" s="278">
        <v>25</v>
      </c>
      <c r="I33" s="278">
        <v>22</v>
      </c>
      <c r="J33" s="278">
        <v>3</v>
      </c>
      <c r="K33" s="278">
        <v>0</v>
      </c>
      <c r="L33" s="278">
        <v>0</v>
      </c>
      <c r="M33" s="183">
        <f t="shared" si="0"/>
        <v>25</v>
      </c>
      <c r="N33" s="262">
        <f t="shared" si="1"/>
        <v>0.13636363636363635</v>
      </c>
      <c r="O33" s="15"/>
      <c r="P33" s="15"/>
      <c r="Q33" s="15"/>
      <c r="R33" s="15"/>
      <c r="S33" s="15"/>
      <c r="T33" s="15"/>
      <c r="U33" s="15"/>
      <c r="V33" s="15"/>
      <c r="W33" s="15"/>
      <c r="X33" s="15"/>
      <c r="Y33" s="15"/>
    </row>
    <row r="34" spans="5:25" ht="18" customHeight="1" x14ac:dyDescent="0.35">
      <c r="E34" s="204" t="s">
        <v>183</v>
      </c>
      <c r="F34" s="204" t="s">
        <v>205</v>
      </c>
      <c r="G34" s="204">
        <v>1</v>
      </c>
      <c r="H34" s="278">
        <v>25</v>
      </c>
      <c r="I34" s="278">
        <v>22</v>
      </c>
      <c r="J34" s="278">
        <v>3</v>
      </c>
      <c r="K34" s="278">
        <v>0</v>
      </c>
      <c r="L34" s="278">
        <v>0</v>
      </c>
      <c r="M34" s="183">
        <f t="shared" si="0"/>
        <v>25</v>
      </c>
      <c r="N34" s="262">
        <f t="shared" si="1"/>
        <v>0.13636363636363635</v>
      </c>
      <c r="O34" s="15"/>
      <c r="P34" s="15"/>
      <c r="Q34" s="15"/>
      <c r="R34" s="15"/>
      <c r="S34" s="15"/>
      <c r="T34" s="15"/>
      <c r="U34" s="15"/>
      <c r="V34" s="15"/>
      <c r="W34" s="15"/>
      <c r="X34" s="15"/>
      <c r="Y34" s="15"/>
    </row>
    <row r="35" spans="5:25" ht="18" customHeight="1" x14ac:dyDescent="0.35">
      <c r="E35" s="204" t="s">
        <v>184</v>
      </c>
      <c r="F35" s="204" t="s">
        <v>205</v>
      </c>
      <c r="G35" s="204">
        <v>1</v>
      </c>
      <c r="H35" s="278">
        <v>25</v>
      </c>
      <c r="I35" s="278">
        <v>22</v>
      </c>
      <c r="J35" s="278">
        <v>3</v>
      </c>
      <c r="K35" s="278">
        <v>0</v>
      </c>
      <c r="L35" s="278">
        <v>0</v>
      </c>
      <c r="M35" s="183">
        <f t="shared" si="0"/>
        <v>25</v>
      </c>
      <c r="N35" s="262">
        <f t="shared" si="1"/>
        <v>0.13636363636363635</v>
      </c>
      <c r="O35" s="15"/>
      <c r="P35" s="15"/>
      <c r="Q35" s="15"/>
      <c r="R35" s="15"/>
      <c r="S35" s="15"/>
      <c r="T35" s="15"/>
      <c r="U35" s="15"/>
      <c r="V35" s="15"/>
      <c r="W35" s="15"/>
      <c r="X35" s="15"/>
      <c r="Y35" s="15"/>
    </row>
    <row r="36" spans="5:25" ht="18" customHeight="1" x14ac:dyDescent="0.35">
      <c r="E36" s="204" t="s">
        <v>185</v>
      </c>
      <c r="F36" s="204" t="s">
        <v>205</v>
      </c>
      <c r="G36" s="204">
        <v>1</v>
      </c>
      <c r="H36" s="278">
        <v>25</v>
      </c>
      <c r="I36" s="278">
        <v>22</v>
      </c>
      <c r="J36" s="278">
        <v>3</v>
      </c>
      <c r="K36" s="278">
        <v>0</v>
      </c>
      <c r="L36" s="278">
        <v>0</v>
      </c>
      <c r="M36" s="183">
        <f t="shared" si="0"/>
        <v>25</v>
      </c>
      <c r="N36" s="262">
        <f t="shared" si="1"/>
        <v>0.13636363636363635</v>
      </c>
      <c r="O36" s="15"/>
      <c r="P36" s="15"/>
      <c r="Q36" s="15"/>
      <c r="R36" s="15"/>
      <c r="S36" s="15"/>
      <c r="T36" s="15"/>
      <c r="U36" s="15"/>
      <c r="V36" s="15"/>
      <c r="W36" s="15"/>
      <c r="X36" s="15"/>
      <c r="Y36" s="15"/>
    </row>
    <row r="37" spans="5:25" ht="18" customHeight="1" x14ac:dyDescent="0.35">
      <c r="E37" s="204" t="s">
        <v>186</v>
      </c>
      <c r="F37" s="204" t="s">
        <v>205</v>
      </c>
      <c r="G37" s="204">
        <v>1</v>
      </c>
      <c r="H37" s="278">
        <v>25</v>
      </c>
      <c r="I37" s="278">
        <v>22</v>
      </c>
      <c r="J37" s="278">
        <v>3</v>
      </c>
      <c r="K37" s="278">
        <v>0</v>
      </c>
      <c r="L37" s="278">
        <v>0</v>
      </c>
      <c r="M37" s="183">
        <f t="shared" si="0"/>
        <v>25</v>
      </c>
      <c r="N37" s="262">
        <f t="shared" si="1"/>
        <v>0.13636363636363635</v>
      </c>
      <c r="O37" s="15"/>
      <c r="P37" s="15"/>
      <c r="Q37" s="15"/>
      <c r="R37" s="15"/>
      <c r="S37" s="15"/>
      <c r="T37" s="15"/>
      <c r="U37" s="15"/>
      <c r="V37" s="15"/>
      <c r="W37" s="15"/>
      <c r="X37" s="15"/>
      <c r="Y37" s="15"/>
    </row>
    <row r="38" spans="5:25" ht="18" customHeight="1" x14ac:dyDescent="0.35">
      <c r="E38" s="204" t="s">
        <v>187</v>
      </c>
      <c r="F38" s="204" t="s">
        <v>205</v>
      </c>
      <c r="G38" s="204">
        <v>1</v>
      </c>
      <c r="H38" s="278">
        <v>25</v>
      </c>
      <c r="I38" s="278">
        <v>22</v>
      </c>
      <c r="J38" s="278">
        <v>3</v>
      </c>
      <c r="K38" s="278">
        <v>0</v>
      </c>
      <c r="L38" s="278">
        <v>0</v>
      </c>
      <c r="M38" s="183">
        <f t="shared" si="0"/>
        <v>25</v>
      </c>
      <c r="N38" s="262">
        <f t="shared" si="1"/>
        <v>0.13636363636363635</v>
      </c>
      <c r="O38" s="15"/>
      <c r="P38" s="15"/>
      <c r="Q38" s="15"/>
      <c r="R38" s="15"/>
      <c r="S38" s="15"/>
      <c r="T38" s="15"/>
      <c r="U38" s="15"/>
      <c r="V38" s="15"/>
      <c r="W38" s="15"/>
      <c r="X38" s="15"/>
      <c r="Y38" s="15"/>
    </row>
    <row r="39" spans="5:25" ht="18" customHeight="1" x14ac:dyDescent="0.35">
      <c r="E39" s="204" t="s">
        <v>188</v>
      </c>
      <c r="F39" s="204" t="s">
        <v>205</v>
      </c>
      <c r="G39" s="204">
        <v>1</v>
      </c>
      <c r="H39" s="278">
        <v>25</v>
      </c>
      <c r="I39" s="278">
        <v>22</v>
      </c>
      <c r="J39" s="278">
        <v>3</v>
      </c>
      <c r="K39" s="278">
        <v>0</v>
      </c>
      <c r="L39" s="278">
        <v>0</v>
      </c>
      <c r="M39" s="183">
        <f t="shared" si="0"/>
        <v>25</v>
      </c>
      <c r="N39" s="262">
        <f t="shared" si="1"/>
        <v>0.13636363636363635</v>
      </c>
      <c r="O39" s="15"/>
      <c r="P39" s="15"/>
      <c r="Q39" s="15"/>
      <c r="R39" s="15"/>
      <c r="S39" s="15"/>
      <c r="T39" s="15"/>
      <c r="U39" s="15"/>
      <c r="V39" s="15"/>
      <c r="W39" s="15"/>
      <c r="X39" s="15"/>
      <c r="Y39" s="15"/>
    </row>
    <row r="40" spans="5:25" ht="18" customHeight="1" x14ac:dyDescent="0.35">
      <c r="E40" s="204" t="s">
        <v>189</v>
      </c>
      <c r="F40" s="204" t="s">
        <v>205</v>
      </c>
      <c r="G40" s="204">
        <v>1</v>
      </c>
      <c r="H40" s="278">
        <v>25</v>
      </c>
      <c r="I40" s="278">
        <v>22</v>
      </c>
      <c r="J40" s="278">
        <v>3</v>
      </c>
      <c r="K40" s="278">
        <v>0</v>
      </c>
      <c r="L40" s="278">
        <v>0</v>
      </c>
      <c r="M40" s="183">
        <f t="shared" si="0"/>
        <v>25</v>
      </c>
      <c r="N40" s="262">
        <f t="shared" si="1"/>
        <v>0.13636363636363635</v>
      </c>
      <c r="O40" s="15"/>
      <c r="P40" s="15"/>
      <c r="Q40" s="15"/>
      <c r="R40" s="15"/>
      <c r="S40" s="15"/>
      <c r="T40" s="15"/>
      <c r="U40" s="15"/>
      <c r="V40" s="15"/>
      <c r="W40" s="15"/>
      <c r="X40" s="15"/>
      <c r="Y40" s="15"/>
    </row>
    <row r="41" spans="5:25" ht="18" customHeight="1" x14ac:dyDescent="0.35">
      <c r="E41" s="204" t="s">
        <v>190</v>
      </c>
      <c r="F41" s="204" t="s">
        <v>205</v>
      </c>
      <c r="G41" s="204">
        <v>1</v>
      </c>
      <c r="H41" s="278">
        <v>25</v>
      </c>
      <c r="I41" s="278">
        <v>22</v>
      </c>
      <c r="J41" s="278">
        <v>3</v>
      </c>
      <c r="K41" s="278">
        <v>0</v>
      </c>
      <c r="L41" s="278">
        <v>0</v>
      </c>
      <c r="M41" s="183">
        <f t="shared" si="0"/>
        <v>25</v>
      </c>
      <c r="N41" s="262">
        <f t="shared" si="1"/>
        <v>0.13636363636363635</v>
      </c>
      <c r="O41" s="15"/>
      <c r="P41" s="15"/>
      <c r="Q41" s="15"/>
      <c r="R41" s="15"/>
      <c r="S41" s="15"/>
      <c r="T41" s="15"/>
      <c r="U41" s="15"/>
      <c r="V41" s="15"/>
      <c r="W41" s="15"/>
      <c r="X41" s="15"/>
      <c r="Y41" s="15"/>
    </row>
    <row r="42" spans="5:25" ht="18" customHeight="1" x14ac:dyDescent="0.35">
      <c r="E42" s="204" t="s">
        <v>191</v>
      </c>
      <c r="F42" s="204" t="s">
        <v>205</v>
      </c>
      <c r="G42" s="204">
        <v>0.8</v>
      </c>
      <c r="H42" s="278">
        <v>20</v>
      </c>
      <c r="I42" s="278">
        <v>17</v>
      </c>
      <c r="J42" s="278">
        <v>2</v>
      </c>
      <c r="K42" s="278">
        <v>0</v>
      </c>
      <c r="L42" s="278">
        <v>1</v>
      </c>
      <c r="M42" s="183">
        <f t="shared" si="0"/>
        <v>20</v>
      </c>
      <c r="N42" s="262">
        <f t="shared" si="1"/>
        <v>0.11764705882352941</v>
      </c>
      <c r="O42" s="15"/>
      <c r="P42" s="15"/>
      <c r="Q42" s="15"/>
      <c r="R42" s="15"/>
      <c r="S42" s="15"/>
      <c r="T42" s="15"/>
      <c r="U42" s="15"/>
      <c r="V42" s="15"/>
      <c r="W42" s="15"/>
      <c r="X42" s="15"/>
      <c r="Y42" s="15"/>
    </row>
    <row r="43" spans="5:25" ht="18" customHeight="1" x14ac:dyDescent="0.35">
      <c r="E43" s="204" t="s">
        <v>192</v>
      </c>
      <c r="F43" s="204" t="s">
        <v>205</v>
      </c>
      <c r="G43" s="204">
        <v>0.5</v>
      </c>
      <c r="H43" s="278">
        <v>13</v>
      </c>
      <c r="I43" s="278">
        <v>11</v>
      </c>
      <c r="J43" s="278">
        <v>2</v>
      </c>
      <c r="K43" s="278">
        <v>0</v>
      </c>
      <c r="L43" s="278">
        <v>0</v>
      </c>
      <c r="M43" s="183">
        <f t="shared" si="0"/>
        <v>13</v>
      </c>
      <c r="N43" s="262">
        <f t="shared" si="1"/>
        <v>0.18181818181818182</v>
      </c>
      <c r="O43" s="15"/>
      <c r="P43" s="15"/>
      <c r="Q43" s="15"/>
      <c r="R43" s="15"/>
      <c r="S43" s="15"/>
      <c r="T43" s="15"/>
      <c r="U43" s="15"/>
      <c r="V43" s="15"/>
      <c r="W43" s="15"/>
      <c r="X43" s="15"/>
      <c r="Y43" s="15"/>
    </row>
    <row r="44" spans="5:25" ht="18" customHeight="1" x14ac:dyDescent="0.35">
      <c r="G44" s="6">
        <f>SUM(G4:G43)</f>
        <v>39.299999999999997</v>
      </c>
      <c r="H44" s="6">
        <f t="shared" ref="H44:I44" si="2">SUM(H4:H43)</f>
        <v>983</v>
      </c>
      <c r="I44" s="6">
        <f t="shared" si="2"/>
        <v>755</v>
      </c>
      <c r="J44" s="6">
        <f>SUM(J4:J43)</f>
        <v>94</v>
      </c>
      <c r="K44" s="6">
        <f t="shared" ref="K44:L44" si="3">SUM(K4:K43)</f>
        <v>133</v>
      </c>
      <c r="L44" s="6">
        <f t="shared" si="3"/>
        <v>1</v>
      </c>
    </row>
    <row r="46" spans="5:25" x14ac:dyDescent="0.35">
      <c r="M46" s="16" t="s">
        <v>388</v>
      </c>
    </row>
    <row r="47" spans="5:25" x14ac:dyDescent="0.35">
      <c r="M47" s="16" t="s">
        <v>389</v>
      </c>
    </row>
    <row r="48" spans="5:25" x14ac:dyDescent="0.35">
      <c r="M48" t="s">
        <v>390</v>
      </c>
    </row>
    <row r="50" spans="13:13" x14ac:dyDescent="0.35">
      <c r="M50" s="17" t="s">
        <v>391</v>
      </c>
    </row>
  </sheetData>
  <sheetProtection algorithmName="SHA-512" hashValue="KqIxr6VlDI3xU3Fg6Dp4UxwJqG8QOPxEMZUiRs5SFXrcatBlNuNtNOuGHEX5aMD5bGAsvDkI3y1dA5GgoU9HxQ==" saltValue="2wO2zHJGyJho/gr8yDgxcA==" spinCount="100000" sheet="1" objects="1" scenarios="1"/>
  <pageMargins left="0.7" right="0.7" top="0.75" bottom="0.75" header="0.3" footer="0.3"/>
  <pageSetup paperSize="9" orientation="portrait" horizontalDpi="4294967294" r:id="rId1"/>
  <ignoredErrors>
    <ignoredError sqref="M4:M43"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79998168889431442"/>
  </sheetPr>
  <dimension ref="A2:S40"/>
  <sheetViews>
    <sheetView showGridLines="0" zoomScale="75" zoomScaleNormal="75" workbookViewId="0"/>
  </sheetViews>
  <sheetFormatPr defaultColWidth="9.1796875" defaultRowHeight="14.5" x14ac:dyDescent="0.35"/>
  <cols>
    <col min="1" max="1" width="53.54296875" style="1" customWidth="1"/>
    <col min="2" max="2" width="11.1796875" style="1" customWidth="1"/>
    <col min="3" max="3" width="9.1796875" style="1"/>
    <col min="4" max="4" width="9.7265625" style="1" customWidth="1"/>
    <col min="5" max="5" width="8.1796875" style="1" customWidth="1"/>
    <col min="6" max="7" width="8.81640625" style="1" customWidth="1"/>
    <col min="8" max="8" width="11.81640625" style="1" customWidth="1"/>
    <col min="9" max="10" width="9.1796875" style="1"/>
    <col min="11" max="11" width="12.26953125" style="1" customWidth="1"/>
    <col min="12" max="12" width="8" style="1" customWidth="1"/>
    <col min="13" max="14" width="8.26953125" style="1" customWidth="1"/>
    <col min="15" max="15" width="10.1796875" style="1" customWidth="1"/>
    <col min="16" max="16384" width="9.1796875" style="1"/>
  </cols>
  <sheetData>
    <row r="2" spans="1:19" x14ac:dyDescent="0.35">
      <c r="A2" s="282" t="s">
        <v>392</v>
      </c>
      <c r="B2" s="265"/>
      <c r="C2" s="265"/>
      <c r="D2" s="265"/>
      <c r="E2" s="265"/>
      <c r="F2" s="265"/>
      <c r="G2" s="265"/>
      <c r="H2" s="265"/>
      <c r="I2" s="265"/>
      <c r="J2" s="265"/>
      <c r="K2" s="265"/>
      <c r="L2" s="265"/>
      <c r="M2" s="265"/>
      <c r="N2" s="265"/>
      <c r="O2" s="265"/>
      <c r="P2" s="265"/>
      <c r="Q2" s="265"/>
      <c r="R2" s="265"/>
      <c r="S2" s="266"/>
    </row>
    <row r="3" spans="1:19" x14ac:dyDescent="0.35">
      <c r="A3" s="269" t="s">
        <v>393</v>
      </c>
      <c r="B3" s="169"/>
      <c r="C3" s="169"/>
      <c r="D3" s="169"/>
      <c r="E3" s="169"/>
      <c r="F3" s="169"/>
      <c r="G3" s="169"/>
      <c r="H3" s="169"/>
      <c r="I3" s="169"/>
      <c r="J3" s="169"/>
      <c r="K3" s="169"/>
      <c r="L3" s="169"/>
      <c r="M3" s="169"/>
      <c r="N3" s="169"/>
      <c r="O3" s="169"/>
      <c r="P3" s="169"/>
      <c r="Q3" s="169"/>
      <c r="R3" s="169"/>
      <c r="S3" s="263"/>
    </row>
    <row r="4" spans="1:19" x14ac:dyDescent="0.35">
      <c r="A4" s="283" t="s">
        <v>394</v>
      </c>
      <c r="B4" s="272"/>
      <c r="C4" s="272"/>
      <c r="D4" s="272"/>
      <c r="E4" s="272"/>
      <c r="F4" s="272"/>
      <c r="G4" s="272"/>
      <c r="H4" s="272"/>
      <c r="I4" s="272"/>
      <c r="J4" s="272"/>
      <c r="K4" s="272"/>
      <c r="L4" s="272"/>
      <c r="M4" s="272"/>
      <c r="N4" s="272"/>
      <c r="O4" s="272"/>
      <c r="P4" s="272"/>
      <c r="Q4" s="272"/>
      <c r="R4" s="272"/>
      <c r="S4" s="273"/>
    </row>
    <row r="6" spans="1:19" ht="15" thickBot="1" x14ac:dyDescent="0.4"/>
    <row r="7" spans="1:19" ht="19" thickBot="1" x14ac:dyDescent="0.5">
      <c r="A7" s="296" t="s">
        <v>509</v>
      </c>
      <c r="B7" s="318">
        <v>25</v>
      </c>
      <c r="C7" s="312"/>
      <c r="D7" s="313" t="s">
        <v>79</v>
      </c>
      <c r="E7" s="314" t="s">
        <v>80</v>
      </c>
      <c r="F7" s="315"/>
      <c r="G7" s="316"/>
      <c r="H7" s="314" t="s">
        <v>94</v>
      </c>
      <c r="I7" s="315"/>
      <c r="J7" s="316"/>
      <c r="K7" s="314" t="s">
        <v>51</v>
      </c>
      <c r="L7" s="315"/>
      <c r="M7" s="315"/>
      <c r="N7" s="315"/>
      <c r="O7" s="316"/>
    </row>
    <row r="8" spans="1:19" ht="43.5" x14ac:dyDescent="0.35">
      <c r="A8" s="297" t="s">
        <v>53</v>
      </c>
      <c r="B8" s="317" t="s">
        <v>74</v>
      </c>
      <c r="C8" s="288" t="s">
        <v>72</v>
      </c>
      <c r="D8" s="294" t="s">
        <v>75</v>
      </c>
      <c r="E8" s="288" t="s">
        <v>76</v>
      </c>
      <c r="F8" s="6" t="s">
        <v>78</v>
      </c>
      <c r="G8" s="291" t="s">
        <v>77</v>
      </c>
      <c r="H8" s="286" t="s">
        <v>82</v>
      </c>
      <c r="I8" s="285" t="s">
        <v>81</v>
      </c>
      <c r="J8" s="287" t="s">
        <v>83</v>
      </c>
      <c r="K8" s="286" t="s">
        <v>84</v>
      </c>
      <c r="L8" s="284" t="s">
        <v>85</v>
      </c>
      <c r="M8" s="284" t="s">
        <v>86</v>
      </c>
      <c r="N8" s="284" t="s">
        <v>87</v>
      </c>
      <c r="O8" s="294" t="s">
        <v>88</v>
      </c>
    </row>
    <row r="9" spans="1:19" ht="17.149999999999999" customHeight="1" x14ac:dyDescent="0.35">
      <c r="A9" s="309" t="s">
        <v>95</v>
      </c>
      <c r="B9" s="224"/>
      <c r="C9" s="306"/>
      <c r="D9" s="307"/>
      <c r="E9" s="306"/>
      <c r="F9" s="127"/>
      <c r="G9" s="307"/>
      <c r="H9" s="306"/>
      <c r="I9" s="127"/>
      <c r="J9" s="307"/>
      <c r="K9" s="306"/>
      <c r="L9" s="127"/>
      <c r="M9" s="127"/>
      <c r="N9" s="127"/>
      <c r="O9" s="307"/>
    </row>
    <row r="10" spans="1:19" ht="17.149999999999999" customHeight="1" x14ac:dyDescent="0.35">
      <c r="A10" s="310" t="s">
        <v>54</v>
      </c>
      <c r="B10" s="25">
        <f t="shared" ref="B10:B20" si="0">C10</f>
        <v>0</v>
      </c>
      <c r="C10" s="292">
        <v>0</v>
      </c>
      <c r="D10" s="293">
        <v>0</v>
      </c>
      <c r="E10" s="292">
        <v>0</v>
      </c>
      <c r="F10" s="5">
        <v>0</v>
      </c>
      <c r="G10" s="293">
        <v>0</v>
      </c>
      <c r="H10" s="288">
        <f>IF(C10=0,0,$B$7)</f>
        <v>0</v>
      </c>
      <c r="I10" s="6">
        <f>SUM(D10:G10)</f>
        <v>0</v>
      </c>
      <c r="J10" s="289" t="str">
        <f>IF(D10=0,"n/a",E10/D10)</f>
        <v>n/a</v>
      </c>
      <c r="K10" s="288">
        <f>D10*B10</f>
        <v>0</v>
      </c>
      <c r="L10" s="6">
        <f>E10*B10</f>
        <v>0</v>
      </c>
      <c r="M10" s="6">
        <f>F10*B10</f>
        <v>0</v>
      </c>
      <c r="N10" s="6">
        <f>G10*B10</f>
        <v>0</v>
      </c>
      <c r="O10" s="291">
        <f>C10*H10</f>
        <v>0</v>
      </c>
    </row>
    <row r="11" spans="1:19" ht="17.149999999999999" customHeight="1" x14ac:dyDescent="0.35">
      <c r="A11" s="310" t="s">
        <v>55</v>
      </c>
      <c r="B11" s="25">
        <f t="shared" si="0"/>
        <v>0</v>
      </c>
      <c r="C11" s="292">
        <v>0</v>
      </c>
      <c r="D11" s="293">
        <v>0</v>
      </c>
      <c r="E11" s="292">
        <v>0</v>
      </c>
      <c r="F11" s="5">
        <v>0</v>
      </c>
      <c r="G11" s="293">
        <v>0</v>
      </c>
      <c r="H11" s="288">
        <f t="shared" ref="H11:H22" si="1">IF(C11=0,0,$B$7)</f>
        <v>0</v>
      </c>
      <c r="I11" s="6">
        <f t="shared" ref="I11:I32" si="2">SUM(D11:G11)</f>
        <v>0</v>
      </c>
      <c r="J11" s="289" t="str">
        <f t="shared" ref="J11:J32" si="3">IF(D11=0,"n/a",E11/D11)</f>
        <v>n/a</v>
      </c>
      <c r="K11" s="288">
        <f t="shared" ref="K11:K32" si="4">D11*B11</f>
        <v>0</v>
      </c>
      <c r="L11" s="6">
        <f t="shared" ref="L11:L22" si="5">E11*B11</f>
        <v>0</v>
      </c>
      <c r="M11" s="6">
        <f t="shared" ref="M11:M22" si="6">F11*B11</f>
        <v>0</v>
      </c>
      <c r="N11" s="6">
        <f t="shared" ref="N11:N22" si="7">G11*B11</f>
        <v>0</v>
      </c>
      <c r="O11" s="291">
        <f t="shared" ref="O11:O32" si="8">C11*H11</f>
        <v>0</v>
      </c>
    </row>
    <row r="12" spans="1:19" ht="17.149999999999999" customHeight="1" x14ac:dyDescent="0.35">
      <c r="A12" s="310" t="s">
        <v>56</v>
      </c>
      <c r="B12" s="25">
        <f t="shared" si="0"/>
        <v>0</v>
      </c>
      <c r="C12" s="292">
        <v>0</v>
      </c>
      <c r="D12" s="293">
        <v>0</v>
      </c>
      <c r="E12" s="292">
        <v>0</v>
      </c>
      <c r="F12" s="5">
        <v>0</v>
      </c>
      <c r="G12" s="293">
        <v>0</v>
      </c>
      <c r="H12" s="288">
        <f t="shared" si="1"/>
        <v>0</v>
      </c>
      <c r="I12" s="6">
        <f t="shared" si="2"/>
        <v>0</v>
      </c>
      <c r="J12" s="289" t="str">
        <f t="shared" si="3"/>
        <v>n/a</v>
      </c>
      <c r="K12" s="288">
        <f t="shared" si="4"/>
        <v>0</v>
      </c>
      <c r="L12" s="6">
        <f t="shared" si="5"/>
        <v>0</v>
      </c>
      <c r="M12" s="6">
        <f t="shared" si="6"/>
        <v>0</v>
      </c>
      <c r="N12" s="6">
        <f t="shared" si="7"/>
        <v>0</v>
      </c>
      <c r="O12" s="291">
        <f t="shared" si="8"/>
        <v>0</v>
      </c>
    </row>
    <row r="13" spans="1:19" ht="17.149999999999999" customHeight="1" x14ac:dyDescent="0.35">
      <c r="A13" s="310" t="s">
        <v>57</v>
      </c>
      <c r="B13" s="25">
        <f t="shared" si="0"/>
        <v>0</v>
      </c>
      <c r="C13" s="292">
        <v>0</v>
      </c>
      <c r="D13" s="293">
        <v>0</v>
      </c>
      <c r="E13" s="292">
        <v>0</v>
      </c>
      <c r="F13" s="5">
        <v>0</v>
      </c>
      <c r="G13" s="293">
        <v>0</v>
      </c>
      <c r="H13" s="288">
        <f t="shared" si="1"/>
        <v>0</v>
      </c>
      <c r="I13" s="6">
        <f t="shared" si="2"/>
        <v>0</v>
      </c>
      <c r="J13" s="289" t="str">
        <f t="shared" si="3"/>
        <v>n/a</v>
      </c>
      <c r="K13" s="288">
        <f t="shared" si="4"/>
        <v>0</v>
      </c>
      <c r="L13" s="6">
        <f t="shared" si="5"/>
        <v>0</v>
      </c>
      <c r="M13" s="6">
        <f t="shared" si="6"/>
        <v>0</v>
      </c>
      <c r="N13" s="6">
        <f t="shared" si="7"/>
        <v>0</v>
      </c>
      <c r="O13" s="291">
        <f t="shared" si="8"/>
        <v>0</v>
      </c>
    </row>
    <row r="14" spans="1:19" ht="17.149999999999999" customHeight="1" x14ac:dyDescent="0.35">
      <c r="A14" s="310" t="s">
        <v>58</v>
      </c>
      <c r="B14" s="25">
        <f t="shared" si="0"/>
        <v>0</v>
      </c>
      <c r="C14" s="292">
        <v>0</v>
      </c>
      <c r="D14" s="293">
        <v>0</v>
      </c>
      <c r="E14" s="292">
        <v>0</v>
      </c>
      <c r="F14" s="5">
        <v>0</v>
      </c>
      <c r="G14" s="293">
        <v>0</v>
      </c>
      <c r="H14" s="288">
        <f t="shared" si="1"/>
        <v>0</v>
      </c>
      <c r="I14" s="6">
        <f t="shared" si="2"/>
        <v>0</v>
      </c>
      <c r="J14" s="289" t="str">
        <f t="shared" si="3"/>
        <v>n/a</v>
      </c>
      <c r="K14" s="288">
        <f t="shared" si="4"/>
        <v>0</v>
      </c>
      <c r="L14" s="6">
        <f t="shared" si="5"/>
        <v>0</v>
      </c>
      <c r="M14" s="6">
        <f t="shared" si="6"/>
        <v>0</v>
      </c>
      <c r="N14" s="6">
        <f t="shared" si="7"/>
        <v>0</v>
      </c>
      <c r="O14" s="291">
        <f t="shared" si="8"/>
        <v>0</v>
      </c>
    </row>
    <row r="15" spans="1:19" ht="17.149999999999999" customHeight="1" x14ac:dyDescent="0.35">
      <c r="A15" s="310" t="s">
        <v>59</v>
      </c>
      <c r="B15" s="25">
        <f t="shared" si="0"/>
        <v>0</v>
      </c>
      <c r="C15" s="292">
        <v>0</v>
      </c>
      <c r="D15" s="293">
        <v>0</v>
      </c>
      <c r="E15" s="292">
        <v>0</v>
      </c>
      <c r="F15" s="5">
        <v>0</v>
      </c>
      <c r="G15" s="293">
        <v>0</v>
      </c>
      <c r="H15" s="288">
        <f t="shared" si="1"/>
        <v>0</v>
      </c>
      <c r="I15" s="6">
        <f t="shared" si="2"/>
        <v>0</v>
      </c>
      <c r="J15" s="289" t="str">
        <f t="shared" si="3"/>
        <v>n/a</v>
      </c>
      <c r="K15" s="288">
        <f t="shared" si="4"/>
        <v>0</v>
      </c>
      <c r="L15" s="6">
        <f t="shared" si="5"/>
        <v>0</v>
      </c>
      <c r="M15" s="6">
        <f t="shared" si="6"/>
        <v>0</v>
      </c>
      <c r="N15" s="6">
        <f t="shared" si="7"/>
        <v>0</v>
      </c>
      <c r="O15" s="291">
        <f t="shared" si="8"/>
        <v>0</v>
      </c>
    </row>
    <row r="16" spans="1:19" ht="17.149999999999999" customHeight="1" x14ac:dyDescent="0.35">
      <c r="A16" s="310" t="s">
        <v>60</v>
      </c>
      <c r="B16" s="25">
        <f t="shared" si="0"/>
        <v>0</v>
      </c>
      <c r="C16" s="292">
        <v>0</v>
      </c>
      <c r="D16" s="293">
        <v>0</v>
      </c>
      <c r="E16" s="292">
        <v>0</v>
      </c>
      <c r="F16" s="5">
        <v>0</v>
      </c>
      <c r="G16" s="293">
        <v>0</v>
      </c>
      <c r="H16" s="288">
        <f t="shared" si="1"/>
        <v>0</v>
      </c>
      <c r="I16" s="6">
        <f t="shared" si="2"/>
        <v>0</v>
      </c>
      <c r="J16" s="289" t="str">
        <f t="shared" si="3"/>
        <v>n/a</v>
      </c>
      <c r="K16" s="288">
        <f t="shared" si="4"/>
        <v>0</v>
      </c>
      <c r="L16" s="6">
        <f t="shared" si="5"/>
        <v>0</v>
      </c>
      <c r="M16" s="6">
        <f t="shared" si="6"/>
        <v>0</v>
      </c>
      <c r="N16" s="6">
        <f t="shared" si="7"/>
        <v>0</v>
      </c>
      <c r="O16" s="291">
        <f t="shared" si="8"/>
        <v>0</v>
      </c>
    </row>
    <row r="17" spans="1:15" ht="17.149999999999999" customHeight="1" x14ac:dyDescent="0.35">
      <c r="A17" s="310" t="s">
        <v>60</v>
      </c>
      <c r="B17" s="25">
        <f t="shared" si="0"/>
        <v>0</v>
      </c>
      <c r="C17" s="292">
        <v>0</v>
      </c>
      <c r="D17" s="293">
        <v>0</v>
      </c>
      <c r="E17" s="292">
        <v>0</v>
      </c>
      <c r="F17" s="5">
        <v>0</v>
      </c>
      <c r="G17" s="293">
        <v>0</v>
      </c>
      <c r="H17" s="288">
        <f t="shared" si="1"/>
        <v>0</v>
      </c>
      <c r="I17" s="6">
        <f t="shared" si="2"/>
        <v>0</v>
      </c>
      <c r="J17" s="289" t="str">
        <f t="shared" si="3"/>
        <v>n/a</v>
      </c>
      <c r="K17" s="288">
        <f t="shared" si="4"/>
        <v>0</v>
      </c>
      <c r="L17" s="6">
        <f t="shared" si="5"/>
        <v>0</v>
      </c>
      <c r="M17" s="6">
        <f t="shared" si="6"/>
        <v>0</v>
      </c>
      <c r="N17" s="6">
        <f t="shared" si="7"/>
        <v>0</v>
      </c>
      <c r="O17" s="291">
        <f t="shared" si="8"/>
        <v>0</v>
      </c>
    </row>
    <row r="18" spans="1:15" ht="17.149999999999999" customHeight="1" x14ac:dyDescent="0.35">
      <c r="A18" s="310" t="s">
        <v>60</v>
      </c>
      <c r="B18" s="25">
        <f t="shared" si="0"/>
        <v>0</v>
      </c>
      <c r="C18" s="292">
        <v>0</v>
      </c>
      <c r="D18" s="293">
        <v>0</v>
      </c>
      <c r="E18" s="292">
        <v>0</v>
      </c>
      <c r="F18" s="5">
        <v>0</v>
      </c>
      <c r="G18" s="293">
        <v>0</v>
      </c>
      <c r="H18" s="288">
        <f t="shared" si="1"/>
        <v>0</v>
      </c>
      <c r="I18" s="6">
        <f t="shared" si="2"/>
        <v>0</v>
      </c>
      <c r="J18" s="289" t="str">
        <f t="shared" si="3"/>
        <v>n/a</v>
      </c>
      <c r="K18" s="288">
        <f t="shared" si="4"/>
        <v>0</v>
      </c>
      <c r="L18" s="6">
        <f t="shared" si="5"/>
        <v>0</v>
      </c>
      <c r="M18" s="6">
        <f t="shared" si="6"/>
        <v>0</v>
      </c>
      <c r="N18" s="6">
        <f t="shared" si="7"/>
        <v>0</v>
      </c>
      <c r="O18" s="291">
        <f t="shared" si="8"/>
        <v>0</v>
      </c>
    </row>
    <row r="19" spans="1:15" ht="17.149999999999999" customHeight="1" x14ac:dyDescent="0.35">
      <c r="A19" s="310" t="s">
        <v>60</v>
      </c>
      <c r="B19" s="25">
        <f t="shared" si="0"/>
        <v>0</v>
      </c>
      <c r="C19" s="292">
        <v>0</v>
      </c>
      <c r="D19" s="293">
        <v>0</v>
      </c>
      <c r="E19" s="292">
        <v>0</v>
      </c>
      <c r="F19" s="5">
        <v>0</v>
      </c>
      <c r="G19" s="293">
        <v>0</v>
      </c>
      <c r="H19" s="288">
        <f t="shared" si="1"/>
        <v>0</v>
      </c>
      <c r="I19" s="6">
        <f t="shared" si="2"/>
        <v>0</v>
      </c>
      <c r="J19" s="289" t="str">
        <f t="shared" si="3"/>
        <v>n/a</v>
      </c>
      <c r="K19" s="288">
        <f t="shared" si="4"/>
        <v>0</v>
      </c>
      <c r="L19" s="6">
        <f t="shared" si="5"/>
        <v>0</v>
      </c>
      <c r="M19" s="6">
        <f t="shared" si="6"/>
        <v>0</v>
      </c>
      <c r="N19" s="6">
        <f t="shared" si="7"/>
        <v>0</v>
      </c>
      <c r="O19" s="291">
        <f t="shared" si="8"/>
        <v>0</v>
      </c>
    </row>
    <row r="20" spans="1:15" ht="17.149999999999999" customHeight="1" x14ac:dyDescent="0.35">
      <c r="A20" s="310" t="s">
        <v>60</v>
      </c>
      <c r="B20" s="25">
        <f t="shared" si="0"/>
        <v>0</v>
      </c>
      <c r="C20" s="292">
        <v>0</v>
      </c>
      <c r="D20" s="293">
        <v>0</v>
      </c>
      <c r="E20" s="292">
        <v>0</v>
      </c>
      <c r="F20" s="5">
        <v>0</v>
      </c>
      <c r="G20" s="293">
        <v>0</v>
      </c>
      <c r="H20" s="288">
        <f t="shared" si="1"/>
        <v>0</v>
      </c>
      <c r="I20" s="6">
        <f t="shared" si="2"/>
        <v>0</v>
      </c>
      <c r="J20" s="289" t="str">
        <f t="shared" si="3"/>
        <v>n/a</v>
      </c>
      <c r="K20" s="288">
        <f t="shared" si="4"/>
        <v>0</v>
      </c>
      <c r="L20" s="6">
        <f t="shared" si="5"/>
        <v>0</v>
      </c>
      <c r="M20" s="6">
        <f t="shared" si="6"/>
        <v>0</v>
      </c>
      <c r="N20" s="6">
        <f t="shared" si="7"/>
        <v>0</v>
      </c>
      <c r="O20" s="291">
        <f t="shared" si="8"/>
        <v>0</v>
      </c>
    </row>
    <row r="21" spans="1:15" ht="17.149999999999999" customHeight="1" x14ac:dyDescent="0.35">
      <c r="A21" s="311" t="s">
        <v>61</v>
      </c>
      <c r="B21" s="25">
        <f>C21</f>
        <v>0</v>
      </c>
      <c r="C21" s="292">
        <v>0</v>
      </c>
      <c r="D21" s="293">
        <v>0</v>
      </c>
      <c r="E21" s="292">
        <v>0</v>
      </c>
      <c r="F21" s="5">
        <v>0</v>
      </c>
      <c r="G21" s="293">
        <v>0</v>
      </c>
      <c r="H21" s="288">
        <f t="shared" si="1"/>
        <v>0</v>
      </c>
      <c r="I21" s="6">
        <f t="shared" si="2"/>
        <v>0</v>
      </c>
      <c r="J21" s="289" t="str">
        <f t="shared" si="3"/>
        <v>n/a</v>
      </c>
      <c r="K21" s="288">
        <f t="shared" si="4"/>
        <v>0</v>
      </c>
      <c r="L21" s="6">
        <f t="shared" si="5"/>
        <v>0</v>
      </c>
      <c r="M21" s="6">
        <f t="shared" si="6"/>
        <v>0</v>
      </c>
      <c r="N21" s="6">
        <f t="shared" si="7"/>
        <v>0</v>
      </c>
      <c r="O21" s="291">
        <f t="shared" si="8"/>
        <v>0</v>
      </c>
    </row>
    <row r="22" spans="1:15" ht="17.149999999999999" customHeight="1" x14ac:dyDescent="0.35">
      <c r="A22" s="311" t="s">
        <v>62</v>
      </c>
      <c r="B22" s="25">
        <f>C22</f>
        <v>0</v>
      </c>
      <c r="C22" s="292">
        <v>0</v>
      </c>
      <c r="D22" s="293">
        <v>0</v>
      </c>
      <c r="E22" s="292">
        <v>0</v>
      </c>
      <c r="F22" s="5">
        <v>0</v>
      </c>
      <c r="G22" s="293">
        <v>0</v>
      </c>
      <c r="H22" s="288">
        <f t="shared" si="1"/>
        <v>0</v>
      </c>
      <c r="I22" s="6">
        <f t="shared" si="2"/>
        <v>0</v>
      </c>
      <c r="J22" s="289" t="str">
        <f t="shared" si="3"/>
        <v>n/a</v>
      </c>
      <c r="K22" s="288">
        <f t="shared" si="4"/>
        <v>0</v>
      </c>
      <c r="L22" s="6">
        <f t="shared" si="5"/>
        <v>0</v>
      </c>
      <c r="M22" s="6">
        <f t="shared" si="6"/>
        <v>0</v>
      </c>
      <c r="N22" s="6">
        <f t="shared" si="7"/>
        <v>0</v>
      </c>
      <c r="O22" s="291">
        <f t="shared" si="8"/>
        <v>0</v>
      </c>
    </row>
    <row r="23" spans="1:15" ht="17.149999999999999" customHeight="1" x14ac:dyDescent="0.35">
      <c r="A23" s="309" t="s">
        <v>73</v>
      </c>
      <c r="B23" s="224"/>
      <c r="C23" s="306"/>
      <c r="D23" s="307"/>
      <c r="E23" s="306"/>
      <c r="F23" s="127"/>
      <c r="G23" s="307"/>
      <c r="H23" s="306"/>
      <c r="I23" s="127"/>
      <c r="J23" s="308"/>
      <c r="K23" s="306"/>
      <c r="L23" s="127"/>
      <c r="M23" s="127"/>
      <c r="N23" s="127"/>
      <c r="O23" s="307"/>
    </row>
    <row r="24" spans="1:15" ht="17.149999999999999" customHeight="1" x14ac:dyDescent="0.35">
      <c r="A24" s="311" t="s">
        <v>63</v>
      </c>
      <c r="B24" s="295">
        <v>0</v>
      </c>
      <c r="C24" s="288">
        <f>B24*0.9</f>
        <v>0</v>
      </c>
      <c r="D24" s="293">
        <v>0</v>
      </c>
      <c r="E24" s="292">
        <v>0</v>
      </c>
      <c r="F24" s="5">
        <v>0</v>
      </c>
      <c r="G24" s="293">
        <v>0</v>
      </c>
      <c r="H24" s="290">
        <f>IF(B24=0,0,ROUNDDOWN(0.9*$B$7,0))</f>
        <v>0</v>
      </c>
      <c r="I24" s="7">
        <f t="shared" si="2"/>
        <v>0</v>
      </c>
      <c r="J24" s="289" t="str">
        <f t="shared" si="3"/>
        <v>n/a</v>
      </c>
      <c r="K24" s="288">
        <f t="shared" si="4"/>
        <v>0</v>
      </c>
      <c r="L24" s="6">
        <f t="shared" ref="L24:L32" si="9">E24*B24</f>
        <v>0</v>
      </c>
      <c r="M24" s="6">
        <f t="shared" ref="M24:M32" si="10">F24*B24</f>
        <v>0</v>
      </c>
      <c r="N24" s="6">
        <f t="shared" ref="N24:N32" si="11">G24*B24</f>
        <v>0</v>
      </c>
      <c r="O24" s="291">
        <f t="shared" si="8"/>
        <v>0</v>
      </c>
    </row>
    <row r="25" spans="1:15" ht="17.149999999999999" customHeight="1" x14ac:dyDescent="0.35">
      <c r="A25" s="311" t="s">
        <v>64</v>
      </c>
      <c r="B25" s="295">
        <v>0</v>
      </c>
      <c r="C25" s="288">
        <f>B25*0.8</f>
        <v>0</v>
      </c>
      <c r="D25" s="293">
        <v>0</v>
      </c>
      <c r="E25" s="292">
        <v>0</v>
      </c>
      <c r="F25" s="5">
        <v>0</v>
      </c>
      <c r="G25" s="293">
        <v>0</v>
      </c>
      <c r="H25" s="290">
        <f>IF(B25=0,0,ROUNDDOWN(0.8*$B$7,0))</f>
        <v>0</v>
      </c>
      <c r="I25" s="7">
        <f t="shared" si="2"/>
        <v>0</v>
      </c>
      <c r="J25" s="289" t="str">
        <f t="shared" si="3"/>
        <v>n/a</v>
      </c>
      <c r="K25" s="288">
        <f t="shared" si="4"/>
        <v>0</v>
      </c>
      <c r="L25" s="6">
        <f t="shared" si="9"/>
        <v>0</v>
      </c>
      <c r="M25" s="6">
        <f t="shared" si="10"/>
        <v>0</v>
      </c>
      <c r="N25" s="6">
        <f t="shared" si="11"/>
        <v>0</v>
      </c>
      <c r="O25" s="291">
        <f t="shared" si="8"/>
        <v>0</v>
      </c>
    </row>
    <row r="26" spans="1:15" ht="17.149999999999999" customHeight="1" x14ac:dyDescent="0.35">
      <c r="A26" s="311" t="s">
        <v>65</v>
      </c>
      <c r="B26" s="295">
        <v>0</v>
      </c>
      <c r="C26" s="288">
        <f>B26*0.7</f>
        <v>0</v>
      </c>
      <c r="D26" s="293">
        <v>0</v>
      </c>
      <c r="E26" s="292">
        <v>0</v>
      </c>
      <c r="F26" s="5">
        <v>0</v>
      </c>
      <c r="G26" s="293">
        <v>0</v>
      </c>
      <c r="H26" s="290">
        <f>IF(B26=0,0,ROUNDDOWN(0.7*$B$7,0))</f>
        <v>0</v>
      </c>
      <c r="I26" s="7">
        <f t="shared" si="2"/>
        <v>0</v>
      </c>
      <c r="J26" s="289" t="str">
        <f t="shared" si="3"/>
        <v>n/a</v>
      </c>
      <c r="K26" s="288">
        <f t="shared" si="4"/>
        <v>0</v>
      </c>
      <c r="L26" s="6">
        <f t="shared" si="9"/>
        <v>0</v>
      </c>
      <c r="M26" s="6">
        <f t="shared" si="10"/>
        <v>0</v>
      </c>
      <c r="N26" s="6">
        <f t="shared" si="11"/>
        <v>0</v>
      </c>
      <c r="O26" s="291">
        <f t="shared" si="8"/>
        <v>0</v>
      </c>
    </row>
    <row r="27" spans="1:15" ht="17.149999999999999" customHeight="1" x14ac:dyDescent="0.35">
      <c r="A27" s="311" t="s">
        <v>66</v>
      </c>
      <c r="B27" s="295">
        <v>0</v>
      </c>
      <c r="C27" s="288">
        <f>B27*0.6</f>
        <v>0</v>
      </c>
      <c r="D27" s="293">
        <v>0</v>
      </c>
      <c r="E27" s="292">
        <v>0</v>
      </c>
      <c r="F27" s="5">
        <v>0</v>
      </c>
      <c r="G27" s="293">
        <v>0</v>
      </c>
      <c r="H27" s="290">
        <f>IF(B27=0,0,ROUNDDOWN(0.6*$B$7,0))</f>
        <v>0</v>
      </c>
      <c r="I27" s="7">
        <f t="shared" si="2"/>
        <v>0</v>
      </c>
      <c r="J27" s="289" t="str">
        <f t="shared" si="3"/>
        <v>n/a</v>
      </c>
      <c r="K27" s="288">
        <f t="shared" si="4"/>
        <v>0</v>
      </c>
      <c r="L27" s="6">
        <f t="shared" si="9"/>
        <v>0</v>
      </c>
      <c r="M27" s="6">
        <f t="shared" si="10"/>
        <v>0</v>
      </c>
      <c r="N27" s="6">
        <f t="shared" si="11"/>
        <v>0</v>
      </c>
      <c r="O27" s="291">
        <f t="shared" si="8"/>
        <v>0</v>
      </c>
    </row>
    <row r="28" spans="1:15" ht="17.149999999999999" customHeight="1" x14ac:dyDescent="0.35">
      <c r="A28" s="311" t="s">
        <v>67</v>
      </c>
      <c r="B28" s="295">
        <v>0</v>
      </c>
      <c r="C28" s="288">
        <f>B28*0.5</f>
        <v>0</v>
      </c>
      <c r="D28" s="293">
        <v>0</v>
      </c>
      <c r="E28" s="292">
        <v>0</v>
      </c>
      <c r="F28" s="5">
        <v>0</v>
      </c>
      <c r="G28" s="293">
        <v>0</v>
      </c>
      <c r="H28" s="290">
        <f>IF(B28=0,0,ROUNDDOWN(0.5*$B$7,0))</f>
        <v>0</v>
      </c>
      <c r="I28" s="7">
        <f t="shared" si="2"/>
        <v>0</v>
      </c>
      <c r="J28" s="289" t="str">
        <f t="shared" si="3"/>
        <v>n/a</v>
      </c>
      <c r="K28" s="288">
        <f t="shared" si="4"/>
        <v>0</v>
      </c>
      <c r="L28" s="6">
        <f t="shared" si="9"/>
        <v>0</v>
      </c>
      <c r="M28" s="6">
        <f t="shared" si="10"/>
        <v>0</v>
      </c>
      <c r="N28" s="6">
        <f t="shared" si="11"/>
        <v>0</v>
      </c>
      <c r="O28" s="291">
        <f t="shared" si="8"/>
        <v>0</v>
      </c>
    </row>
    <row r="29" spans="1:15" ht="17.149999999999999" customHeight="1" x14ac:dyDescent="0.35">
      <c r="A29" s="311" t="s">
        <v>68</v>
      </c>
      <c r="B29" s="295">
        <v>0</v>
      </c>
      <c r="C29" s="288">
        <f>B29*0.4</f>
        <v>0</v>
      </c>
      <c r="D29" s="293">
        <v>0</v>
      </c>
      <c r="E29" s="292">
        <v>0</v>
      </c>
      <c r="F29" s="5">
        <v>0</v>
      </c>
      <c r="G29" s="293">
        <v>0</v>
      </c>
      <c r="H29" s="290">
        <f>IF(B29=0,0,ROUNDDOWN(0.4*$B$7,0))</f>
        <v>0</v>
      </c>
      <c r="I29" s="7">
        <f t="shared" si="2"/>
        <v>0</v>
      </c>
      <c r="J29" s="289" t="str">
        <f t="shared" si="3"/>
        <v>n/a</v>
      </c>
      <c r="K29" s="288">
        <f t="shared" si="4"/>
        <v>0</v>
      </c>
      <c r="L29" s="6">
        <f t="shared" si="9"/>
        <v>0</v>
      </c>
      <c r="M29" s="6">
        <f t="shared" si="10"/>
        <v>0</v>
      </c>
      <c r="N29" s="6">
        <f t="shared" si="11"/>
        <v>0</v>
      </c>
      <c r="O29" s="291">
        <f t="shared" si="8"/>
        <v>0</v>
      </c>
    </row>
    <row r="30" spans="1:15" ht="17.149999999999999" customHeight="1" x14ac:dyDescent="0.35">
      <c r="A30" s="311" t="s">
        <v>69</v>
      </c>
      <c r="B30" s="295">
        <v>0</v>
      </c>
      <c r="C30" s="288">
        <f>B30*0.3</f>
        <v>0</v>
      </c>
      <c r="D30" s="293">
        <v>0</v>
      </c>
      <c r="E30" s="292">
        <v>0</v>
      </c>
      <c r="F30" s="5">
        <v>0</v>
      </c>
      <c r="G30" s="293">
        <v>0</v>
      </c>
      <c r="H30" s="290">
        <f>IF(B30=0,0,ROUNDDOWN(0.3*$B$7,0))</f>
        <v>0</v>
      </c>
      <c r="I30" s="7">
        <f t="shared" si="2"/>
        <v>0</v>
      </c>
      <c r="J30" s="289" t="str">
        <f t="shared" si="3"/>
        <v>n/a</v>
      </c>
      <c r="K30" s="288">
        <f t="shared" si="4"/>
        <v>0</v>
      </c>
      <c r="L30" s="6">
        <f t="shared" si="9"/>
        <v>0</v>
      </c>
      <c r="M30" s="6">
        <f t="shared" si="10"/>
        <v>0</v>
      </c>
      <c r="N30" s="6">
        <f t="shared" si="11"/>
        <v>0</v>
      </c>
      <c r="O30" s="291">
        <f t="shared" si="8"/>
        <v>0</v>
      </c>
    </row>
    <row r="31" spans="1:15" ht="17.149999999999999" customHeight="1" x14ac:dyDescent="0.35">
      <c r="A31" s="311" t="s">
        <v>70</v>
      </c>
      <c r="B31" s="295">
        <v>0</v>
      </c>
      <c r="C31" s="288">
        <f>B31*0.2</f>
        <v>0</v>
      </c>
      <c r="D31" s="293">
        <v>0</v>
      </c>
      <c r="E31" s="292">
        <v>0</v>
      </c>
      <c r="F31" s="5">
        <v>0</v>
      </c>
      <c r="G31" s="293">
        <v>0</v>
      </c>
      <c r="H31" s="290">
        <f>IF(B31=0,0,ROUNDDOWN(0.2*$B$7,0))</f>
        <v>0</v>
      </c>
      <c r="I31" s="7">
        <f t="shared" si="2"/>
        <v>0</v>
      </c>
      <c r="J31" s="289" t="str">
        <f t="shared" si="3"/>
        <v>n/a</v>
      </c>
      <c r="K31" s="288">
        <f t="shared" si="4"/>
        <v>0</v>
      </c>
      <c r="L31" s="6">
        <f t="shared" si="9"/>
        <v>0</v>
      </c>
      <c r="M31" s="6">
        <f t="shared" si="10"/>
        <v>0</v>
      </c>
      <c r="N31" s="6">
        <f t="shared" si="11"/>
        <v>0</v>
      </c>
      <c r="O31" s="291">
        <f t="shared" si="8"/>
        <v>0</v>
      </c>
    </row>
    <row r="32" spans="1:15" ht="17.149999999999999" customHeight="1" x14ac:dyDescent="0.35">
      <c r="A32" s="311" t="s">
        <v>71</v>
      </c>
      <c r="B32" s="295">
        <v>0</v>
      </c>
      <c r="C32" s="288">
        <f>B32*0.1</f>
        <v>0</v>
      </c>
      <c r="D32" s="293">
        <v>0</v>
      </c>
      <c r="E32" s="292">
        <v>0</v>
      </c>
      <c r="F32" s="5">
        <v>0</v>
      </c>
      <c r="G32" s="293">
        <v>0</v>
      </c>
      <c r="H32" s="290">
        <f>IF(B32=0,0,ROUNDDOWN(0.1*$B$7,0))</f>
        <v>0</v>
      </c>
      <c r="I32" s="7">
        <f t="shared" si="2"/>
        <v>0</v>
      </c>
      <c r="J32" s="289" t="str">
        <f t="shared" si="3"/>
        <v>n/a</v>
      </c>
      <c r="K32" s="288">
        <f t="shared" si="4"/>
        <v>0</v>
      </c>
      <c r="L32" s="6">
        <f t="shared" si="9"/>
        <v>0</v>
      </c>
      <c r="M32" s="6">
        <f t="shared" si="10"/>
        <v>0</v>
      </c>
      <c r="N32" s="6">
        <f t="shared" si="11"/>
        <v>0</v>
      </c>
      <c r="O32" s="291">
        <f t="shared" si="8"/>
        <v>0</v>
      </c>
    </row>
    <row r="33" spans="1:15" s="229" customFormat="1" ht="23.25" customHeight="1" thickBot="1" x14ac:dyDescent="0.5">
      <c r="A33" s="301" t="s">
        <v>11</v>
      </c>
      <c r="B33" s="302">
        <f>SUM(B24:B32)+SUM(B10:B22)</f>
        <v>0</v>
      </c>
      <c r="C33" s="303">
        <f>SUM(C24:C32)+SUM(C10:C22)</f>
        <v>0</v>
      </c>
      <c r="D33" s="298"/>
      <c r="E33" s="299"/>
      <c r="F33" s="300"/>
      <c r="G33" s="298"/>
      <c r="H33" s="299"/>
      <c r="I33" s="300"/>
      <c r="J33" s="298"/>
      <c r="K33" s="303">
        <f>SUM(K10:K22)+SUM(K24:K32)</f>
        <v>0</v>
      </c>
      <c r="L33" s="304">
        <f t="shared" ref="L33:O33" si="12">SUM(L10:L22)+SUM(L24:L32)</f>
        <v>0</v>
      </c>
      <c r="M33" s="304">
        <f t="shared" si="12"/>
        <v>0</v>
      </c>
      <c r="N33" s="304">
        <f t="shared" si="12"/>
        <v>0</v>
      </c>
      <c r="O33" s="305">
        <f t="shared" si="12"/>
        <v>0</v>
      </c>
    </row>
    <row r="34" spans="1:15" ht="17.149999999999999" customHeight="1" x14ac:dyDescent="0.35">
      <c r="A34" s="281" t="s">
        <v>41</v>
      </c>
      <c r="B34" s="9">
        <f>IF(C33=0,0,K33/C33)</f>
        <v>0</v>
      </c>
    </row>
    <row r="35" spans="1:15" ht="17.149999999999999" customHeight="1" x14ac:dyDescent="0.35">
      <c r="A35" s="183" t="s">
        <v>42</v>
      </c>
      <c r="B35" s="194">
        <f>IF(B7=0,"n/a",B34/B7)</f>
        <v>0</v>
      </c>
    </row>
    <row r="36" spans="1:15" ht="17.149999999999999" customHeight="1" x14ac:dyDescent="0.35">
      <c r="A36" s="182" t="s">
        <v>93</v>
      </c>
      <c r="B36" s="182"/>
    </row>
    <row r="37" spans="1:15" ht="17.149999999999999" customHeight="1" x14ac:dyDescent="0.35">
      <c r="A37" s="183" t="s">
        <v>89</v>
      </c>
      <c r="B37" s="246">
        <f>IF(O33=0,0,K33/O33)</f>
        <v>0</v>
      </c>
    </row>
    <row r="38" spans="1:15" ht="17.149999999999999" customHeight="1" x14ac:dyDescent="0.35">
      <c r="A38" s="183" t="s">
        <v>90</v>
      </c>
      <c r="B38" s="246">
        <f>IF(O33=0,0,L33/O33)</f>
        <v>0</v>
      </c>
    </row>
    <row r="39" spans="1:15" ht="17.149999999999999" customHeight="1" x14ac:dyDescent="0.35">
      <c r="A39" s="183" t="s">
        <v>91</v>
      </c>
      <c r="B39" s="246">
        <f>IF(O33=0,0,M33/O33)</f>
        <v>0</v>
      </c>
    </row>
    <row r="40" spans="1:15" ht="17.149999999999999" customHeight="1" x14ac:dyDescent="0.35">
      <c r="A40" s="183" t="s">
        <v>92</v>
      </c>
      <c r="B40" s="246">
        <f>IF(O33=0,0,N33/O33)</f>
        <v>0</v>
      </c>
    </row>
  </sheetData>
  <sheetProtection algorithmName="SHA-512" hashValue="aC1zbzTjBWnlDOnPBru2s7bt+/wdwI1VVmG5C0/8GRPBwd5y6qDys1MXdNal6EziBSkvDaedkWqcCaqom1gRHQ==" saltValue="2IKoGmctRPhRKAtGkgjaDw==" spinCount="100000" sheet="1" objects="1" scenarios="1"/>
  <conditionalFormatting sqref="C33">
    <cfRule type="expression" dxfId="2" priority="10">
      <formula>$C$33&lt;&gt;#REF!</formula>
    </cfRule>
  </conditionalFormatting>
  <conditionalFormatting sqref="I10:I22">
    <cfRule type="expression" dxfId="1" priority="2">
      <formula>$H10&lt;&gt;$I10</formula>
    </cfRule>
  </conditionalFormatting>
  <conditionalFormatting sqref="I24:I32">
    <cfRule type="expression" dxfId="0" priority="1">
      <formula>$H24&lt;&gt;$I24</formula>
    </cfRule>
  </conditionalFormatting>
  <pageMargins left="0.7" right="0.7" top="0.75" bottom="0.75" header="0.3" footer="0.3"/>
  <pageSetup paperSize="9" orientation="portrait" horizontalDpi="4294967294" r:id="rId1"/>
  <ignoredErrors>
    <ignoredError sqref="I10:I22"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1 author note</vt:lpstr>
      <vt:lpstr>2 stepwise overview</vt:lpstr>
      <vt:lpstr>3 notes for linked sheets 4-7</vt:lpstr>
      <vt:lpstr>4 summary data</vt:lpstr>
      <vt:lpstr>5 deployment base year</vt:lpstr>
      <vt:lpstr>6 deployment planned year</vt:lpstr>
      <vt:lpstr>7 deployment projection year</vt:lpstr>
      <vt:lpstr>8 what is contact ratio</vt:lpstr>
      <vt:lpstr>9 modelling contact</vt:lpstr>
      <vt:lpstr>10 what is average class size</vt:lpstr>
      <vt:lpstr>11 bonus and basic</vt:lpstr>
      <vt:lpstr>12 at cost referencing</vt:lpstr>
      <vt:lpstr>13 metrics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Secondary school workbook</dc:title>
  <dc:creator/>
  <cp:lastModifiedBy/>
  <dcterms:created xsi:type="dcterms:W3CDTF">2019-05-12T04:04:29Z</dcterms:created>
  <dcterms:modified xsi:type="dcterms:W3CDTF">2025-01-28T11:33:36Z</dcterms:modified>
</cp:coreProperties>
</file>