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departmentfortransportuk.sharepoint.com/sites/ASD/Transport Analysis Guidance/TAG Release/Appraisal Worksheets/2024 November/"/>
    </mc:Choice>
  </mc:AlternateContent>
  <xr:revisionPtr revIDLastSave="209" documentId="8_{67857051-6D06-44D8-85E7-3D9D140E581C}" xr6:coauthVersionLast="47" xr6:coauthVersionMax="47" xr10:uidLastSave="{2AAF31C3-2B8F-43C6-B303-70A16E059B9F}"/>
  <bookViews>
    <workbookView xWindow="28680" yWindow="2910" windowWidth="29040" windowHeight="15840" xr2:uid="{00000000-000D-0000-FFFF-FFFF00000000}"/>
  </bookViews>
  <sheets>
    <sheet name="README" sheetId="9" r:id="rId1"/>
    <sheet name="Input" sheetId="1" r:id="rId2"/>
    <sheet name="Calculation" sheetId="2" r:id="rId3"/>
    <sheet name="QA" sheetId="11" state="hidden" r:id="rId4"/>
    <sheet name="Output - worksheet 1" sheetId="8" r:id="rId5"/>
  </sheets>
  <externalReferences>
    <externalReference r:id="rId6"/>
    <externalReference r:id="rId7"/>
  </externalReferences>
  <definedNames>
    <definedName name="amenity_1_to_3_dB_band_45">Calculation!$D$169:$AQ$169</definedName>
    <definedName name="amenity_1_to_3_dB_band_45_48">Calculation!$D$170:$AQ$170</definedName>
    <definedName name="amenity_1_to_3_dB_band_48_51">Calculation!$D$171:$AQ$171</definedName>
    <definedName name="amenity_1_to_3_dB_band_51_54">Calculation!$D$172:$AQ$172</definedName>
    <definedName name="amenity_1_to_3_dB_band_54_57">Calculation!$D$173:$AQ$173</definedName>
    <definedName name="amenity_1_to_3_dB_band_57_60">Calculation!$D$174:$AQ$174</definedName>
    <definedName name="amenity_1_to_3_dB_band_60_63">Calculation!$D$175:$AQ$175</definedName>
    <definedName name="amenity_1_to_3_dB_band_63_66">Calculation!$D$176:$AQ$176</definedName>
    <definedName name="amenity_1_to_3_dB_band_66_69">Calculation!$D$177:$AQ$177</definedName>
    <definedName name="amenity_1_to_3_dB_band_69_72">Calculation!$D$178:$AQ$178</definedName>
    <definedName name="amenity_1_to_3_dB_band_72_75">Calculation!$D$179:$AQ$179</definedName>
    <definedName name="amenity_1_to_3_dB_band_75_78">Calculation!$D$180:$AQ$180</definedName>
    <definedName name="amenity_1_to_3_dB_band_78_81">Calculation!$D$181:$AQ$181</definedName>
    <definedName name="Amenity_values_1dB_table">Calculation!$D$166:$AQ$166</definedName>
    <definedName name="Amenity_values_3dB_table">Calculation!$D$184:$P$185</definedName>
    <definedName name="Amenity_values_aviation_1dB">Calculation!$D$162:$AQ$162</definedName>
    <definedName name="Amenity_values_aviation_1dB_in">Input!$D$128:$AQ$128</definedName>
    <definedName name="Amenity_values_rail_1dB">Calculation!$D$161:$AQ$161</definedName>
    <definedName name="Amenity_values_rail_1dB_in">Input!$D$115:$AQ$115</definedName>
    <definedName name="Amenity_values_road_1dB">Calculation!$D$160:$AQ$160</definedName>
    <definedName name="Amenity_values_road_1dB_in">Input!$D$102:$AQ$102</definedName>
    <definedName name="AMI_1_to_3_dB_band_45">Calculation!$D$217:$AQ$217</definedName>
    <definedName name="AMI_1_to_3_dB_band_45_48">Calculation!$D$218:$AQ$218</definedName>
    <definedName name="AMI_1_to_3_dB_band_48_51">Calculation!$D$219:$AQ$219</definedName>
    <definedName name="AMI_1_to_3_dB_band_51_54">Calculation!$D$220:$AQ$220</definedName>
    <definedName name="AMI_1_to_3_dB_band_54_57">Calculation!$D$221:$AQ$221</definedName>
    <definedName name="AMI_1_to_3_dB_band_57_60">Calculation!$D$222:$AQ$222</definedName>
    <definedName name="AMI_1_to_3_dB_band_60_63">Calculation!$D$223:$AQ$223</definedName>
    <definedName name="AMI_1_to_3_dB_band_63_66">Calculation!$D$224:$AQ$224</definedName>
    <definedName name="AMI_1_to_3_dB_band_66_69">Calculation!$D$225:$AQ$225</definedName>
    <definedName name="AMI_1_to_3_dB_band_69_72">Calculation!$D$226:$AQ$226</definedName>
    <definedName name="AMI_1_to_3_dB_band_72_75">Calculation!$D$227:$AQ$227</definedName>
    <definedName name="AMI_1_to_3_dB_band_75_78">Calculation!$D$228:$AQ$228</definedName>
    <definedName name="AMI_1_to_3_dB_band_78_81">Calculation!$D$229:$AQ$229</definedName>
    <definedName name="AMI_values_1dB_table">Calculation!$D$214:$AQ$214</definedName>
    <definedName name="AMI_values_3dB_table">Calculation!$D$232:$P$233</definedName>
    <definedName name="AMI_values_aviation_1dB">Calculation!$D$210:$AQ$210</definedName>
    <definedName name="AMI_values_aviation_1dB_in">Input!$D$129:$AQ$129</definedName>
    <definedName name="AMI_values_rail_1dB">Calculation!$D$209:$AQ$209</definedName>
    <definedName name="AMI_values_rail_1dB_in">Input!$D$116:$AQ$116</definedName>
    <definedName name="AMI_values_road_1dB">Calculation!$D$208:$AQ$208</definedName>
    <definedName name="AMI_values_road_1dB_in">Input!$D$103:$AQ$103</definedName>
    <definedName name="Annual_amenity_valuation">Calculation!$D$658:$CP$658</definedName>
    <definedName name="Annual_amenity_valuation_hh_adj">Calculation!$D$672:$CP$672</definedName>
    <definedName name="Annual_AMI_valuation">Calculation!$D$659:$CP$659</definedName>
    <definedName name="Annual_AMI_valuation_hh_adj">Calculation!$D$673:$CP$673</definedName>
    <definedName name="Annual_dementia_valuation">Calculation!$D$661:$CP$661</definedName>
    <definedName name="Annual_dementia_valuation_hh_adj">Calculation!$D$675:$CP$675</definedName>
    <definedName name="Annual_sleep_disturbance_valuation">Calculation!$D$657:$CP$657</definedName>
    <definedName name="Annual_sleep_disturbance_valuation_hh_adj">Calculation!$D$671:$CP$671</definedName>
    <definedName name="Annual_stroke_valuation">Calculation!$D$660:$CP$660</definedName>
    <definedName name="Annual_stroke_valuation_hh_adj">Calculation!$D$674:$CP$674</definedName>
    <definedName name="Appraisal_period">Calculation!$D$587:$CP$587</definedName>
    <definedName name="Appraisal_period_length">Calculation!$C$581</definedName>
    <definedName name="Appraisal_period_length_in">Input!$D$141</definedName>
    <definedName name="Av_car_cost_CPI">'[1]Car costs (CPI)'!$BF$28:$BQ$78</definedName>
    <definedName name="av_car_cost_nonwork">'[1]A1.3.13'!$B$27:$S$106</definedName>
    <definedName name="Av_car_cost_work">'[1]A1.3.12'!$B$27:$S$106</definedName>
    <definedName name="Aviation_Lnight_mask">Calculation!$C$113</definedName>
    <definedName name="Aviation_mask">Calculation!$C$95</definedName>
    <definedName name="Current_year">Calculation!$C$681</definedName>
    <definedName name="Current_year_in">Input!$D$10</definedName>
    <definedName name="Default_HH_size">Calculation!$C$665</definedName>
    <definedName name="Default_HH_size_in">Input!$D$95</definedName>
    <definedName name="dementia_1_to_3_dB_band_45">Calculation!$D$313:$AQ$313</definedName>
    <definedName name="dementia_1_to_3_dB_band_45_48">Calculation!$D$314:$AQ$314</definedName>
    <definedName name="dementia_1_to_3_dB_band_48_51">Calculation!$D$315:$AQ$315</definedName>
    <definedName name="dementia_1_to_3_dB_band_51_54">Calculation!$D$316:$AQ$316</definedName>
    <definedName name="dementia_1_to_3_dB_band_54_57">Calculation!$D$317:$AQ$317</definedName>
    <definedName name="dementia_1_to_3_dB_band_57_60">Calculation!$D$318:$AQ$318</definedName>
    <definedName name="dementia_1_to_3_dB_band_60_63">Calculation!$D$319:$AQ$319</definedName>
    <definedName name="dementia_1_to_3_dB_band_63_66">Calculation!$D$320:$AQ$320</definedName>
    <definedName name="dementia_1_to_3_dB_band_66_69">Calculation!$D$321:$AQ$321</definedName>
    <definedName name="dementia_1_to_3_dB_band_69_72">Calculation!$D$322:$AQ$322</definedName>
    <definedName name="dementia_1_to_3_dB_band_72_75">Calculation!$D$323:$AQ$323</definedName>
    <definedName name="dementia_1_to_3_dB_band_75_78">Calculation!$D$324:$AQ$324</definedName>
    <definedName name="dementia_1_to_3_dB_band_78_81">Calculation!$D$325:$AQ$325</definedName>
    <definedName name="Dementia_values_1dB_table">Calculation!$D$310:$AQ$310</definedName>
    <definedName name="Dementia_values_3dB_table">Calculation!$D$328:$P$329</definedName>
    <definedName name="Dementia_values_aviation_1dB">Calculation!$D$306:$AQ$306</definedName>
    <definedName name="Dementia_values_aviation_1db_in">Input!$D$131:$AQ$131</definedName>
    <definedName name="Dementia_values_rail_1dB">Calculation!$D$305:$AQ$305</definedName>
    <definedName name="Dementia_values_rail_1db_in">Input!$D$118:$AQ$118</definedName>
    <definedName name="Dementia_values_road_1dB">Calculation!$D$304:$AQ$304</definedName>
    <definedName name="Dementia_values_road_1db_in">Input!$D$105:$AQ$105</definedName>
    <definedName name="Difference_amenity_cost">Calculation!$C$436</definedName>
    <definedName name="Difference_AMI_cost">Calculation!$C$480</definedName>
    <definedName name="Difference_dementia_cost">Calculation!$C$568</definedName>
    <definedName name="Difference_sleep_disturbance_cost">Calculation!$C$392</definedName>
    <definedName name="Difference_stroke_cost">Calculation!$C$524</definedName>
    <definedName name="Discount_factor">Calculation!$B$701:$CP$701</definedName>
    <definedName name="Discount_period_1">Calculation!$C$683</definedName>
    <definedName name="Discount_period_1_in">Input!$D$145</definedName>
    <definedName name="Discount_period_1_mask">Calculation!$D$689:$CP$689</definedName>
    <definedName name="Discount_period_2">Calculation!$C$684</definedName>
    <definedName name="Discount_period_2_in">Input!$D$146</definedName>
    <definedName name="Discount_period_2_mask">Calculation!$D$690:$CP$690</definedName>
    <definedName name="Discount_period_3">Calculation!$C$685</definedName>
    <definedName name="Discount_period_3_in">Input!$D$147</definedName>
    <definedName name="Discount_period_3_mask">Calculation!$D$691:$CP$691</definedName>
    <definedName name="Discount_rate_1">Calculation!$C$695</definedName>
    <definedName name="Discount_rate_1_in">Input!$D$148</definedName>
    <definedName name="Discount_rate_2">Calculation!$C$696</definedName>
    <definedName name="Discount_rate_2_in">Input!$D$149</definedName>
    <definedName name="Discount_rate_3">Calculation!$C$697</definedName>
    <definedName name="Discount_rate_3_in">Input!$D$150</definedName>
    <definedName name="Discount_rate_profile">Calculation!$D$700:$CP$700</definedName>
    <definedName name="Discounted_annual_amenity_valuation">Calculation!$D$708:$CP$708</definedName>
    <definedName name="Discounted_annual_AMI_valuation">Calculation!$D$709:$CP$709</definedName>
    <definedName name="Discounted_annual_dementia_valuation">Calculation!$D$711:$CP$711</definedName>
    <definedName name="Discounted_annual_sleep_disturbance_valuation">Calculation!$D$707:$CP$707</definedName>
    <definedName name="Discounted_annual_stroke_valuation">Calculation!$D$710:$CP$710</definedName>
    <definedName name="Electricity">[1]Electricity!$B$24:$M$114</definedName>
    <definedName name="Extrapolation_amenity_cost_mask">Calculation!$D$606:$CP$606</definedName>
    <definedName name="Extrapolation_AMI_cost_mask">Calculation!$D$615:$CP$615</definedName>
    <definedName name="Extrapolation_dementia_cost_mask">Calculation!$D$633:$CP$633</definedName>
    <definedName name="Extrapolation_mask">Calculation!$D$585:$CP$585</definedName>
    <definedName name="Extrapolation_sleep_disturbance_cost_mask">Calculation!$D$597:$CP$597</definedName>
    <definedName name="Extrapolation_sleep_disturbance_mask">Calculation!$D$597:$CP$597</definedName>
    <definedName name="Extrapolation_stroke_cost_mask">Calculation!$D$624:$CP$624</definedName>
    <definedName name="Forecast_and_opening_year_difference">Calculation!$C$580</definedName>
    <definedName name="Forecast_HH_decreased_noise_day">Calculation!$D$61:$Q$61</definedName>
    <definedName name="Forecast_HH_decreased_noise_night">Calculation!$D$82:$Q$82</definedName>
    <definedName name="Forecast_HH_increased_noise_day">Calculation!$V$46:$V$58</definedName>
    <definedName name="Forecast_HH_increased_noise_night">Calculation!$V$67:$V$79</definedName>
    <definedName name="Forecast_without_45_48_with_xx">Calculation!$D$47:$Q$47</definedName>
    <definedName name="Forecast_without_45_48_with_xx_amenity_cost">Calculation!$D$420:$Q$420</definedName>
    <definedName name="Forecast_without_45_48_with_xx_AMI_cost">Calculation!$D$464:$Q$464</definedName>
    <definedName name="Forecast_without_45_48_with_xx_composite_cost">QA!$D$41:$Q$41</definedName>
    <definedName name="Forecast_without_45_48_with_xx_cost">Calculation!$D$148:$Q$148</definedName>
    <definedName name="Forecast_without_45_48_with_xx_dementia_cost">Calculation!$D$552:$Q$552</definedName>
    <definedName name="Forecast_without_45_48_with_xx_in">Input!$D$60:$Q$60</definedName>
    <definedName name="Forecast_without_45_48_with_xx_night">Calculation!$D$68:$Q$68</definedName>
    <definedName name="Forecast_without_45_48_with_xx_night_in">Input!$D$77:$Q$77</definedName>
    <definedName name="Forecast_without_45_48_with_xx_sleep_disturbance_cost">Calculation!$D$376:$Q$376</definedName>
    <definedName name="Forecast_without_45_48_with_xx_stroke_cost">Calculation!$D$508:$Q$508</definedName>
    <definedName name="Forecast_without_45_with_xx">Calculation!$D$46:$Q$46</definedName>
    <definedName name="Forecast_without_45_with_xx_amenity_cost">Calculation!$D$419:$Q$419</definedName>
    <definedName name="Forecast_without_45_with_xx_AMI_cost">Calculation!$D$463:$Q$463</definedName>
    <definedName name="Forecast_without_45_with_xx_composite_cost">QA!$D$40:$Q$40</definedName>
    <definedName name="Forecast_without_45_with_xx_cost">Calculation!$D$147:$Q$147</definedName>
    <definedName name="Forecast_without_45_with_xx_dementia_cost">Calculation!$D$551:$Q$551</definedName>
    <definedName name="Forecast_without_45_with_xx_in">Input!$D$59:$Q$59</definedName>
    <definedName name="Forecast_without_45_with_xx_night">Calculation!$D$67:$Q$67</definedName>
    <definedName name="Forecast_without_45_with_xx_night_in">Input!$D$76:$Q$76</definedName>
    <definedName name="Forecast_without_45_with_xx_sleep_disturbance_cost">Calculation!$D$375:$Q$375</definedName>
    <definedName name="Forecast_without_45_with_xx_stroke_cost">Calculation!$D$507:$Q$507</definedName>
    <definedName name="Forecast_without_48_51_with_xx">Calculation!$D$48:$Q$48</definedName>
    <definedName name="Forecast_without_48_51_with_xx_amenity_cost">Calculation!$D$421:$Q$421</definedName>
    <definedName name="Forecast_without_48_51_with_xx_AMI_cost">Calculation!$D$465:$Q$465</definedName>
    <definedName name="Forecast_without_48_51_with_xx_composite_cost">QA!$D$42:$Q$42</definedName>
    <definedName name="Forecast_without_48_51_with_xx_cost">Calculation!$D$149:$Q$149</definedName>
    <definedName name="Forecast_without_48_51_with_xx_dementia_cost">Calculation!$D$553:$Q$553</definedName>
    <definedName name="Forecast_without_48_51_with_xx_in">Input!$D$61:$Q$61</definedName>
    <definedName name="Forecast_without_48_51_with_xx_night">Calculation!$D$69:$Q$69</definedName>
    <definedName name="Forecast_without_48_51_with_xx_night_in">Input!$D$78:$Q$78</definedName>
    <definedName name="Forecast_without_48_51_with_xx_sleep_disturbance_cost">Calculation!$D$377:$Q$377</definedName>
    <definedName name="Forecast_without_48_51_with_xx_stroke_cost">Calculation!$D$509:$Q$509</definedName>
    <definedName name="Forecast_without_51_54_with_xx">Calculation!$D$49:$Q$49</definedName>
    <definedName name="Forecast_without_51_54_with_xx_amenity_cost">Calculation!$D$422:$Q$422</definedName>
    <definedName name="Forecast_without_51_54_with_xx_AMI_cost">Calculation!$D$466:$Q$466</definedName>
    <definedName name="Forecast_without_51_54_with_xx_composite_cost">QA!$D$43:$Q$43</definedName>
    <definedName name="Forecast_without_51_54_with_xx_cost">Calculation!$D$150:$Q$150</definedName>
    <definedName name="Forecast_without_51_54_with_xx_dementia_cost">Calculation!$D$554:$Q$554</definedName>
    <definedName name="Forecast_without_51_54_with_xx_in">Input!$D$62:$Q$62</definedName>
    <definedName name="Forecast_without_51_54_with_xx_night">Calculation!$D$70:$Q$70</definedName>
    <definedName name="Forecast_without_51_54_with_xx_night_in">Input!$D$79:$Q$79</definedName>
    <definedName name="Forecast_without_51_54_with_xx_sleep_disturbance_cost">Calculation!$D$378:$Q$378</definedName>
    <definedName name="Forecast_without_51_54_with_xx_stroke_cost">Calculation!$D$510:$Q$510</definedName>
    <definedName name="Forecast_without_54_57_with_xx">Calculation!$D$50:$Q$50</definedName>
    <definedName name="Forecast_without_54_57_with_xx_amenity_cost">Calculation!$D$423:$Q$423</definedName>
    <definedName name="Forecast_without_54_57_with_xx_AMI_cost">Calculation!$D$467:$Q$467</definedName>
    <definedName name="Forecast_without_54_57_with_xx_composite_cost">QA!$D$44:$Q$44</definedName>
    <definedName name="Forecast_without_54_57_with_xx_cost">Calculation!$D$151:$Q$151</definedName>
    <definedName name="Forecast_without_54_57_with_xx_dementia_cost">Calculation!$D$555:$Q$555</definedName>
    <definedName name="Forecast_without_54_57_with_xx_in">Input!$D$63:$Q$63</definedName>
    <definedName name="Forecast_without_54_57_with_xx_night">Calculation!$D$71:$Q$71</definedName>
    <definedName name="Forecast_without_54_57_with_xx_night_in">Input!$D$80:$Q$80</definedName>
    <definedName name="Forecast_without_54_57_with_xx_sleep_disturbance_cost">Calculation!$D$379:$Q$379</definedName>
    <definedName name="Forecast_without_54_57_with_xx_stroke_cost">Calculation!$D$511:$Q$511</definedName>
    <definedName name="Forecast_without_57_60_with_xx">Calculation!$D$51:$Q$51</definedName>
    <definedName name="Forecast_without_57_60_with_xx_amenity_cost">Calculation!$D$424:$Q$424</definedName>
    <definedName name="Forecast_without_57_60_with_xx_AMI_cost">Calculation!$D$468:$Q$468</definedName>
    <definedName name="Forecast_without_57_60_with_xx_composite_cost">QA!$D$45:$Q$45</definedName>
    <definedName name="Forecast_without_57_60_with_xx_cost">Calculation!$D$152:$Q$152</definedName>
    <definedName name="Forecast_without_57_60_with_xx_dementia_cost">Calculation!$D$556:$Q$556</definedName>
    <definedName name="Forecast_without_57_60_with_xx_in">Input!$D$64:$Q$64</definedName>
    <definedName name="Forecast_without_57_60_with_xx_night">Calculation!$D$72:$Q$72</definedName>
    <definedName name="Forecast_without_57_60_with_xx_night_in">Input!$D$81:$Q$81</definedName>
    <definedName name="Forecast_without_57_60_with_xx_sleep_disturbance_cost">Calculation!$D$380:$Q$380</definedName>
    <definedName name="Forecast_without_57_60_with_xx_stroke_cost">Calculation!$D$512:$Q$512</definedName>
    <definedName name="Forecast_without_60_63_with_xx">Calculation!$D$52:$Q$52</definedName>
    <definedName name="Forecast_without_60_63_with_xx_amenity_cost">Calculation!$D$425:$Q$425</definedName>
    <definedName name="Forecast_without_60_63_with_xx_AMI_cost">Calculation!$D$469:$Q$469</definedName>
    <definedName name="Forecast_without_60_63_with_xx_composite_cost">QA!$D$46:$Q$46</definedName>
    <definedName name="Forecast_without_60_63_with_xx_cost">Calculation!$D$153:$Q$153</definedName>
    <definedName name="Forecast_without_60_63_with_xx_dementia_cost">Calculation!$D$557:$Q$557</definedName>
    <definedName name="Forecast_without_60_63_with_xx_in">Input!$D$65:$Q$65</definedName>
    <definedName name="Forecast_without_60_63_with_xx_night">Calculation!$D$73:$Q$73</definedName>
    <definedName name="Forecast_without_60_63_with_xx_night_in">Input!$D$82:$Q$82</definedName>
    <definedName name="Forecast_without_60_63_with_xx_sleep_disturbance_cost">Calculation!$D$381:$Q$381</definedName>
    <definedName name="Forecast_without_60_63_with_xx_stroke_cost">Calculation!$D$513:$Q$513</definedName>
    <definedName name="Forecast_without_63_66_with_xx">Calculation!$D$53:$Q$53</definedName>
    <definedName name="Forecast_without_63_66_with_xx_amenity_cost">Calculation!$D$426:$Q$426</definedName>
    <definedName name="Forecast_without_63_66_with_xx_AMI_cost">Calculation!$D$470:$Q$470</definedName>
    <definedName name="Forecast_without_63_66_with_xx_composite_cost">QA!$D$47:$Q$47</definedName>
    <definedName name="Forecast_without_63_66_with_xx_cost">Calculation!$D$154:$Q$154</definedName>
    <definedName name="Forecast_without_63_66_with_xx_dementia_cost">Calculation!$D$558:$Q$558</definedName>
    <definedName name="Forecast_without_63_66_with_xx_in">Input!$D$66:$Q$66</definedName>
    <definedName name="Forecast_without_63_66_with_xx_night">Calculation!$D$74:$Q$74</definedName>
    <definedName name="Forecast_without_63_66_with_xx_night_in">Input!$D$83:$Q$83</definedName>
    <definedName name="Forecast_without_63_66_with_xx_sleep_disturbance_cost">Calculation!$D$382:$Q$382</definedName>
    <definedName name="Forecast_without_63_66_with_xx_stroke_cost">Calculation!$D$514:$Q$514</definedName>
    <definedName name="Forecast_without_66_69_with_xx">Calculation!$D$54:$Q$54</definedName>
    <definedName name="Forecast_without_66_69_with_xx_amenity_cost">Calculation!$D$427:$Q$427</definedName>
    <definedName name="Forecast_without_66_69_with_xx_AMI_cost">Calculation!$D$471:$Q$471</definedName>
    <definedName name="Forecast_without_66_69_with_xx_composite_cost">QA!$D$48:$Q$48</definedName>
    <definedName name="Forecast_without_66_69_with_xx_cost">Calculation!$D$155:$Q$155</definedName>
    <definedName name="Forecast_without_66_69_with_xx_dementia_cost">Calculation!$D$559:$Q$559</definedName>
    <definedName name="Forecast_without_66_69_with_xx_in">Input!$D$67:$Q$67</definedName>
    <definedName name="Forecast_without_66_69_with_xx_night">Calculation!$D$75:$Q$75</definedName>
    <definedName name="Forecast_without_66_69_with_xx_night_in">Input!$D$84:$Q$84</definedName>
    <definedName name="Forecast_without_66_69_with_xx_sleep_disturbance_cost">Calculation!$D$383:$Q$383</definedName>
    <definedName name="Forecast_without_66_69_with_xx_stroke_cost">Calculation!$D$515:$Q$515</definedName>
    <definedName name="Forecast_without_69_72_with_xx">Calculation!$D$55:$Q$55</definedName>
    <definedName name="Forecast_without_69_72_with_xx_amenity_cost">Calculation!$D$428:$Q$428</definedName>
    <definedName name="Forecast_without_69_72_with_xx_AMI_cost">Calculation!$D$472:$Q$472</definedName>
    <definedName name="Forecast_without_69_72_with_xx_composite_cost">QA!$D$49:$Q$49</definedName>
    <definedName name="Forecast_without_69_72_with_xx_cost">Calculation!$D$156:$Q$156</definedName>
    <definedName name="Forecast_without_69_72_with_xx_dementia_cost">Calculation!$D$560:$Q$560</definedName>
    <definedName name="Forecast_without_69_72_with_xx_in">Input!$D$68:$Q$68</definedName>
    <definedName name="Forecast_without_69_72_with_xx_night">Calculation!$D$76:$Q$76</definedName>
    <definedName name="Forecast_without_69_72_with_xx_night_in">Input!$D$85:$Q$85</definedName>
    <definedName name="Forecast_without_69_72_with_xx_sleep_disturbance_cost">Calculation!$D$384:$Q$384</definedName>
    <definedName name="Forecast_without_69_72_with_xx_stroke_cost">Calculation!$D$516:$Q$516</definedName>
    <definedName name="Forecast_without_72_75_with_xx">Calculation!$D$56:$Q$56</definedName>
    <definedName name="Forecast_without_72_75_with_xx_amenity_cost">Calculation!$D$429:$Q$429</definedName>
    <definedName name="Forecast_without_72_75_with_xx_AMI_cost">Calculation!$D$473:$Q$473</definedName>
    <definedName name="Forecast_without_72_75_with_xx_composite_cost">QA!$D$50:$Q$50</definedName>
    <definedName name="Forecast_without_72_75_with_xx_cost">Calculation!$D$157:$Q$157</definedName>
    <definedName name="Forecast_without_72_75_with_xx_dementia_cost">Calculation!$D$561:$Q$561</definedName>
    <definedName name="Forecast_without_72_75_with_xx_in">Input!$D$69:$Q$69</definedName>
    <definedName name="Forecast_without_72_75_with_xx_night">Calculation!$D$77:$Q$77</definedName>
    <definedName name="Forecast_without_72_75_with_xx_night_in">Input!$D$86:$Q$86</definedName>
    <definedName name="Forecast_without_72_75_with_xx_sleep_disturbance_cost">Calculation!$D$385:$Q$385</definedName>
    <definedName name="Forecast_without_72_75_with_xx_stroke_cost">Calculation!$D$517:$Q$517</definedName>
    <definedName name="Forecast_without_75_78_with_xx">Calculation!$D$57:$Q$57</definedName>
    <definedName name="Forecast_without_75_78_with_xx_amenity_cost">Calculation!$D$430:$Q$430</definedName>
    <definedName name="Forecast_without_75_78_with_xx_AMI_cost">Calculation!$D$474:$Q$474</definedName>
    <definedName name="Forecast_without_75_78_with_xx_composite_cost">QA!$D$51:$Q$51</definedName>
    <definedName name="Forecast_without_75_78_with_xx_dementia_cost">Calculation!$D$562:$Q$562</definedName>
    <definedName name="Forecast_without_75_78_with_xx_in">Input!$D$70:$Q$70</definedName>
    <definedName name="Forecast_without_75_78_with_xx_night">Calculation!$D$78:$Q$78</definedName>
    <definedName name="Forecast_without_75_78_with_xx_night_in">Input!$D$87:$Q$87</definedName>
    <definedName name="Forecast_without_75_78_with_xx_sleep_disturbance_cost">Calculation!$D$386:$Q$386</definedName>
    <definedName name="Forecast_without_75_78_with_xx_stroke_cost">Calculation!$D$518:$Q$518</definedName>
    <definedName name="Forecast_without_78_81_with_xx">Calculation!$D$58:$Q$58</definedName>
    <definedName name="Forecast_without_78_81_with_xx_amenity_cost">Calculation!$D$431:$Q$431</definedName>
    <definedName name="Forecast_without_78_81_with_xx_AMI_cost">Calculation!$D$475:$Q$475</definedName>
    <definedName name="Forecast_without_78_81_with_xx_composite_cost">QA!$D$52:$Q$52</definedName>
    <definedName name="Forecast_without_78_81_with_xx_dementia_cost">Calculation!$D$563:$Q$563</definedName>
    <definedName name="Forecast_without_78_81_with_xx_in">Input!$D$71:$Q$71</definedName>
    <definedName name="Forecast_without_78_81_with_xx_night">Calculation!$D$79:$Q$79</definedName>
    <definedName name="Forecast_without_78_81_with_xx_night_in">Input!$D$88:$Q$88</definedName>
    <definedName name="Forecast_without_78_81_with_xx_sleep_disturbance_cost">Calculation!$D$387:$Q$387</definedName>
    <definedName name="Forecast_without_78_81_with_xx_stroke_cost">Calculation!$D$519:$Q$519</definedName>
    <definedName name="Forecast_without_81_with_xx">Calculation!$D$59:$Q$59</definedName>
    <definedName name="Forecast_without_81_with_xx_amenity_cost">Calculation!$D$432:$Q$432</definedName>
    <definedName name="Forecast_without_81_with_xx_AMI_cost">Calculation!$D$476:$Q$476</definedName>
    <definedName name="Forecast_without_81_with_xx_composite_cost">QA!$D$53:$Q$53</definedName>
    <definedName name="Forecast_without_81_with_xx_dementia_cost">Calculation!$D$564:$Q$564</definedName>
    <definedName name="Forecast_without_81_with_xx_in">Input!$D$72:$Q$72</definedName>
    <definedName name="Forecast_without_81_with_xx_night">Calculation!$D$80:$Q$80</definedName>
    <definedName name="Forecast_without_81_with_xx_night_in">Input!$D$89:$Q$89</definedName>
    <definedName name="Forecast_without_81_with_xx_sleep_disturbance_cost">Calculation!$D$388:$Q$388</definedName>
    <definedName name="Forecast_without_81_with_xx_stroke_cost">Calculation!$D$520:$Q$520</definedName>
    <definedName name="Forecast_year">Calculation!$C$577</definedName>
    <definedName name="Forecast_year_amenity_cost">Calculation!$C$434</definedName>
    <definedName name="Forecast_year_amenity_cost_mask">Calculation!$D$604:$CP$604</definedName>
    <definedName name="Forecast_year_AMI_cost">Calculation!$C$478</definedName>
    <definedName name="Forecast_year_AMI_cost_mask">Calculation!$D$613:$CP$613</definedName>
    <definedName name="Forecast_year_composite_cost">QA!$C$55</definedName>
    <definedName name="Forecast_year_dementia_cost">Calculation!$C$566</definedName>
    <definedName name="Forecast_year_dementia_cost_mask">Calculation!$D$631:$CP$631</definedName>
    <definedName name="Forecast_year_in">Input!$D$8</definedName>
    <definedName name="Forecast_year_mask">Calculation!$D$578:$CP$578</definedName>
    <definedName name="Forecast_year_sleep_disturbance_cost">Calculation!$C$390</definedName>
    <definedName name="Forecast_year_sleep_disturbance_cost_mask">Calculation!$D$595:$CP$595</definedName>
    <definedName name="Forecast_year_sleep_disturbance_mask">Calculation!$D$595:$CP$595</definedName>
    <definedName name="Forecast_year_stroke_cost">Calculation!$C$522</definedName>
    <definedName name="Forecast_year_stroke_cost_mask">Calculation!$D$622:$CP$622</definedName>
    <definedName name="GDP_capita">Calculation!$D$640:$CP$640</definedName>
    <definedName name="GDP_capita_base">Calculation!$C$652</definedName>
    <definedName name="GDP_capita_in">Input!$D$156:$CP$156</definedName>
    <definedName name="GDP_deflator">Calculation!$D$639:$CP$639</definedName>
    <definedName name="GDP_deflator_base">Calculation!$C$644</definedName>
    <definedName name="GDP_deflator_base_values">Calculation!$C$647</definedName>
    <definedName name="GDP_deflator_in">Input!$D$155:$CP$155</definedName>
    <definedName name="GDP_deflator_outputs">Calculation!$C$647</definedName>
    <definedName name="Household_size_multiplier">Calculation!$D$668:$CP$668</definedName>
    <definedName name="Household_size_user_input">Calculation!$D$667:$CP$667</definedName>
    <definedName name="Household_size_user_input_in">Input!$D$162:$CP$162</definedName>
    <definedName name="Income_base_values">Calculation!$C$643</definedName>
    <definedName name="Income_base_values_in">Input!$D$93</definedName>
    <definedName name="Income_elasticity_in">Input!$D$160</definedName>
    <definedName name="Init_Yr">'[1]Default Pars'!$N$12:$N$20</definedName>
    <definedName name="Interpolation_amenity_cost_mask">Calculation!$D$605:$CP$605</definedName>
    <definedName name="Interpolation_AMI_cost_mask">Calculation!$D$614:$CP$614</definedName>
    <definedName name="Interpolation_dementia_cost_mask">Calculation!$D$632:$CP$632</definedName>
    <definedName name="Interpolation_mask">Calculation!$D$583:$CP$583</definedName>
    <definedName name="Interpolation_noise_cost_mask">Calculation!$D$199:$CP$199</definedName>
    <definedName name="Interpolation_sleep_disturbance_cost_mask">Calculation!$D$596:$CP$596</definedName>
    <definedName name="Interpolation_sleep_disturbance_mask">Calculation!$D$596:$CP$596</definedName>
    <definedName name="Interpolation_stroke_cost_mask">Calculation!$D$623:$CP$623</definedName>
    <definedName name="IT_MEC_Urban_A">[2]Calcs!$D$261:$I$261</definedName>
    <definedName name="IT_MEC_Urban_Other">[2]Calcs!$D$262:$I$262</definedName>
    <definedName name="Night_impact_mask">Calculation!$C$99</definedName>
    <definedName name="Night_modelling_mask">Calculation!$C$104</definedName>
    <definedName name="Night_noise_impact" localSheetId="2">Calculation!$C$97</definedName>
    <definedName name="Night_noise_impact_in">Input!$D$14</definedName>
    <definedName name="Night_noise_modelling" localSheetId="2">Calculation!$C$102</definedName>
    <definedName name="Night_noise_modelling_in">Input!$D$16</definedName>
    <definedName name="Noise_1.5dB_band_values_table">Calculation!$D$56:$AC$58</definedName>
    <definedName name="Noise_3dB_band_values_table">Calculation!$D$65:$P$66</definedName>
    <definedName name="Noise_3dB_bands">Calculation!$D$283:$Q$283</definedName>
    <definedName name="noise_bands">Calculation!$D$70:$Q$70</definedName>
    <definedName name="Noise_values_1dB_table">Calculation!$D$50:$AQ$52</definedName>
    <definedName name="Noise_values_income_base">Calculation!$C$651</definedName>
    <definedName name="Noise_values_price_base">Calculation!$C$643</definedName>
    <definedName name="Non_fuel_op_cost">'[1]A1.3.15'!$B$26:$E$51</definedName>
    <definedName name="Non_night_impact_mask">Calculation!$C$100</definedName>
    <definedName name="Non_night_modelling_mask">Calculation!$C$105</definedName>
    <definedName name="Opening_without_45_48_with_xx">Calculation!$D$11:$Q$11</definedName>
    <definedName name="Opening_without_45_48_with_xx_amenity_cost">Calculation!$D$399:$Q$399</definedName>
    <definedName name="Opening_without_45_48_with_xx_AMI_cost">Calculation!$D$443:$Q$443</definedName>
    <definedName name="Opening_without_45_48_with_xx_composite_cost">QA!$D$21:$Q$21</definedName>
    <definedName name="Opening_without_45_48_with_xx_cost">Calculation!$D$116:$Q$116</definedName>
    <definedName name="Opening_without_45_48_with_xx_dementia_cost">Calculation!$D$531:$Q$531</definedName>
    <definedName name="Opening_without_45_48_with_xx_in">Input!$D$24:$Q$24</definedName>
    <definedName name="Opening_without_45_48_with_xx_night">Calculation!$D$28:$Q$28</definedName>
    <definedName name="Opening_without_45_48_with_xx_night_in">Input!$D$41:$Q$41</definedName>
    <definedName name="Opening_without_45_48_with_xx_sleep_disturbance_cost">Calculation!$D$355:$Q$355</definedName>
    <definedName name="Opening_without_45_48_with_xx_stroke_cost">Calculation!$D$487:$Q$487</definedName>
    <definedName name="Opening_without_45_with_xx">Calculation!$D$10:$Q$10</definedName>
    <definedName name="Opening_without_45_with_xx_amenity_cost">Calculation!$D$398:$Q$398</definedName>
    <definedName name="Opening_without_45_with_xx_AMI_cost">Calculation!$D$442:$Q$442</definedName>
    <definedName name="Opening_without_45_with_xx_composite_cost">QA!$D$20:$Q$20</definedName>
    <definedName name="Opening_without_45_with_xx_cost">Calculation!#REF!</definedName>
    <definedName name="Opening_without_45_with_xx_dementia_cost">Calculation!$D$530:$Q$530</definedName>
    <definedName name="Opening_without_45_with_xx_in">Input!$D$23:$Q$23</definedName>
    <definedName name="Opening_without_45_with_xx_night">Calculation!$D$27:$Q$27</definedName>
    <definedName name="Opening_without_45_with_xx_night_in">Input!$D$40:$Q$40</definedName>
    <definedName name="Opening_without_45_with_xx_sleep_disturbance_cost">Calculation!$D$354:$Q$354</definedName>
    <definedName name="Opening_without_45_with_xx_stroke_cost">Calculation!$D$486:$Q$486</definedName>
    <definedName name="Opening_without_48_51_with_xx">Calculation!$D$12:$Q$12</definedName>
    <definedName name="Opening_without_48_51_with_xx_amenity_cost">Calculation!$D$400:$Q$400</definedName>
    <definedName name="Opening_without_48_51_with_xx_AMI_cost">Calculation!$D$444:$Q$444</definedName>
    <definedName name="Opening_without_48_51_with_xx_composite_cost">QA!$D$22:$Q$22</definedName>
    <definedName name="Opening_without_48_51_with_xx_cost">Calculation!$D$117:$Q$117</definedName>
    <definedName name="Opening_without_48_51_with_xx_dementia_cost">Calculation!$D$532:$Q$532</definedName>
    <definedName name="Opening_without_48_51_with_xx_in">Input!$D$25:$Q$25</definedName>
    <definedName name="Opening_without_48_51_with_xx_night">Calculation!$D$29:$Q$29</definedName>
    <definedName name="Opening_without_48_51_with_xx_night_in">Input!$D$42:$Q$42</definedName>
    <definedName name="Opening_without_48_51_with_xx_sleep_disturbance_cost">Calculation!$D$356:$Q$356</definedName>
    <definedName name="Opening_without_48_51_with_xx_stroke_cost">Calculation!$D$488:$Q$488</definedName>
    <definedName name="Opening_without_51_54_with_xx">Calculation!$D$13:$Q$13</definedName>
    <definedName name="Opening_without_51_54_with_xx_amenity_cost">Calculation!$D$401:$Q$401</definedName>
    <definedName name="Opening_without_51_54_with_xx_AMI_cost">Calculation!$D$445:$Q$445</definedName>
    <definedName name="Opening_without_51_54_with_xx_composite_cost">QA!$D$23:$Q$23</definedName>
    <definedName name="Opening_without_51_54_with_xx_cost">Calculation!$D$118:$Q$118</definedName>
    <definedName name="Opening_without_51_54_with_xx_dementia_cost">Calculation!$D$533:$Q$533</definedName>
    <definedName name="Opening_without_51_54_with_xx_in">Input!$D$26:$Q$26</definedName>
    <definedName name="Opening_without_51_54_with_xx_night">Calculation!$D$30:$Q$30</definedName>
    <definedName name="Opening_without_51_54_with_xx_night_in">Input!$D$43:$Q$43</definedName>
    <definedName name="Opening_without_51_54_with_xx_sleep_disturbance_cost">Calculation!$D$357:$Q$357</definedName>
    <definedName name="Opening_without_51_54_with_xx_stroke_cost">Calculation!$D$489:$Q$489</definedName>
    <definedName name="Opening_without_54_57_with_xx">Calculation!$D$14:$Q$14</definedName>
    <definedName name="Opening_without_54_57_with_xx_amenity_cost">Calculation!$D$402:$Q$402</definedName>
    <definedName name="Opening_without_54_57_with_xx_AMI_cost">Calculation!$D$446:$Q$446</definedName>
    <definedName name="Opening_without_54_57_with_xx_composite_cost">QA!$D$24:$Q$24</definedName>
    <definedName name="Opening_without_54_57_with_xx_cost">Calculation!#REF!</definedName>
    <definedName name="Opening_without_54_57_with_xx_dementia_cost">Calculation!$D$534:$Q$534</definedName>
    <definedName name="Opening_without_54_57_with_xx_in">Input!$D$27:$Q$27</definedName>
    <definedName name="Opening_without_54_57_with_xx_night">Calculation!$D$31:$Q$31</definedName>
    <definedName name="Opening_without_54_57_with_xx_night_in">Input!$D$44:$Q$44</definedName>
    <definedName name="Opening_without_54_57_with_xx_sleep_disturbance_cost">Calculation!$D$358:$Q$358</definedName>
    <definedName name="Opening_without_54_57_with_xx_stroke_cost">Calculation!$D$490:$Q$490</definedName>
    <definedName name="Opening_without_57_60_with_xx">Calculation!$D$15:$Q$15</definedName>
    <definedName name="Opening_without_57_60_with_xx_amenity_cost">Calculation!$D$403:$Q$403</definedName>
    <definedName name="Opening_without_57_60_with_xx_AMI_cost">Calculation!$D$447:$Q$447</definedName>
    <definedName name="Opening_without_57_60_with_xx_composite_cost">QA!$D$25:$Q$25</definedName>
    <definedName name="Opening_without_57_60_with_xx_cost">Calculation!#REF!</definedName>
    <definedName name="Opening_without_57_60_with_xx_dementia_cost">Calculation!$D$535:$Q$535</definedName>
    <definedName name="Opening_without_57_60_with_xx_in">Input!$D$28:$Q$28</definedName>
    <definedName name="Opening_without_57_60_with_xx_night">Calculation!$D$32:$Q$32</definedName>
    <definedName name="Opening_without_57_60_with_xx_night_in">Input!$D$45:$Q$45</definedName>
    <definedName name="Opening_without_57_60_with_xx_sleep_disturbance_cost">Calculation!$D$359:$Q$359</definedName>
    <definedName name="Opening_without_57_60_with_xx_stroke_cost">Calculation!$D$491:$Q$491</definedName>
    <definedName name="Opening_without_60_63_with_xx">Calculation!$D$16:$Q$16</definedName>
    <definedName name="Opening_without_60_63_with_xx_amenity_cost">Calculation!$D$404:$Q$404</definedName>
    <definedName name="Opening_without_60_63_with_xx_AMI_cost">Calculation!$D$448:$Q$448</definedName>
    <definedName name="Opening_without_60_63_with_xx_composite_cost">QA!$D$26:$Q$26</definedName>
    <definedName name="Opening_without_60_63_with_xx_cost">Calculation!#REF!</definedName>
    <definedName name="Opening_without_60_63_with_xx_dementia_cost">Calculation!$D$536:$Q$536</definedName>
    <definedName name="Opening_without_60_63_with_xx_in">Input!$D$29:$Q$29</definedName>
    <definedName name="Opening_without_60_63_with_xx_night">Calculation!$D$33:$Q$33</definedName>
    <definedName name="Opening_without_60_63_with_xx_night_in">Input!$D$46:$Q$46</definedName>
    <definedName name="Opening_without_60_63_with_xx_sleep_disturbance_cost">Calculation!$D$360:$Q$360</definedName>
    <definedName name="Opening_without_60_63_with_xx_stroke_cost">Calculation!$D$492:$Q$492</definedName>
    <definedName name="Opening_without_63_66_with_xx">Calculation!$D$17:$Q$17</definedName>
    <definedName name="Opening_without_63_66_with_xx_amenity_cost">Calculation!$D$405:$Q$405</definedName>
    <definedName name="Opening_without_63_66_with_xx_AMI_cost">Calculation!$D$449:$Q$449</definedName>
    <definedName name="Opening_without_63_66_with_xx_composite_cost">QA!$D$27:$Q$27</definedName>
    <definedName name="Opening_without_63_66_with_xx_cost">Calculation!#REF!</definedName>
    <definedName name="Opening_without_63_66_with_xx_dementia_cost">Calculation!$D$537:$Q$537</definedName>
    <definedName name="Opening_without_63_66_with_xx_in">Input!$D$30:$Q$30</definedName>
    <definedName name="Opening_without_63_66_with_xx_night">Calculation!$D$34:$Q$34</definedName>
    <definedName name="Opening_without_63_66_with_xx_night_in">Input!$D$47:$Q$47</definedName>
    <definedName name="Opening_without_63_66_with_xx_sleep_disturbance_cost">Calculation!$D$361:$Q$361</definedName>
    <definedName name="Opening_without_63_66_with_xx_stroke_cost">Calculation!$D$493:$Q$493</definedName>
    <definedName name="Opening_without_66_69_with_xx">Calculation!$D$18:$Q$18</definedName>
    <definedName name="Opening_without_66_69_with_xx_amenity_cost">Calculation!$D$406:$Q$406</definedName>
    <definedName name="Opening_without_66_69_with_xx_AMI_cost">Calculation!$D$450:$Q$450</definedName>
    <definedName name="Opening_without_66_69_with_xx_composite_cost">QA!$D$28:$Q$28</definedName>
    <definedName name="Opening_without_66_69_with_xx_cost">Calculation!#REF!</definedName>
    <definedName name="Opening_without_66_69_with_xx_dementia_cost">Calculation!$D$538:$Q$538</definedName>
    <definedName name="Opening_without_66_69_with_xx_in">Input!$D$31:$Q$31</definedName>
    <definedName name="Opening_without_66_69_with_xx_night">Calculation!$D$35:$Q$35</definedName>
    <definedName name="Opening_without_66_69_with_xx_night_in">Input!$D$48:$Q$48</definedName>
    <definedName name="Opening_without_66_69_with_xx_sleep_disturbance_cost">Calculation!$D$362:$Q$362</definedName>
    <definedName name="Opening_without_66_69_with_xx_stroke_cost">Calculation!$D$494:$Q$494</definedName>
    <definedName name="Opening_without_69_72_with_xx">Calculation!$D$19:$Q$19</definedName>
    <definedName name="Opening_without_69_72_with_xx_amenity_cost">Calculation!$D$407:$Q$407</definedName>
    <definedName name="Opening_without_69_72_with_xx_AMI_cost">Calculation!$D$451:$Q$451</definedName>
    <definedName name="Opening_without_69_72_with_xx_composite_cost">QA!$D$29:$Q$29</definedName>
    <definedName name="Opening_without_69_72_with_xx_cost">Calculation!$D$135:$Q$135</definedName>
    <definedName name="Opening_without_69_72_with_xx_dementia_cost">Calculation!$D$539:$Q$539</definedName>
    <definedName name="Opening_without_69_72_with_xx_in">Input!$D$32:$Q$32</definedName>
    <definedName name="Opening_without_69_72_with_xx_night">Calculation!$D$36:$Q$36</definedName>
    <definedName name="Opening_without_69_72_with_xx_night_in">Input!$D$49:$Q$49</definedName>
    <definedName name="Opening_without_69_72_with_xx_sleep_disturbance_cost">Calculation!$D$363:$Q$363</definedName>
    <definedName name="Opening_without_69_72_with_xx_stroke_cost">Calculation!$D$495:$Q$495</definedName>
    <definedName name="Opening_without_72_75_with_xx">Calculation!$D$20:$Q$20</definedName>
    <definedName name="Opening_without_72_75_with_xx_amenity_cost">Calculation!$D$408:$Q$408</definedName>
    <definedName name="Opening_without_72_75_with_xx_AMI_cost">Calculation!$D$452:$Q$452</definedName>
    <definedName name="Opening_without_72_75_with_xx_composite_cost">QA!$D$30:$Q$30</definedName>
    <definedName name="Opening_without_72_75_with_xx_cost">Calculation!$D$136:$Q$136</definedName>
    <definedName name="Opening_without_72_75_with_xx_dementia_cost">Calculation!$D$540:$Q$540</definedName>
    <definedName name="Opening_without_72_75_with_xx_in">Input!$D$33:$Q$33</definedName>
    <definedName name="Opening_without_72_75_with_xx_night">Calculation!$D$37:$Q$37</definedName>
    <definedName name="Opening_without_72_75_with_xx_night_in">Input!$D$50:$Q$50</definedName>
    <definedName name="Opening_without_72_75_with_xx_sleep_disturbance_cost">Calculation!$D$364:$Q$364</definedName>
    <definedName name="Opening_without_72_75_with_xx_stroke_cost">Calculation!$D$496:$Q$496</definedName>
    <definedName name="Opening_without_75_78_with_xx">Calculation!$D$21:$Q$21</definedName>
    <definedName name="Opening_without_75_78_with_xx_amenity_cost">Calculation!$D$409:$Q$409</definedName>
    <definedName name="Opening_without_75_78_with_xx_AMI_cost">Calculation!$D$453:$Q$453</definedName>
    <definedName name="Opening_without_75_78_with_xx_composite_cost">QA!$D$31:$Q$31</definedName>
    <definedName name="Opening_without_75_78_with_xx_cost">Calculation!$D$137:$Q$137</definedName>
    <definedName name="Opening_without_75_78_with_xx_dementia_cost">Calculation!$D$541:$Q$541</definedName>
    <definedName name="Opening_without_75_78_with_xx_in">Input!$D$34:$Q$34</definedName>
    <definedName name="Opening_without_75_78_with_xx_night">Calculation!$D$38:$Q$38</definedName>
    <definedName name="Opening_without_75_78_with_xx_night_in">Input!$D$51:$Q$51</definedName>
    <definedName name="Opening_without_75_78_with_xx_sleep_disturbance_cost">Calculation!$D$365:$Q$365</definedName>
    <definedName name="Opening_without_75_78_with_xx_stroke_cost">Calculation!$D$497:$Q$497</definedName>
    <definedName name="Opening_without_78_81_with_xx">Calculation!$D$22:$Q$22</definedName>
    <definedName name="Opening_without_78_81_with_xx_amenity_cost">Calculation!$D$410:$Q$410</definedName>
    <definedName name="Opening_without_78_81_with_xx_AMI_cost">Calculation!$D$454:$Q$454</definedName>
    <definedName name="Opening_without_78_81_with_xx_composite_cost">QA!$D$32:$Q$32</definedName>
    <definedName name="Opening_without_78_81_with_xx_cost">Calculation!$D$138:$Q$138</definedName>
    <definedName name="Opening_without_78_81_with_xx_dementia_cost">Calculation!$D$542:$Q$542</definedName>
    <definedName name="Opening_without_78_81_with_xx_in">Input!$D$35:$Q$35</definedName>
    <definedName name="Opening_without_78_81_with_xx_night">Calculation!$D$39:$Q$39</definedName>
    <definedName name="Opening_without_78_81_with_xx_night_in">Input!$D$52:$Q$52</definedName>
    <definedName name="Opening_without_78_81_with_xx_sleep_disturbance_cost">Calculation!$D$366:$Q$366</definedName>
    <definedName name="Opening_without_78_81_with_xx_stroke_cost">Calculation!$D$498:$Q$498</definedName>
    <definedName name="Opening_without_81_with_xx">Calculation!$D$23:$Q$23</definedName>
    <definedName name="Opening_without_81_with_xx_amenity_cost">Calculation!$D$411:$Q$411</definedName>
    <definedName name="Opening_without_81_with_xx_AMI_cost">Calculation!$D$455:$Q$455</definedName>
    <definedName name="Opening_without_81_with_xx_composite_cost">QA!$D$33:$Q$33</definedName>
    <definedName name="Opening_without_81_with_xx_cost">Calculation!$D$139:$Q$139</definedName>
    <definedName name="Opening_without_81_with_xx_dementia_cost">Calculation!$D$543:$Q$543</definedName>
    <definedName name="Opening_without_81_with_xx_in">Input!$D$36:$Q$36</definedName>
    <definedName name="Opening_without_81_with_xx_night">Calculation!$D$40:$Q$40</definedName>
    <definedName name="Opening_without_81_with_xx_night_in">Input!$D$53:$Q$53</definedName>
    <definedName name="Opening_without_81_with_xx_sleep_disturbance_cost">Calculation!$D$367:$Q$367</definedName>
    <definedName name="Opening_without_81_with_xx_stroke_cost">Calculation!$D$499:$Q$499</definedName>
    <definedName name="Opening_year">Calculation!$C$574</definedName>
    <definedName name="Opening_year_amenity_cost">Calculation!$C$413</definedName>
    <definedName name="Opening_year_amenity_cost_mask">Calculation!$D$603:$CP$603</definedName>
    <definedName name="Opening_year_AMI_cost">Calculation!$C$457</definedName>
    <definedName name="Opening_year_AMI_cost_mask">Calculation!$D$612:$CP$612</definedName>
    <definedName name="Opening_year_composite_cost">QA!$C$35</definedName>
    <definedName name="Opening_year_dementia_cost">Calculation!$C$545</definedName>
    <definedName name="Opening_year_dementia_cost_mask">Calculation!$D$630:$CP$630</definedName>
    <definedName name="Opening_year_in">Input!$D$7</definedName>
    <definedName name="Opening_year_mask">Calculation!$D$575:$CP$575</definedName>
    <definedName name="Opening_year_noise_cost_mask">Calculation!$D$198:$CP$198</definedName>
    <definedName name="Opening_year_sleep_disturbance_cost">Calculation!$C$369</definedName>
    <definedName name="Opening_year_sleep_disturbance_cost_mask">Calculation!$D$594:$CP$594</definedName>
    <definedName name="Opening_year_stroke_cost">Calculation!$C$501</definedName>
    <definedName name="Opening_year_stroke_cost_mask">Calculation!$D$621:$CP$621</definedName>
    <definedName name="Outputs_price_base">Calculation!$C$646</definedName>
    <definedName name="Parameters">#REF!</definedName>
    <definedName name="Price_adjustment">Calculation!$C$649</definedName>
    <definedName name="Price_base_outputs_in">Input!$D$143</definedName>
    <definedName name="Price_base_values">Calculation!$C$646</definedName>
    <definedName name="Price_base_values_in">Input!$D$94</definedName>
    <definedName name="Price_Yr">'[1]Default Pars'!$M$12:$M$62</definedName>
    <definedName name="PV_base_year">Calculation!$C$682</definedName>
    <definedName name="PV_base_year_in">Input!$D$142</definedName>
    <definedName name="Rail_Lnight_mask">Calculation!$C$112</definedName>
    <definedName name="Rail_mask">Calculation!$C$94</definedName>
    <definedName name="Repro_IT_MEC_Ave">[2]Calcs!$D$316:$I$316</definedName>
    <definedName name="Repro_IT_MEC_Con_A">[2]Calcs!$D$309:$I$309</definedName>
    <definedName name="Repro_IT_MEC_Con_Mway">[2]Calcs!$D$308:$I$308</definedName>
    <definedName name="Repro_IT_MEC_Con_Other">[2]Calcs!$D$310:$I$310</definedName>
    <definedName name="Repro_IT_MEC_Lon_A">[2]Calcs!$D$306:$I$306</definedName>
    <definedName name="Repro_IT_MEC_Lon_Mway">[2]Calcs!$D$305:$I$305</definedName>
    <definedName name="Repro_IT_MEC_Lon_Other">[2]Calcs!$D$307:$I$307</definedName>
    <definedName name="Repro_IT_MEC_Rural_A">[2]Calcs!$D$314:$I$314</definedName>
    <definedName name="Repro_IT_MEC_Rural_Mway">[2]Calcs!$D$313:$I$313</definedName>
    <definedName name="Repro_IT_MEC_Rural_Other">[2]Calcs!$D$315:$I$315</definedName>
    <definedName name="Repro_IT_MEC_Urban_A">[2]Calcs!$D$311:$I$311</definedName>
    <definedName name="Repro_IT_MEC_Urban_Other">[2]Calcs!$D$312:$I$312</definedName>
    <definedName name="Road_L16h_mask">Calculation!$C$114</definedName>
    <definedName name="Road_Lnight_mask">Calculation!$C$111</definedName>
    <definedName name="Road_mask">Calculation!$C$93</definedName>
    <definedName name="S_d_1_to_3_dB_band_45">Calculation!$D$121:$AQ$121</definedName>
    <definedName name="S_d_1_to_3_dB_band_45_48">Calculation!$D$122:$AQ$122</definedName>
    <definedName name="S_d_1_to_3_dB_band_48_51">Calculation!$D$123:$AQ$123</definedName>
    <definedName name="S_d_1_to_3_dB_band_51_54">Calculation!$D$124:$AQ$124</definedName>
    <definedName name="S_d_1_to_3_dB_band_54_57">Calculation!$D$125:$AQ$125</definedName>
    <definedName name="S_d_1_to_3_dB_band_57_60">Calculation!$D$126:$AQ$126</definedName>
    <definedName name="S_d_1_to_3_dB_band_60_63">Calculation!$D$127:$AQ$127</definedName>
    <definedName name="S_d_1_to_3_dB_band_63_66">Calculation!$D$128:$AQ$128</definedName>
    <definedName name="S_d_1_to_3_dB_band_66_69">Calculation!$D$129:$AQ$129</definedName>
    <definedName name="S_d_1_to_3_dB_band_69_72">Calculation!$D$130:$AQ$130</definedName>
    <definedName name="S_d_1_to_3_dB_band_72_75">Calculation!$D$131:$AQ$131</definedName>
    <definedName name="S_d_1_to_3_dB_band_75_78">Calculation!$D$132:$AQ$132</definedName>
    <definedName name="S_d_1_to_3_dB_band_78_81">Calculation!$D$133:$AQ$133</definedName>
    <definedName name="Scheme_name_in">Input!$D$6:$H$6</definedName>
    <definedName name="Scheme_type" localSheetId="2">Calculation!$C$91</definedName>
    <definedName name="Scheme_type_in">Input!$D$9</definedName>
    <definedName name="Sleep_disturbance_metric">Calculation!$B$116</definedName>
    <definedName name="Sleep_disturbance_values_1dB_table">Calculation!$D$118:$AQ$118</definedName>
    <definedName name="Sleep_disturbance_values_3dB_table">Calculation!$D$136:$P$137</definedName>
    <definedName name="Sleep_disturbance_values_aviation_1dB_in">Input!$D$135:$AQ$135</definedName>
    <definedName name="Sleep_disturbance_values_aviation_1dB_night">Calculation!$D$113:$AQ$113</definedName>
    <definedName name="Sleep_disturbance_values_aviation_1dB_night_in">Input!$D$135:$AQ$135</definedName>
    <definedName name="Sleep_disturbance_values_rail_1dB_in">Input!$D$122:$AQ$122</definedName>
    <definedName name="Sleep_disturbance_values_rail_1dB_night">Calculation!$D$112:$AQ$112</definedName>
    <definedName name="Sleep_disturbance_values_rail_1dB_night_in">Input!$D$122:$AQ$122</definedName>
    <definedName name="Sleep_disturbance_values_road_1dB_16hr">Calculation!$D$114:$AQ$114</definedName>
    <definedName name="Sleep_disturbance_values_road_1dB_16hr_in">Input!$D$101:$AQ$101</definedName>
    <definedName name="Sleep_disturbance_values_road_1dB_in">Input!$D$101:$AQ$101</definedName>
    <definedName name="Sleep_disturbance_values_road_1dB_night">Calculation!$D$111:$AQ$111</definedName>
    <definedName name="Sleep_disturbance_values_road_1dB_night_in">Input!$D$109:$AQ$109</definedName>
    <definedName name="stroke_1_to_3_dB_band_45">Calculation!$D$265:$AQ$265</definedName>
    <definedName name="stroke_1_to_3_dB_band_45_48">Calculation!$D$266:$AQ$266</definedName>
    <definedName name="stroke_1_to_3_dB_band_48_51">Calculation!$D$267:$AQ$267</definedName>
    <definedName name="stroke_1_to_3_dB_band_51_54">Calculation!$D$268:$AQ$268</definedName>
    <definedName name="stroke_1_to_3_dB_band_54_57">Calculation!$D$269:$AQ$269</definedName>
    <definedName name="stroke_1_to_3_dB_band_57_60">Calculation!$D$270:$AQ$270</definedName>
    <definedName name="stroke_1_to_3_dB_band_60_63">Calculation!$D$271:$AQ$271</definedName>
    <definedName name="stroke_1_to_3_dB_band_63_66">Calculation!$D$272:$AQ$272</definedName>
    <definedName name="stroke_1_to_3_dB_band_66_69">Calculation!$D$273:$AQ$273</definedName>
    <definedName name="stroke_1_to_3_dB_band_69_72">Calculation!$D$274:$AQ$274</definedName>
    <definedName name="stroke_1_to_3_dB_band_72_75">Calculation!$D$275:$AQ$275</definedName>
    <definedName name="stroke_1_to_3_dB_band_75_78">Calculation!$D$276:$AQ$276</definedName>
    <definedName name="stroke_1_to_3_dB_band_78_81">Calculation!$D$277:$AQ$277</definedName>
    <definedName name="Stroke_values_1dB_table">Calculation!$D$262:$AQ$262</definedName>
    <definedName name="Stroke_values_3dB_table">Calculation!$D$280:$P$281</definedName>
    <definedName name="Stroke_values_aviation_1dB">Calculation!$D$258:$AQ$258</definedName>
    <definedName name="Stroke_values_aviation_1dB_in">Input!$D$130:$AQ$130</definedName>
    <definedName name="Stroke_values_rail_1dB">Calculation!$D$257:$AQ$257</definedName>
    <definedName name="Stroke_values_rail_1dB_in">Input!$D$117:$AQ$117</definedName>
    <definedName name="Stroke_values_road_1dB">Calculation!$D$256:$AQ$256</definedName>
    <definedName name="Stroke_values_road_1dB_in">Input!$D$104:$AQ$104</definedName>
    <definedName name="Total_annual_amenity_cost">Calculation!$D$607:$CP$607</definedName>
    <definedName name="Total_annual_AMI_cost">Calculation!$D$616:$CP$616</definedName>
    <definedName name="Total_annual_dementia_cost">Calculation!$D$634:$CP$634</definedName>
    <definedName name="Total_annual_noise_cost">Calculation!$D$200:$CP$200</definedName>
    <definedName name="Total_annual_sleep_disturbance_cost">Calculation!$D$598:$CP$598</definedName>
    <definedName name="Total_annual_stroke_cost">Calculation!$D$625:$CP$625</definedName>
    <definedName name="Total_discounted_amenity_valuation">Calculation!$D$716</definedName>
    <definedName name="Total_discounted_AMI_valuation">Calculation!$D$717</definedName>
    <definedName name="Total_discounted_dementia_valuation">Calculation!$D$719</definedName>
    <definedName name="Total_discounted_sleep_disturbance_valuation">Calculation!$D$715</definedName>
    <definedName name="Total_discounted_stroke_valuation">Calculation!$D$718</definedName>
    <definedName name="Total_HH_increase_day">Calculation!$D$84</definedName>
    <definedName name="Total_HH_increase_night">Calculation!$D$86</definedName>
    <definedName name="Total_HH_reduction_day">Calculation!$D$85</definedName>
    <definedName name="Total_HH_reduction_night">Calculation!$D$87</definedName>
    <definedName name="Total_noise_net_present_value">Calculation!$D$723</definedName>
    <definedName name="Uprating_table">Calculation!$D$638:$XFD$640</definedName>
    <definedName name="Without_45_48_with_45_48_amenity_value">Calculation!$E$190</definedName>
    <definedName name="Without_45_48_with_45_48_AMI_value">Calculation!$E$238</definedName>
    <definedName name="Without_45_48_with_45_48_Dementia_value" localSheetId="2">Calculation!$E$334</definedName>
    <definedName name="without_45_48_with_45_48_sleep_disturbance_value">Calculation!$F$142</definedName>
    <definedName name="Without_45_48_with_45_48_stroke_value">Calculation!$E$286</definedName>
    <definedName name="Without_45_48_with_45_amenity_value">Calculation!$D$190</definedName>
    <definedName name="Without_45_48_with_45_AMI_value">Calculation!$D$238</definedName>
    <definedName name="Without_45_48_with_45_Dementia_value" localSheetId="2">Calculation!$D$334</definedName>
    <definedName name="Without_45_48_with_45_stroke_value">Calculation!$D$286</definedName>
    <definedName name="Without_45_48_with_48_51_amenity_value">Calculation!$F$190</definedName>
    <definedName name="Without_45_48_with_48_51_AMI_value">Calculation!$F$238</definedName>
    <definedName name="Without_45_48_with_48_51_Dementia_value" localSheetId="2">Calculation!$F$334</definedName>
    <definedName name="Without_45_48_with_48_51_sleep_disturbance_value">Calculation!$F$142</definedName>
    <definedName name="Without_45_48_with_48_51_stroke_value">Calculation!$F$286</definedName>
    <definedName name="Without_45_48_with_51_54_amenity_value">Calculation!$G$190</definedName>
    <definedName name="Without_45_48_with_51_54_AMI_value">Calculation!$G$238</definedName>
    <definedName name="Without_45_48_with_51_54_Dementia_value" localSheetId="2">Calculation!$G$334</definedName>
    <definedName name="Without_45_48_with_51_54_sleep_disturbance_value">Calculation!$G$142</definedName>
    <definedName name="Without_45_48_with_51_54_stroke_value">Calculation!$G$286</definedName>
    <definedName name="Without_45_48_with_54_57_amenity_value">Calculation!$H$190</definedName>
    <definedName name="Without_45_48_with_54_57_AMI_value">Calculation!$H$238</definedName>
    <definedName name="Without_45_48_with_54_57_Dementia_value" localSheetId="2">Calculation!$H$334</definedName>
    <definedName name="Without_45_48_with_54_57_sleep_disturbance_value">Calculation!$H$142</definedName>
    <definedName name="Without_45_48_with_54_57_stroke_value">Calculation!$H$286</definedName>
    <definedName name="Without_45_48_with_57_60_amenity_value">Calculation!$I$190</definedName>
    <definedName name="Without_45_48_with_57_60_AMI_value">Calculation!$I$238</definedName>
    <definedName name="Without_45_48_with_57_60_Dementia_value" localSheetId="2">Calculation!$I$334</definedName>
    <definedName name="Without_45_48_with_57_60_sleep_disturbance_value">Calculation!$I$142</definedName>
    <definedName name="Without_45_48_with_57_60_stroke_value">Calculation!$I$286</definedName>
    <definedName name="Without_45_48_with_60_63_amenity_value">Calculation!$J$190</definedName>
    <definedName name="Without_45_48_with_60_63_AMI_value">Calculation!$J$238</definedName>
    <definedName name="Without_45_48_with_60_63_Dementia_value" localSheetId="2">Calculation!$J$334</definedName>
    <definedName name="Without_45_48_with_60_63_sleep_disturbance_value">Calculation!$J$142</definedName>
    <definedName name="Without_45_48_with_60_63_stroke_value">Calculation!$J$286</definedName>
    <definedName name="Without_45_48_with_63_66_amenity_value">Calculation!$K$190</definedName>
    <definedName name="Without_45_48_with_63_66_AMI_value">Calculation!$K$238</definedName>
    <definedName name="Without_45_48_with_63_66_Dementia_value" localSheetId="2">Calculation!$K$334</definedName>
    <definedName name="Without_45_48_with_63_66_sleep_disturbance_value">Calculation!$K$142</definedName>
    <definedName name="Without_45_48_with_63_66_stroke_value">Calculation!$K$286</definedName>
    <definedName name="Without_45_48_with_66_69_amenity_value">Calculation!$L$190</definedName>
    <definedName name="Without_45_48_with_66_69_AMI_value">Calculation!$L$238</definedName>
    <definedName name="Without_45_48_with_66_69_Dementia_value" localSheetId="2">Calculation!$L$334</definedName>
    <definedName name="Without_45_48_with_66_69_sleep_disturbance_value">Calculation!$L$142</definedName>
    <definedName name="Without_45_48_with_66_69_stroke_value">Calculation!$L$286</definedName>
    <definedName name="Without_45_48_with_69_72_amenity_value">Calculation!$M$190</definedName>
    <definedName name="Without_45_48_with_69_72_AMI_value">Calculation!$M$238</definedName>
    <definedName name="Without_45_48_with_69_72_Dementia_value" localSheetId="2">Calculation!$M$334</definedName>
    <definedName name="Without_45_48_with_69_72_sleep_disturbance_value">Calculation!$M$142</definedName>
    <definedName name="Without_45_48_with_69_72_stroke_value">Calculation!$M$286</definedName>
    <definedName name="Without_45_48_with_72_75_amenity_value">Calculation!$N$190</definedName>
    <definedName name="Without_45_48_with_72_75_AMI_value">Calculation!$N$238</definedName>
    <definedName name="Without_45_48_with_72_75_Dementia_value" localSheetId="2">Calculation!$N$334</definedName>
    <definedName name="Without_45_48_with_72_75_sleep_disturbance_value">Calculation!$N$142</definedName>
    <definedName name="Without_45_48_with_72_75_stroke_value">Calculation!$N$286</definedName>
    <definedName name="Without_45_48_with_75_78_amenity_value">Calculation!$O$190</definedName>
    <definedName name="Without_45_48_with_75_78_AMI_value">Calculation!$O$238</definedName>
    <definedName name="Without_45_48_with_75_78_Dementia_value" localSheetId="2">Calculation!$O$334</definedName>
    <definedName name="Without_45_48_with_75_78_sleep_disturbance_value">Calculation!$O$142</definedName>
    <definedName name="Without_45_48_with_75_78_stroke_value">Calculation!$O$286</definedName>
    <definedName name="Without_45_48_with_78_81_amenity_value">Calculation!$P$190</definedName>
    <definedName name="Without_45_48_with_78_81_AMI_value">Calculation!$P$238</definedName>
    <definedName name="Without_45_48_with_78_81_Dementia_value" localSheetId="2">Calculation!$P$334</definedName>
    <definedName name="Without_45_48_with_78_81_sleep_disturbance_value">Calculation!$P$142</definedName>
    <definedName name="Without_45_48_with_78_81_stroke_value">Calculation!$P$286</definedName>
    <definedName name="Without_45_48_with_81_amenity_value">Calculation!$Q$190</definedName>
    <definedName name="Without_45_48_with_81_AMI_value">Calculation!$Q$238</definedName>
    <definedName name="Without_45_48_with_81_Dementia_value" localSheetId="2">Calculation!$Q$334</definedName>
    <definedName name="Without_45_48_with_81_sleep_disturbance_value">Calculation!$Q$142</definedName>
    <definedName name="Without_45_48_with_81_stroke_value">Calculation!$Q$286</definedName>
    <definedName name="Without_45_48_with_xx_amenity_value">Calculation!$D$190:$Q$190</definedName>
    <definedName name="Without_45_48_with_xx_AMI_value">Calculation!$D$238:$Q$238</definedName>
    <definedName name="Without_45_48_with_xx_composite_value">QA!$D$4:$Q$4</definedName>
    <definedName name="Without_45_48_with_xx_dementia_value">Calculation!$D$334:$Q$334</definedName>
    <definedName name="Without_45_48_with_xx_sleep_disturbance_value">Calculation!$D$142:$Q$142</definedName>
    <definedName name="Without_45_48_with_xx_stroke_value">Calculation!$D$286:$Q$286</definedName>
    <definedName name="Without_45_48_with_xx_value">Calculation!$D$73:$Q$73</definedName>
    <definedName name="Without_45_with_45_48_amenity_value">Calculation!$E$189</definedName>
    <definedName name="Without_45_with_45_48_AMI_value">Calculation!$E$237</definedName>
    <definedName name="Without_45_with_45_48_Dementia_value" localSheetId="2">Calculation!$E$333</definedName>
    <definedName name="Without_45_with_45_48_sleep_disturbance_value">Calculation!$E$141</definedName>
    <definedName name="Without_45_with_45_48_stroke_value">Calculation!$E$285</definedName>
    <definedName name="Without_45_with_45_amenity_value">Calculation!$D$189</definedName>
    <definedName name="Without_45_with_45_AMI_value">Calculation!$D$237</definedName>
    <definedName name="Without_45_with_45_Dementia_value" localSheetId="2">Calculation!$D$333</definedName>
    <definedName name="Without_45_with_45_stroke_value">Calculation!$D$285</definedName>
    <definedName name="Without_45_with_48_51_amenity_value">Calculation!$F$189</definedName>
    <definedName name="Without_45_with_48_51_AMI_value">Calculation!$F$237</definedName>
    <definedName name="Without_45_with_48_51_Dementia_value" localSheetId="2">Calculation!$F$333</definedName>
    <definedName name="Without_45_with_48_51_sleep_disturbance_value">Calculation!$F$141</definedName>
    <definedName name="Without_45_with_48_51_stroke_value">Calculation!$F$285</definedName>
    <definedName name="Without_45_with_51_54_amenity_value">Calculation!$G$189</definedName>
    <definedName name="Without_45_with_51_54_AMI_value">Calculation!$G$237</definedName>
    <definedName name="Without_45_with_51_54_Dementia_value" localSheetId="2">Calculation!$G$333</definedName>
    <definedName name="Without_45_with_51_54_sleep_disturbance_value">Calculation!$G$141</definedName>
    <definedName name="Without_45_with_51_54_stroke_value">Calculation!$G$285</definedName>
    <definedName name="Without_45_with_54_57_amenity_value">Calculation!$H$189</definedName>
    <definedName name="Without_45_with_54_57_AMI_value">Calculation!$H$237</definedName>
    <definedName name="Without_45_with_54_57_Dementia_value" localSheetId="2">Calculation!$H$333</definedName>
    <definedName name="Without_45_with_54_57_sleep_disturbance_value">Calculation!$H$141</definedName>
    <definedName name="Without_45_with_54_57_stroke_value">Calculation!$H$285</definedName>
    <definedName name="Without_45_with_57_60_amenity_value">Calculation!$I$189</definedName>
    <definedName name="Without_45_with_57_60_AMI_value">Calculation!$I$237</definedName>
    <definedName name="Without_45_with_57_60_Dementia_value" localSheetId="2">Calculation!$I$333</definedName>
    <definedName name="Without_45_with_57_60_sleep_disturbance_value">Calculation!$I$141</definedName>
    <definedName name="Without_45_with_57_60_stroke_value">Calculation!$I$285</definedName>
    <definedName name="Without_45_with_60_63_amenity_value">Calculation!$J$189</definedName>
    <definedName name="Without_45_with_60_63_AMI_value">Calculation!$J$237</definedName>
    <definedName name="Without_45_with_60_63_Dementia_value" localSheetId="2">Calculation!$J$333</definedName>
    <definedName name="Without_45_with_60_63_sleep_disturbance_value">Calculation!$J$141</definedName>
    <definedName name="Without_45_with_60_63_stroke_value">Calculation!$J$285</definedName>
    <definedName name="Without_45_with_63_66_amenity_value">Calculation!$K$189</definedName>
    <definedName name="Without_45_with_63_66_AMI_value">Calculation!$K$237</definedName>
    <definedName name="Without_45_with_63_66_Dementia_value" localSheetId="2">Calculation!$K$333</definedName>
    <definedName name="Without_45_with_63_66_sleep_disturbance_value">Calculation!$K$141</definedName>
    <definedName name="Without_45_with_63_66_stroke_value">Calculation!$K$285</definedName>
    <definedName name="Without_45_with_66_69_amenity_value">Calculation!$L$189</definedName>
    <definedName name="Without_45_with_66_69_AMI_value">Calculation!$L$237</definedName>
    <definedName name="Without_45_with_66_69_Dementia_value" localSheetId="2">Calculation!$L$333</definedName>
    <definedName name="Without_45_with_66_69_sleep_disturbance_value">Calculation!$L$141</definedName>
    <definedName name="Without_45_with_66_69_stroke_value">Calculation!$L$285</definedName>
    <definedName name="Without_45_with_69_72_amenity_value">Calculation!$M$189</definedName>
    <definedName name="Without_45_with_69_72_AMI_value">Calculation!$M$237</definedName>
    <definedName name="Without_45_with_69_72_Dementia_value" localSheetId="2">Calculation!$M$333</definedName>
    <definedName name="Without_45_with_69_72_sleep_disturbance_value">Calculation!$M$141</definedName>
    <definedName name="Without_45_with_69_72_stroke_value">Calculation!$M$285</definedName>
    <definedName name="Without_45_with_72_75_amenity_value">Calculation!$N$189</definedName>
    <definedName name="Without_45_with_72_75_AMI_value">Calculation!$N$237</definedName>
    <definedName name="Without_45_with_72_75_Dementia_value" localSheetId="2">Calculation!$N$333</definedName>
    <definedName name="Without_45_with_72_75_sleep_disturbance_value">Calculation!$N$141</definedName>
    <definedName name="Without_45_with_72_75_stroke_value">Calculation!$N$285</definedName>
    <definedName name="Without_45_with_75_78_amenity_value">Calculation!$O$189</definedName>
    <definedName name="Without_45_with_75_78_AMI_value">Calculation!$O$237</definedName>
    <definedName name="Without_45_with_75_78_Dementia_value" localSheetId="2">Calculation!$O$333</definedName>
    <definedName name="Without_45_with_75_78_sleep_disturbance_value">Calculation!$O$141</definedName>
    <definedName name="Without_45_with_75_78_stroke_value">Calculation!$O$285</definedName>
    <definedName name="Without_45_with_78_81_amenity_value">Calculation!$P$189</definedName>
    <definedName name="Without_45_with_78_81_AMI_value">Calculation!$P$237</definedName>
    <definedName name="Without_45_with_78_81_Dementia_value" localSheetId="2">Calculation!$P$333</definedName>
    <definedName name="Without_45_with_78_81_sleep_disturbance_value">Calculation!$P$141</definedName>
    <definedName name="Without_45_with_78_81_stroke_value">Calculation!$P$285</definedName>
    <definedName name="Without_45_with_81_amenity_value">Calculation!$Q$189</definedName>
    <definedName name="Without_45_with_81_AMI_value">Calculation!$Q$237</definedName>
    <definedName name="Without_45_with_81_Dementia_value" localSheetId="2">Calculation!$Q$333</definedName>
    <definedName name="Without_45_with_81_sleep_disturbance_value">Calculation!$Q$141</definedName>
    <definedName name="Without_45_with_81_stroke_value">Calculation!$Q$285</definedName>
    <definedName name="Without_45_with_xx_amenity_value">Calculation!$D$189:$Q$189</definedName>
    <definedName name="Without_45_with_xx_AMI_value">Calculation!$D$237:$Q$237</definedName>
    <definedName name="Without_45_with_xx_composite_value">QA!$D$3:$Q$3</definedName>
    <definedName name="Without_45_with_xx_dementia_value">Calculation!$D$333:$Q$333</definedName>
    <definedName name="Without_45_with_xx_sleep_disturbance_value">Calculation!$D$141:$Q$141</definedName>
    <definedName name="Without_45_with_xx_stroke_value">Calculation!$D$285:$Q$285</definedName>
    <definedName name="Without_45_with_xx_value">Calculation!$D$72:$Q$72</definedName>
    <definedName name="Without_48_51_with_45_48_amenity_value">Calculation!$E$191</definedName>
    <definedName name="Without_48_51_with_45_48_AMI_value">Calculation!$E$239</definedName>
    <definedName name="Without_48_51_with_45_48_Dementia_value" localSheetId="2">Calculation!$E$335</definedName>
    <definedName name="Without_48_51_with_45_48_stroke_value">Calculation!$E$287</definedName>
    <definedName name="Without_48_51_with_45_amenity_value">Calculation!$D$191</definedName>
    <definedName name="Without_48_51_with_45_AMI_value">Calculation!$D$239</definedName>
    <definedName name="Without_48_51_with_45_Dementia_value" localSheetId="2">Calculation!$D$335</definedName>
    <definedName name="Without_48_51_with_45_stroke_value">Calculation!$D$287</definedName>
    <definedName name="Without_48_51_with_48_51_amenity_value">Calculation!$F$191</definedName>
    <definedName name="Without_48_51_with_48_51_AMI_value">Calculation!$F$239</definedName>
    <definedName name="Without_48_51_with_48_51_Dementia_value" localSheetId="2">Calculation!$F$335</definedName>
    <definedName name="Without_48_51_with_48_51_stroke_value">Calculation!$F$287</definedName>
    <definedName name="Without_48_51_with_51_54_amenity_value">Calculation!$G$191</definedName>
    <definedName name="Without_48_51_with_51_54_AMI_value">Calculation!$G$239</definedName>
    <definedName name="Without_48_51_with_51_54_Dementia_value" localSheetId="2">Calculation!$G$335</definedName>
    <definedName name="Without_48_51_with_51_54_sleep_disturbance_value">Calculation!$G$143</definedName>
    <definedName name="Without_48_51_with_51_54_stroke_value">Calculation!$G$287</definedName>
    <definedName name="Without_48_51_with_54_57_amenity_value">Calculation!$H$191</definedName>
    <definedName name="Without_48_51_with_54_57_AMI_value">Calculation!$H$239</definedName>
    <definedName name="Without_48_51_with_54_57_Dementia_value" localSheetId="2">Calculation!$H$335</definedName>
    <definedName name="Without_48_51_with_54_57_sleep_disturbance_value">Calculation!$H$143</definedName>
    <definedName name="Without_48_51_with_54_57_stroke_value">Calculation!$H$287</definedName>
    <definedName name="Without_48_51_with_57_60_amenity_value">Calculation!$I$191</definedName>
    <definedName name="Without_48_51_with_57_60_AMI_value">Calculation!$I$239</definedName>
    <definedName name="Without_48_51_with_57_60_Dementia_value" localSheetId="2">Calculation!$I$335</definedName>
    <definedName name="Without_48_51_with_57_60_sleep_disturbance_value">Calculation!$I$143</definedName>
    <definedName name="Without_48_51_with_57_60_stroke_value">Calculation!$I$287</definedName>
    <definedName name="Without_48_51_with_60_63_amenity_value">Calculation!$J$191</definedName>
    <definedName name="Without_48_51_with_60_63_AMI_value">Calculation!$J$239</definedName>
    <definedName name="Without_48_51_with_60_63_Dementia_value" localSheetId="2">Calculation!$J$335</definedName>
    <definedName name="Without_48_51_with_60_63_sleep_disturbance_value">Calculation!$J$143</definedName>
    <definedName name="Without_48_51_with_60_63_stroke_value">Calculation!$J$287</definedName>
    <definedName name="Without_48_51_with_63_66_amenity_value">Calculation!$K$191</definedName>
    <definedName name="Without_48_51_with_63_66_AMI_value">Calculation!$K$239</definedName>
    <definedName name="Without_48_51_with_63_66_Dementia_value" localSheetId="2">Calculation!$K$335</definedName>
    <definedName name="Without_48_51_with_63_66_sleep_disturbance_value">Calculation!$K$143</definedName>
    <definedName name="Without_48_51_with_63_66_stroke_value">Calculation!$K$287</definedName>
    <definedName name="Without_48_51_with_66_69_amenity_value">Calculation!$L$191</definedName>
    <definedName name="Without_48_51_with_66_69_AMI_value">Calculation!$L$239</definedName>
    <definedName name="Without_48_51_with_66_69_Dementia_value" localSheetId="2">Calculation!$L$335</definedName>
    <definedName name="Without_48_51_with_66_69_sleep_disturbance_value">Calculation!$L$143</definedName>
    <definedName name="Without_48_51_with_66_69_stroke_value">Calculation!$L$287</definedName>
    <definedName name="Without_48_51_with_69_72_amenity_value">Calculation!$M$191</definedName>
    <definedName name="Without_48_51_with_69_72_AMI_value">Calculation!$M$239</definedName>
    <definedName name="Without_48_51_with_69_72_Dementia_value" localSheetId="2">Calculation!$M$335</definedName>
    <definedName name="Without_48_51_with_69_72_sleep_disturbance_value">Calculation!$M$143</definedName>
    <definedName name="Without_48_51_with_69_72_stroke_value">Calculation!$M$287</definedName>
    <definedName name="Without_48_51_with_72_75_amenity_value">Calculation!$N$191</definedName>
    <definedName name="Without_48_51_with_72_75_AMI_value">Calculation!$N$239</definedName>
    <definedName name="Without_48_51_with_72_75_Dementia_value" localSheetId="2">Calculation!$N$335</definedName>
    <definedName name="Without_48_51_with_72_75_sleep_disturbance_value">Calculation!$N$143</definedName>
    <definedName name="Without_48_51_with_72_75_stroke_value">Calculation!$N$287</definedName>
    <definedName name="Without_48_51_with_75_78_amenity_value">Calculation!$O$191</definedName>
    <definedName name="Without_48_51_with_75_78_AMI_value">Calculation!$O$239</definedName>
    <definedName name="Without_48_51_with_75_78_Dementia_value" localSheetId="2">Calculation!$O$335</definedName>
    <definedName name="Without_48_51_with_75_78_sleep_disturbance_value">Calculation!$O$143</definedName>
    <definedName name="Without_48_51_with_75_78_stroke_value">Calculation!$O$287</definedName>
    <definedName name="Without_48_51_with_78_81_amenity_value">Calculation!$P$191</definedName>
    <definedName name="Without_48_51_with_78_81_AMI_value">Calculation!$P$239</definedName>
    <definedName name="Without_48_51_with_78_81_Dementia_value" localSheetId="2">Calculation!$P$335</definedName>
    <definedName name="Without_48_51_with_78_81_sleep_disturbance_value">Calculation!$P$143</definedName>
    <definedName name="Without_48_51_with_78_81_stroke_value">Calculation!$P$287</definedName>
    <definedName name="Without_48_51_with_81_amenity_value">Calculation!$Q$191</definedName>
    <definedName name="Without_48_51_with_81_AMI_value">Calculation!$Q$239</definedName>
    <definedName name="Without_48_51_with_81_Dementia_value" localSheetId="2">Calculation!$Q$335</definedName>
    <definedName name="Without_48_51_with_81_sleep_disturbance_value">Calculation!$Q$143</definedName>
    <definedName name="Without_48_51_with_81_stroke_value">Calculation!$Q$287</definedName>
    <definedName name="Without_48_51_with_xx_amenity_value">Calculation!$D$191:$Q$191</definedName>
    <definedName name="Without_48_51_with_xx_AMI_value">Calculation!$D$239:$Q$239</definedName>
    <definedName name="Without_48_51_with_xx_composite_value">QA!$D$5:$Q$5</definedName>
    <definedName name="Without_48_51_with_xx_dementia_value">Calculation!$D$335:$Q$335</definedName>
    <definedName name="Without_48_51_with_xx_sleep_disturbance_value">Calculation!$D$143:$Q$143</definedName>
    <definedName name="Without_48_51_with_xx_stroke_value">Calculation!$D$287:$Q$287</definedName>
    <definedName name="Without_48_51_with_xx_value">Calculation!$D$74:$Q$74</definedName>
    <definedName name="Without_51_54_with_45_48_amenity_value">Calculation!$E$192</definedName>
    <definedName name="Without_51_54_with_45_48_AMI_value">Calculation!$E$240</definedName>
    <definedName name="Without_51_54_with_45_48_Dementia_value" localSheetId="2">Calculation!$E$336</definedName>
    <definedName name="Without_51_54_with_45_48_stroke_value">Calculation!$E$288</definedName>
    <definedName name="Without_51_54_with_45_amenity_value">Calculation!$D$192</definedName>
    <definedName name="Without_51_54_with_45_AMI_value">Calculation!$D$240</definedName>
    <definedName name="Without_51_54_with_45_Dementia_value" localSheetId="2">Calculation!$D$336</definedName>
    <definedName name="Without_51_54_with_45_stroke_value">Calculation!$D$288</definedName>
    <definedName name="Without_51_54_with_48_51_amenity_value">Calculation!$F$192</definedName>
    <definedName name="Without_51_54_with_48_51_AMI_value">Calculation!$F$240</definedName>
    <definedName name="Without_51_54_with_48_51_Dementia_value" localSheetId="2">Calculation!$F$336</definedName>
    <definedName name="Without_51_54_with_48_51_stroke_value">Calculation!$F$288</definedName>
    <definedName name="Without_51_54_with_51_54_amenity_value">Calculation!$G$192</definedName>
    <definedName name="Without_51_54_with_51_54_AMI_value">Calculation!$G$240</definedName>
    <definedName name="Without_51_54_with_51_54_Dementia_value" localSheetId="2">Calculation!$G$336</definedName>
    <definedName name="Without_51_54_with_51_54_stroke_value">Calculation!$G$288</definedName>
    <definedName name="Without_51_54_with_54_57_amenity_value">Calculation!$H$192</definedName>
    <definedName name="Without_51_54_with_54_57_AMI_value">Calculation!$H$240</definedName>
    <definedName name="Without_51_54_with_54_57_Dementia_value" localSheetId="2">Calculation!$H$336</definedName>
    <definedName name="Without_51_54_with_54_57_sleep_disturbance_value">Calculation!$H$144</definedName>
    <definedName name="Without_51_54_with_54_57_stroke_value">Calculation!$H$288</definedName>
    <definedName name="Without_51_54_with_57_60_amenity_value">Calculation!$I$192</definedName>
    <definedName name="Without_51_54_with_57_60_AMI_value">Calculation!$I$240</definedName>
    <definedName name="Without_51_54_with_57_60_Dementia_value" localSheetId="2">Calculation!$I$336</definedName>
    <definedName name="Without_51_54_with_57_60_sleep_disturbance_value">Calculation!$I$144</definedName>
    <definedName name="Without_51_54_with_57_60_stroke_value">Calculation!$I$288</definedName>
    <definedName name="Without_51_54_with_60_63_amenity_value">Calculation!$J$192</definedName>
    <definedName name="Without_51_54_with_60_63_AMI_value">Calculation!$J$240</definedName>
    <definedName name="Without_51_54_with_60_63_Dementia_value" localSheetId="2">Calculation!$J$336</definedName>
    <definedName name="Without_51_54_with_60_63_sleep_disturbance_value">Calculation!$J$144</definedName>
    <definedName name="Without_51_54_with_60_63_stroke_value">Calculation!$J$288</definedName>
    <definedName name="Without_51_54_with_63_66_amenity_value">Calculation!$K$192</definedName>
    <definedName name="Without_51_54_with_63_66_AMI_value">Calculation!$K$240</definedName>
    <definedName name="Without_51_54_with_63_66_Dementia_value" localSheetId="2">Calculation!$K$336</definedName>
    <definedName name="Without_51_54_with_63_66_sleep_disturbance_value">Calculation!$K$144</definedName>
    <definedName name="Without_51_54_with_63_66_stroke_value">Calculation!$K$288</definedName>
    <definedName name="Without_51_54_with_66_69_amenity_value">Calculation!$L$192</definedName>
    <definedName name="Without_51_54_with_66_69_AMI_value">Calculation!$L$240</definedName>
    <definedName name="Without_51_54_with_66_69_Dementia_value" localSheetId="2">Calculation!$L$336</definedName>
    <definedName name="Without_51_54_with_66_69_sleep_disturbance_value">Calculation!$L$144</definedName>
    <definedName name="Without_51_54_with_66_69_stroke_value">Calculation!$L$288</definedName>
    <definedName name="Without_51_54_with_69_72_amenity_value">Calculation!$M$192</definedName>
    <definedName name="Without_51_54_with_69_72_AMI_value">Calculation!$M$240</definedName>
    <definedName name="Without_51_54_with_69_72_Dementia_value" localSheetId="2">Calculation!$M$336</definedName>
    <definedName name="Without_51_54_with_69_72_sleep_disturbance_value">Calculation!$M$144</definedName>
    <definedName name="Without_51_54_with_69_72_stroke_value">Calculation!$M$288</definedName>
    <definedName name="Without_51_54_with_72_75_amenity_value">Calculation!$N$192</definedName>
    <definedName name="Without_51_54_with_72_75_AMI_value">Calculation!$N$240</definedName>
    <definedName name="Without_51_54_with_72_75_Dementia_value" localSheetId="2">Calculation!$N$336</definedName>
    <definedName name="Without_51_54_with_72_75_sleep_disturbance_value">Calculation!$N$144</definedName>
    <definedName name="Without_51_54_with_72_75_stroke_value">Calculation!$N$288</definedName>
    <definedName name="Without_51_54_with_75_78_amenity_value">Calculation!$O$192</definedName>
    <definedName name="Without_51_54_with_75_78_AMI_value">Calculation!$O$240</definedName>
    <definedName name="Without_51_54_with_75_78_Dementia_value" localSheetId="2">Calculation!$O$336</definedName>
    <definedName name="Without_51_54_with_75_78_sleep_disturbance_value">Calculation!$O$144</definedName>
    <definedName name="Without_51_54_with_75_78_stroke_value">Calculation!$O$288</definedName>
    <definedName name="Without_51_54_with_78_81_amenity_value">Calculation!$P$192</definedName>
    <definedName name="Without_51_54_with_78_81_AMI_value">Calculation!$P$240</definedName>
    <definedName name="Without_51_54_with_78_81_Dementia_value" localSheetId="2">Calculation!$P$336</definedName>
    <definedName name="Without_51_54_with_78_81_sleep_disturbance_value">Calculation!$P$144</definedName>
    <definedName name="Without_51_54_with_78_81_stroke_value">Calculation!$P$288</definedName>
    <definedName name="Without_51_54_with_81_amenity_value">Calculation!$Q$192</definedName>
    <definedName name="Without_51_54_with_81_AMI_value">Calculation!$Q$240</definedName>
    <definedName name="Without_51_54_with_81_Dementia_value" localSheetId="2">Calculation!$Q$336</definedName>
    <definedName name="Without_51_54_with_81_sleep_disturbance_value">Calculation!$Q$144</definedName>
    <definedName name="Without_51_54_with_81_stroke_value">Calculation!$Q$288</definedName>
    <definedName name="Without_51_54_with_xx_amenity_value">Calculation!$D$192:$Q$192</definedName>
    <definedName name="Without_51_54_with_xx_AMI_value">Calculation!$D$240:$Q$240</definedName>
    <definedName name="Without_51_54_with_xx_composite_value">QA!$D$6:$Q$6</definedName>
    <definedName name="Without_51_54_with_xx_dementia_value">Calculation!$D$336:$Q$336</definedName>
    <definedName name="Without_51_54_with_xx_sleep_disturbance_value">Calculation!$D$144:$Q$144</definedName>
    <definedName name="Without_51_54_with_xx_stroke_value">Calculation!$D$288:$Q$288</definedName>
    <definedName name="Without_51_54_with_xx_value">Calculation!$D$75:$Q$75</definedName>
    <definedName name="Without_54_57_with_45_48_amenity_value">Calculation!$E$193</definedName>
    <definedName name="Without_54_57_with_45_48_AMI_value">Calculation!$E$241</definedName>
    <definedName name="Without_54_57_with_45_48_Dementia_value" localSheetId="2">Calculation!$E$337</definedName>
    <definedName name="Without_54_57_with_45_48_stroke_value">Calculation!$E$289</definedName>
    <definedName name="Without_54_57_with_45_amenity_value">Calculation!$D$193</definedName>
    <definedName name="Without_54_57_with_45_AMI_value">Calculation!$D$241</definedName>
    <definedName name="Without_54_57_with_45_Dementia_value" localSheetId="2">Calculation!$D$337</definedName>
    <definedName name="Without_54_57_with_45_stroke_value">Calculation!$D$289</definedName>
    <definedName name="Without_54_57_with_48_51_amenity_value">Calculation!$F$193</definedName>
    <definedName name="Without_54_57_with_48_51_AMI_value">Calculation!$F$241</definedName>
    <definedName name="Without_54_57_with_48_51_Dementia_value" localSheetId="2">Calculation!$F$337</definedName>
    <definedName name="Without_54_57_with_48_51_stroke_value">Calculation!$F$289</definedName>
    <definedName name="Without_54_57_with_51_54_amenity_value">Calculation!$G$193</definedName>
    <definedName name="Without_54_57_with_51_54_AMI_value">Calculation!$G$241</definedName>
    <definedName name="Without_54_57_with_51_54_Dementia_value" localSheetId="2">Calculation!$G$337</definedName>
    <definedName name="Without_54_57_with_51_54_stroke_value">Calculation!$G$289</definedName>
    <definedName name="Without_54_57_with_54_57_amenity_value">Calculation!$H$193</definedName>
    <definedName name="Without_54_57_with_54_57_AMI_value">Calculation!$H$241</definedName>
    <definedName name="Without_54_57_with_54_57_Dementia_value" localSheetId="2">Calculation!$H$337</definedName>
    <definedName name="Without_54_57_with_54_57_stroke_value">Calculation!$H$289</definedName>
    <definedName name="Without_54_57_with_57_60_amenity_value">Calculation!$I$193</definedName>
    <definedName name="Without_54_57_with_57_60_AMI_value">Calculation!$I$241</definedName>
    <definedName name="Without_54_57_with_57_60_Dementia_value" localSheetId="2">Calculation!$I$337</definedName>
    <definedName name="Without_54_57_with_57_60_sleep_disturbance_value">Calculation!$I$145</definedName>
    <definedName name="Without_54_57_with_57_60_stroke_value">Calculation!$I$289</definedName>
    <definedName name="Without_54_57_with_60_63_amenity_value">Calculation!$J$193</definedName>
    <definedName name="Without_54_57_with_60_63_AMI_value">Calculation!$J$241</definedName>
    <definedName name="Without_54_57_with_60_63_Dementia_value" localSheetId="2">Calculation!$J$337</definedName>
    <definedName name="Without_54_57_with_60_63_sleep_disturbance_value">Calculation!$J$145</definedName>
    <definedName name="Without_54_57_with_60_63_stroke_value">Calculation!$J$289</definedName>
    <definedName name="Without_54_57_with_63_66_amenity_value">Calculation!$K$193</definedName>
    <definedName name="Without_54_57_with_63_66_AMI_value">Calculation!$K$241</definedName>
    <definedName name="Without_54_57_with_63_66_Dementia_value" localSheetId="2">Calculation!$K$337</definedName>
    <definedName name="Without_54_57_with_63_66_sleep_disturbance_value">Calculation!$K$145</definedName>
    <definedName name="Without_54_57_with_63_66_stroke_value">Calculation!$K$289</definedName>
    <definedName name="Without_54_57_with_66_69_amenity_value">Calculation!$L$193</definedName>
    <definedName name="Without_54_57_with_66_69_AMI_value">Calculation!$L$241</definedName>
    <definedName name="Without_54_57_with_66_69_Dementia_value" localSheetId="2">Calculation!$L$337</definedName>
    <definedName name="Without_54_57_with_66_69_sleep_disturbance_value">Calculation!$L$145</definedName>
    <definedName name="Without_54_57_with_66_69_stroke_value">Calculation!$L$289</definedName>
    <definedName name="Without_54_57_with_69_72_amenity_value">Calculation!$M$193</definedName>
    <definedName name="Without_54_57_with_69_72_AMI_value">Calculation!$M$241</definedName>
    <definedName name="Without_54_57_with_69_72_Dementia_value" localSheetId="2">Calculation!$M$337</definedName>
    <definedName name="Without_54_57_with_69_72_sleep_disturbance_value">Calculation!$M$145</definedName>
    <definedName name="Without_54_57_with_69_72_stroke_value">Calculation!$M$289</definedName>
    <definedName name="Without_54_57_with_72_75_amenity_value">Calculation!$N$193</definedName>
    <definedName name="Without_54_57_with_72_75_AMI_value">Calculation!$N$241</definedName>
    <definedName name="Without_54_57_with_72_75_Dementia_value" localSheetId="2">Calculation!$N$337</definedName>
    <definedName name="Without_54_57_with_72_75_sleep_disturbance_value">Calculation!$N$145</definedName>
    <definedName name="Without_54_57_with_72_75_stroke_value">Calculation!$N$289</definedName>
    <definedName name="Without_54_57_with_75_78_amenity_value">Calculation!$O$193</definedName>
    <definedName name="Without_54_57_with_75_78_AMI_value">Calculation!$O$241</definedName>
    <definedName name="Without_54_57_with_75_78_Dementia_value" localSheetId="2">Calculation!$O$337</definedName>
    <definedName name="Without_54_57_with_75_78_sleep_disturbance_value">Calculation!$O$145</definedName>
    <definedName name="Without_54_57_with_75_78_stroke_value">Calculation!$O$289</definedName>
    <definedName name="Without_54_57_with_78_81_amenity_value">Calculation!$P$193</definedName>
    <definedName name="Without_54_57_with_78_81_AMI_value">Calculation!$P$241</definedName>
    <definedName name="Without_54_57_with_78_81_Dementia_value" localSheetId="2">Calculation!$P$337</definedName>
    <definedName name="Without_54_57_with_78_81_sleep_disturbance_value">Calculation!$P$145</definedName>
    <definedName name="Without_54_57_with_78_81_stroke_value">Calculation!$P$289</definedName>
    <definedName name="Without_54_57_with_81_amenity_value">Calculation!$Q$193</definedName>
    <definedName name="Without_54_57_with_81_AMI_value">Calculation!$Q$241</definedName>
    <definedName name="Without_54_57_with_81_Dementia_value" localSheetId="2">Calculation!$Q$337</definedName>
    <definedName name="Without_54_57_with_81_sleep_disturbance_value">Calculation!$Q$145</definedName>
    <definedName name="Without_54_57_with_81_stroke_value">Calculation!$Q$289</definedName>
    <definedName name="Without_54_57_with_xx_amenity_value">Calculation!$D$193:$Q$193</definedName>
    <definedName name="Without_54_57_with_xx_AMI_value">Calculation!$D$241:$Q$241</definedName>
    <definedName name="Without_54_57_with_xx_composite_value">QA!$D$7:$Q$7</definedName>
    <definedName name="Without_54_57_with_xx_dementia_value">Calculation!$D$337:$Q$337</definedName>
    <definedName name="Without_54_57_with_xx_sleep_disturbance_value">Calculation!$D$145:$Q$145</definedName>
    <definedName name="Without_54_57_with_xx_stroke_value">Calculation!$D$289:$Q$289</definedName>
    <definedName name="Without_54_57_with_xx_value">Calculation!$D$76:$Q$76</definedName>
    <definedName name="Without_57_60_with_45_48_amenity_value">Calculation!$E$194</definedName>
    <definedName name="Without_57_60_with_45_48_AMI_value">Calculation!$E$242</definedName>
    <definedName name="Without_57_60_with_45_48_Dementia_value" localSheetId="2">Calculation!$E$338</definedName>
    <definedName name="Without_57_60_with_45_48_stroke_value">Calculation!$E$290</definedName>
    <definedName name="Without_57_60_with_45_amenity_value">Calculation!$D$194</definedName>
    <definedName name="Without_57_60_with_45_AMI_value">Calculation!$D$242</definedName>
    <definedName name="Without_57_60_with_45_Dementia_value" localSheetId="2">Calculation!$D$338</definedName>
    <definedName name="Without_57_60_with_45_stroke_value">Calculation!$D$290</definedName>
    <definedName name="Without_57_60_with_48_51_amenity_value">Calculation!$F$194</definedName>
    <definedName name="Without_57_60_with_48_51_AMI_value">Calculation!$F$242</definedName>
    <definedName name="Without_57_60_with_48_51_Dementia_value" localSheetId="2">Calculation!$F$338</definedName>
    <definedName name="Without_57_60_with_48_51_stroke_value">Calculation!$F$290</definedName>
    <definedName name="Without_57_60_with_51_54_amenity_value">Calculation!$G$194</definedName>
    <definedName name="Without_57_60_with_51_54_AMI_value">Calculation!$G$242</definedName>
    <definedName name="Without_57_60_with_51_54_Dementia_value" localSheetId="2">Calculation!$G$338</definedName>
    <definedName name="Without_57_60_with_51_54_stroke_value">Calculation!$G$290</definedName>
    <definedName name="Without_57_60_with_54_57_amenity_value">Calculation!$H$194</definedName>
    <definedName name="Without_57_60_with_54_57_AMI_value">Calculation!$H$242</definedName>
    <definedName name="Without_57_60_with_54_57_Dementia_value" localSheetId="2">Calculation!$H$338</definedName>
    <definedName name="Without_57_60_with_54_57_stroke_value">Calculation!$H$290</definedName>
    <definedName name="Without_57_60_with_57_60_amenity_value">Calculation!$I$194</definedName>
    <definedName name="Without_57_60_with_57_60_AMI_value">Calculation!$I$242</definedName>
    <definedName name="Without_57_60_with_57_60_Dementia_value" localSheetId="2">Calculation!$I$338</definedName>
    <definedName name="Without_57_60_with_57_60_stroke_value">Calculation!$I$290</definedName>
    <definedName name="Without_57_60_with_60_63_amenity_value">Calculation!$J$194</definedName>
    <definedName name="Without_57_60_with_60_63_AMI_value">Calculation!$J$242</definedName>
    <definedName name="Without_57_60_with_60_63_Dementia_value" localSheetId="2">Calculation!$J$338</definedName>
    <definedName name="Without_57_60_with_60_63_sleep_disturbance_value">Calculation!$J$146</definedName>
    <definedName name="Without_57_60_with_60_63_stroke_value">Calculation!$J$290</definedName>
    <definedName name="Without_57_60_with_63_66_amenity_value">Calculation!$K$194</definedName>
    <definedName name="Without_57_60_with_63_66_AMI_value">Calculation!$K$242</definedName>
    <definedName name="Without_57_60_with_63_66_Dementia_value" localSheetId="2">Calculation!$K$338</definedName>
    <definedName name="Without_57_60_with_63_66_sleep_disturbance_value">Calculation!$K$146</definedName>
    <definedName name="Without_57_60_with_63_66_stroke_value">Calculation!$K$290</definedName>
    <definedName name="Without_57_60_with_66_69_amenity_value">Calculation!$L$194</definedName>
    <definedName name="Without_57_60_with_66_69_AMI_value">Calculation!$L$242</definedName>
    <definedName name="Without_57_60_with_66_69_Dementia_value" localSheetId="2">Calculation!$L$338</definedName>
    <definedName name="Without_57_60_with_66_69_sleep_disturbance_value">Calculation!$L$146</definedName>
    <definedName name="Without_57_60_with_66_69_stroke_value">Calculation!$L$290</definedName>
    <definedName name="Without_57_60_with_69_72_amenity_value">Calculation!$M$194</definedName>
    <definedName name="Without_57_60_with_69_72_AMI_value">Calculation!$M$242</definedName>
    <definedName name="Without_57_60_with_69_72_Dementia_value" localSheetId="2">Calculation!$M$338</definedName>
    <definedName name="Without_57_60_with_69_72_sleep_disturbance_value">Calculation!$M$146</definedName>
    <definedName name="Without_57_60_with_69_72_stroke_value">Calculation!$M$290</definedName>
    <definedName name="Without_57_60_with_72_75_amenity_value">Calculation!$N$194</definedName>
    <definedName name="Without_57_60_with_72_75_AMI_value">Calculation!$N$242</definedName>
    <definedName name="Without_57_60_with_72_75_Dementia_value" localSheetId="2">Calculation!$N$338</definedName>
    <definedName name="Without_57_60_with_72_75_sleep_disturbance_value">Calculation!$N$146</definedName>
    <definedName name="Without_57_60_with_72_75_stroke_value">Calculation!$N$290</definedName>
    <definedName name="Without_57_60_with_75_78_amenity_value">Calculation!$O$194</definedName>
    <definedName name="Without_57_60_with_75_78_AMI_value">Calculation!$O$242</definedName>
    <definedName name="Without_57_60_with_75_78_Dementia_value" localSheetId="2">Calculation!$O$338</definedName>
    <definedName name="Without_57_60_with_75_78_sleep_disturbance_value">Calculation!$O$146</definedName>
    <definedName name="Without_57_60_with_75_78_stroke_value">Calculation!$O$290</definedName>
    <definedName name="Without_57_60_with_78_81_amenity_value">Calculation!$P$194</definedName>
    <definedName name="Without_57_60_with_78_81_AMI_value">Calculation!$P$242</definedName>
    <definedName name="Without_57_60_with_78_81_Dementia_value" localSheetId="2">Calculation!$P$338</definedName>
    <definedName name="Without_57_60_with_78_81_sleep_disturbance_value">Calculation!$P$146</definedName>
    <definedName name="Without_57_60_with_78_81_stroke_value">Calculation!$P$290</definedName>
    <definedName name="Without_57_60_with_81_amenity_value">Calculation!$Q$194</definedName>
    <definedName name="Without_57_60_with_81_AMI_value">Calculation!$Q$242</definedName>
    <definedName name="Without_57_60_with_81_Dementia_value" localSheetId="2">Calculation!$Q$338</definedName>
    <definedName name="Without_57_60_with_81_sleep_disturbance_value">Calculation!$Q$146</definedName>
    <definedName name="Without_57_60_with_81_stroke_value">Calculation!$Q$290</definedName>
    <definedName name="Without_57_60_with_xx_amenity_value">Calculation!$D$194:$Q$194</definedName>
    <definedName name="Without_57_60_with_xx_AMI_value">Calculation!$D$242:$Q$242</definedName>
    <definedName name="Without_57_60_with_xx_composite_value">QA!$D$8:$Q$8</definedName>
    <definedName name="Without_57_60_with_xx_dementia_value">Calculation!$D$338:$Q$338</definedName>
    <definedName name="Without_57_60_with_xx_sleep_disturbance_value">Calculation!$D$146:$Q$146</definedName>
    <definedName name="Without_57_60_with_xx_stroke_value">Calculation!$D$290:$Q$290</definedName>
    <definedName name="Without_57_60_with_xx_value">Calculation!$D$77:$Q$77</definedName>
    <definedName name="Without_60_63_with_45_48_amenity_value">Calculation!$E$195</definedName>
    <definedName name="Without_60_63_with_45_48_AMI_value">Calculation!$E$243</definedName>
    <definedName name="Without_60_63_with_45_48_Dementia_value" localSheetId="2">Calculation!$E$339</definedName>
    <definedName name="Without_60_63_with_45_48_stroke_value">Calculation!$E$291</definedName>
    <definedName name="Without_60_63_with_45_amenity_value">Calculation!$D$195</definedName>
    <definedName name="Without_60_63_with_45_AMI_value">Calculation!$D$243</definedName>
    <definedName name="Without_60_63_with_45_Dementia_value" localSheetId="2">Calculation!$D$339</definedName>
    <definedName name="Without_60_63_with_45_stroke_value">Calculation!$D$291</definedName>
    <definedName name="Without_60_63_with_48_51_amenity_value">Calculation!$F$195</definedName>
    <definedName name="Without_60_63_with_48_51_AMI_value">Calculation!$F$243</definedName>
    <definedName name="Without_60_63_with_48_51_Dementia_value" localSheetId="2">Calculation!$F$339</definedName>
    <definedName name="Without_60_63_with_48_51_stroke_value">Calculation!$F$291</definedName>
    <definedName name="Without_60_63_with_51_54_amenity_value">Calculation!$G$195</definedName>
    <definedName name="Without_60_63_with_51_54_AMI_value">Calculation!$G$243</definedName>
    <definedName name="Without_60_63_with_51_54_Dementia_value" localSheetId="2">Calculation!$G$339</definedName>
    <definedName name="Without_60_63_with_51_54_stroke_value">Calculation!$G$291</definedName>
    <definedName name="Without_60_63_with_54_57_amenity_value">Calculation!$H$195</definedName>
    <definedName name="Without_60_63_with_54_57_AMI_value">Calculation!$H$243</definedName>
    <definedName name="Without_60_63_with_54_57_Dementia_value" localSheetId="2">Calculation!$H$339</definedName>
    <definedName name="Without_60_63_with_54_57_stroke_value">Calculation!$H$291</definedName>
    <definedName name="Without_60_63_with_57_60_amenity_value">Calculation!$I$195</definedName>
    <definedName name="Without_60_63_with_57_60_AMI_value">Calculation!$I$243</definedName>
    <definedName name="Without_60_63_with_57_60_Dementia_value" localSheetId="2">Calculation!$I$339</definedName>
    <definedName name="Without_60_63_with_57_60_stroke_value">Calculation!$I$291</definedName>
    <definedName name="Without_60_63_with_60_63_amenity_value">Calculation!$J$195</definedName>
    <definedName name="Without_60_63_with_60_63_AMI_value">Calculation!$J$243</definedName>
    <definedName name="Without_60_63_with_60_63_Dementia_value" localSheetId="2">Calculation!$J$339</definedName>
    <definedName name="Without_60_63_with_60_63_stroke_value">Calculation!$J$291</definedName>
    <definedName name="Without_60_63_with_63_66_amenity_value">Calculation!$K$195</definedName>
    <definedName name="Without_60_63_with_63_66_AMI_value">Calculation!$K$243</definedName>
    <definedName name="Without_60_63_with_63_66_Dementia_value" localSheetId="2">Calculation!$K$339</definedName>
    <definedName name="Without_60_63_with_63_66_sleep_disturbance_value">Calculation!$K$147</definedName>
    <definedName name="Without_60_63_with_63_66_stroke_value">Calculation!$K$291</definedName>
    <definedName name="Without_60_63_with_66_69_amenity_value">Calculation!$L$195</definedName>
    <definedName name="Without_60_63_with_66_69_AMI_value">Calculation!$L$243</definedName>
    <definedName name="Without_60_63_with_66_69_Dementia_value" localSheetId="2">Calculation!$L$339</definedName>
    <definedName name="Without_60_63_with_66_69_sleep_disturbance_value">Calculation!$L$147</definedName>
    <definedName name="Without_60_63_with_66_69_stroke_value">Calculation!$L$291</definedName>
    <definedName name="Without_60_63_with_69_72_amenity_value">Calculation!$M$195</definedName>
    <definedName name="Without_60_63_with_69_72_AMI_value">Calculation!$M$243</definedName>
    <definedName name="Without_60_63_with_69_72_Dementia_value" localSheetId="2">Calculation!$M$339</definedName>
    <definedName name="Without_60_63_with_69_72_sleep_disturbance_value">Calculation!$M$147</definedName>
    <definedName name="Without_60_63_with_69_72_stroke_value">Calculation!$M$291</definedName>
    <definedName name="Without_60_63_with_72_75_amenity_value">Calculation!$N$195</definedName>
    <definedName name="Without_60_63_with_72_75_AMI_value">Calculation!$N$243</definedName>
    <definedName name="Without_60_63_with_72_75_Dementia_value" localSheetId="2">Calculation!$N$339</definedName>
    <definedName name="Without_60_63_with_72_75_sleep_disturbance_value">Calculation!$N$147</definedName>
    <definedName name="Without_60_63_with_72_75_stroke_value">Calculation!$N$291</definedName>
    <definedName name="Without_60_63_with_75_78_amenity_value">Calculation!$O$195</definedName>
    <definedName name="Without_60_63_with_75_78_AMI_value">Calculation!$O$243</definedName>
    <definedName name="Without_60_63_with_75_78_Dementia_value" localSheetId="2">Calculation!$O$339</definedName>
    <definedName name="Without_60_63_with_75_78_sleep_disturbance_value">Calculation!$O$147</definedName>
    <definedName name="Without_60_63_with_75_78_stroke_value">Calculation!$O$291</definedName>
    <definedName name="Without_60_63_with_78_81_amenity_value">Calculation!$P$195</definedName>
    <definedName name="Without_60_63_with_78_81_AMI_value">Calculation!$P$243</definedName>
    <definedName name="Without_60_63_with_78_81_Dementia_value" localSheetId="2">Calculation!$P$339</definedName>
    <definedName name="Without_60_63_with_78_81_sleep_disturbance_value">Calculation!$P$147</definedName>
    <definedName name="Without_60_63_with_78_81_stroke_value">Calculation!$P$291</definedName>
    <definedName name="Without_60_63_with_81_amenity_value">Calculation!$Q$195</definedName>
    <definedName name="Without_60_63_with_81_AMI_value">Calculation!$Q$243</definedName>
    <definedName name="Without_60_63_with_81_Dementia_value" localSheetId="2">Calculation!$Q$339</definedName>
    <definedName name="Without_60_63_with_81_sleep_disturbance_value">Calculation!$Q$147</definedName>
    <definedName name="Without_60_63_with_81_stroke_value">Calculation!$Q$291</definedName>
    <definedName name="Without_60_63_with_xx_amenity_value">Calculation!$D$195:$Q$195</definedName>
    <definedName name="Without_60_63_with_xx_AMI_value">Calculation!$D$243:$Q$243</definedName>
    <definedName name="Without_60_63_with_xx_composite_value">QA!$D$9:$Q$9</definedName>
    <definedName name="Without_60_63_with_xx_dementia_value">Calculation!$D$339:$Q$339</definedName>
    <definedName name="Without_60_63_with_xx_sleep_disturbance_value">Calculation!$D$147:$Q$147</definedName>
    <definedName name="Without_60_63_with_xx_stroke_value">Calculation!$D$291:$Q$291</definedName>
    <definedName name="Without_60_63_with_xx_value">Calculation!$D$78:$Q$78</definedName>
    <definedName name="Without_63_66_with_45_48_amenity_value">Calculation!$E$196</definedName>
    <definedName name="Without_63_66_with_45_48_AMI_value">Calculation!$E$244</definedName>
    <definedName name="Without_63_66_with_45_48_Dementia_value" localSheetId="2">Calculation!$E$340</definedName>
    <definedName name="Without_63_66_with_45_48_stroke_value">Calculation!$E$292</definedName>
    <definedName name="Without_63_66_with_45_amenity_value">Calculation!$D$196</definedName>
    <definedName name="Without_63_66_with_45_AMI_value">Calculation!$D$244</definedName>
    <definedName name="Without_63_66_with_45_Dementia_value" localSheetId="2">Calculation!$D$340</definedName>
    <definedName name="Without_63_66_with_45_stroke_value">Calculation!$D$292</definedName>
    <definedName name="Without_63_66_with_48_51_amenity_value">Calculation!$F$196</definedName>
    <definedName name="Without_63_66_with_48_51_AMI_value">Calculation!$F$244</definedName>
    <definedName name="Without_63_66_with_48_51_Dementia_value" localSheetId="2">Calculation!$F$340</definedName>
    <definedName name="Without_63_66_with_48_51_stroke_value">Calculation!$F$292</definedName>
    <definedName name="Without_63_66_with_51_54_amenity_value">Calculation!$G$196</definedName>
    <definedName name="Without_63_66_with_51_54_AMI_value">Calculation!$G$244</definedName>
    <definedName name="Without_63_66_with_51_54_Dementia_value" localSheetId="2">Calculation!$G$340</definedName>
    <definedName name="Without_63_66_with_51_54_stroke_value">Calculation!$G$292</definedName>
    <definedName name="Without_63_66_with_54_57_amenity_value">Calculation!$H$196</definedName>
    <definedName name="Without_63_66_with_54_57_AMI_value">Calculation!$H$244</definedName>
    <definedName name="Without_63_66_with_54_57_Dementia_value" localSheetId="2">Calculation!$H$340</definedName>
    <definedName name="Without_63_66_with_54_57_stroke_value">Calculation!$H$292</definedName>
    <definedName name="Without_63_66_with_57_60_amenity_value">Calculation!$I$196</definedName>
    <definedName name="Without_63_66_with_57_60_AMI_value">Calculation!$I$244</definedName>
    <definedName name="Without_63_66_with_57_60_Dementia_value" localSheetId="2">Calculation!$I$340</definedName>
    <definedName name="Without_63_66_with_57_60_stroke_value">Calculation!$I$292</definedName>
    <definedName name="Without_63_66_with_60_63_amenity_value">Calculation!$J$196</definedName>
    <definedName name="Without_63_66_with_60_63_AMI_value">Calculation!$J$244</definedName>
    <definedName name="Without_63_66_with_60_63_Dementia_value" localSheetId="2">Calculation!$J$340</definedName>
    <definedName name="Without_63_66_with_60_63_stroke_value">Calculation!$J$292</definedName>
    <definedName name="Without_63_66_with_63_66_amenity_value">Calculation!$K$196</definedName>
    <definedName name="Without_63_66_with_63_66_AMI_value">Calculation!$K$244</definedName>
    <definedName name="Without_63_66_with_63_66_Dementia_value" localSheetId="2">Calculation!$K$340</definedName>
    <definedName name="Without_63_66_with_63_66_stroke_value">Calculation!$K$292</definedName>
    <definedName name="Without_63_66_with_66_69_amenity_value">Calculation!$L$196</definedName>
    <definedName name="Without_63_66_with_66_69_AMI_value">Calculation!$L$244</definedName>
    <definedName name="Without_63_66_with_66_69_Dementia_value" localSheetId="2">Calculation!$L$340</definedName>
    <definedName name="Without_63_66_with_66_69_sleep_disturbance_value">Calculation!$L$148</definedName>
    <definedName name="Without_63_66_with_66_69_stroke_value">Calculation!$L$292</definedName>
    <definedName name="Without_63_66_with_69_72_amenity_value">Calculation!$M$196</definedName>
    <definedName name="Without_63_66_with_69_72_AMI_value">Calculation!$M$244</definedName>
    <definedName name="Without_63_66_with_69_72_Dementia_value" localSheetId="2">Calculation!$M$340</definedName>
    <definedName name="Without_63_66_with_69_72_sleep_disturbance_value">Calculation!$M$148</definedName>
    <definedName name="Without_63_66_with_69_72_stroke_value">Calculation!$M$292</definedName>
    <definedName name="Without_63_66_with_72_75_amenity_value">Calculation!$N$196</definedName>
    <definedName name="Without_63_66_with_72_75_AMI_value">Calculation!$N$244</definedName>
    <definedName name="Without_63_66_with_72_75_Dementia_value" localSheetId="2">Calculation!$N$340</definedName>
    <definedName name="Without_63_66_with_72_75_sleep_disturbance_value">Calculation!$N$148</definedName>
    <definedName name="Without_63_66_with_72_75_stroke_value">Calculation!$N$292</definedName>
    <definedName name="Without_63_66_with_75_78_amenity_value">Calculation!$O$196</definedName>
    <definedName name="Without_63_66_with_75_78_AMI_value">Calculation!$O$244</definedName>
    <definedName name="Without_63_66_with_75_78_Dementia_value" localSheetId="2">Calculation!$O$340</definedName>
    <definedName name="Without_63_66_with_75_78_sleep_disturbance_value">Calculation!$O$148</definedName>
    <definedName name="Without_63_66_with_75_78_stroke_value">Calculation!$O$292</definedName>
    <definedName name="Without_63_66_with_78_81_amenity_value">Calculation!$P$196</definedName>
    <definedName name="Without_63_66_with_78_81_AMI_value">Calculation!$P$244</definedName>
    <definedName name="Without_63_66_with_78_81_Dementia_value" localSheetId="2">Calculation!$P$340</definedName>
    <definedName name="Without_63_66_with_78_81_sleep_disturbance_value">Calculation!$P$148</definedName>
    <definedName name="Without_63_66_with_78_81_stroke_value">Calculation!$P$292</definedName>
    <definedName name="Without_63_66_with_81_amenity_value">Calculation!$Q$196</definedName>
    <definedName name="Without_63_66_with_81_AMI_value">Calculation!$Q$244</definedName>
    <definedName name="Without_63_66_with_81_Dementia_value" localSheetId="2">Calculation!$Q$340</definedName>
    <definedName name="Without_63_66_with_81_sleep_disturbance_value">Calculation!$Q$148</definedName>
    <definedName name="Without_63_66_with_81_stroke_value">Calculation!$Q$292</definedName>
    <definedName name="Without_63_66_with_xx_amenity_value">Calculation!$D$196:$Q$196</definedName>
    <definedName name="Without_63_66_with_xx_AMI_value">Calculation!$D$244:$Q$244</definedName>
    <definedName name="Without_63_66_with_xx_composite_value">QA!$D$10:$Q$10</definedName>
    <definedName name="Without_63_66_with_xx_dementia_value">Calculation!$D$340:$Q$340</definedName>
    <definedName name="Without_63_66_with_xx_sleep_disturbance_value">Calculation!$D$148:$Q$148</definedName>
    <definedName name="Without_63_66_with_xx_stroke_value">Calculation!$D$292:$Q$292</definedName>
    <definedName name="Without_63_66_with_xx_value">Calculation!$D$79:$Q$79</definedName>
    <definedName name="Without_66_69_with_45_48_amenity_value">Calculation!$E$197</definedName>
    <definedName name="Without_66_69_with_45_48_AMI_value">Calculation!$E$245</definedName>
    <definedName name="Without_66_69_with_45_48_Dementia_value" localSheetId="2">Calculation!$E$341</definedName>
    <definedName name="Without_66_69_with_45_48_stroke_value">Calculation!$E$293</definedName>
    <definedName name="Without_66_69_with_45_amenity_value">Calculation!$D$197</definedName>
    <definedName name="Without_66_69_with_45_AMI_value">Calculation!$D$245</definedName>
    <definedName name="Without_66_69_with_45_Dementia_value" localSheetId="2">Calculation!$D$341</definedName>
    <definedName name="Without_66_69_with_45_stroke_value">Calculation!$D$293</definedName>
    <definedName name="Without_66_69_with_48_51_amenity_value">Calculation!$F$197</definedName>
    <definedName name="Without_66_69_with_48_51_AMI_value">Calculation!$F$245</definedName>
    <definedName name="Without_66_69_with_48_51_Dementia_value" localSheetId="2">Calculation!$F$341</definedName>
    <definedName name="Without_66_69_with_48_51_stroke_value">Calculation!$F$293</definedName>
    <definedName name="Without_66_69_with_51_54_amenity_value">Calculation!$G$197</definedName>
    <definedName name="Without_66_69_with_51_54_AMI_value">Calculation!$G$245</definedName>
    <definedName name="Without_66_69_with_51_54_Dementia_value" localSheetId="2">Calculation!$G$341</definedName>
    <definedName name="Without_66_69_with_51_54_stroke_value">Calculation!$G$293</definedName>
    <definedName name="Without_66_69_with_54_57_amenity_value">Calculation!$H$197</definedName>
    <definedName name="Without_66_69_with_54_57_AMI_value">Calculation!$H$245</definedName>
    <definedName name="Without_66_69_with_54_57_Dementia_value" localSheetId="2">Calculation!$H$341</definedName>
    <definedName name="Without_66_69_with_54_57_stroke_value">Calculation!$H$293</definedName>
    <definedName name="Without_66_69_with_57_60_amenity_value">Calculation!$I$197</definedName>
    <definedName name="Without_66_69_with_57_60_AMI_value">Calculation!$I$245</definedName>
    <definedName name="Without_66_69_with_57_60_Dementia_value" localSheetId="2">Calculation!$I$341</definedName>
    <definedName name="Without_66_69_with_57_60_stroke_value">Calculation!$I$293</definedName>
    <definedName name="Without_66_69_with_60_63_amenity_value">Calculation!$J$197</definedName>
    <definedName name="Without_66_69_with_60_63_AMI_value">Calculation!$J$245</definedName>
    <definedName name="Without_66_69_with_60_63_Dementia_value" localSheetId="2">Calculation!$J$341</definedName>
    <definedName name="Without_66_69_with_60_63_stroke_value">Calculation!$J$293</definedName>
    <definedName name="Without_66_69_with_63_66_amenity_value">Calculation!$K$197</definedName>
    <definedName name="Without_66_69_with_63_66_AMI_value">Calculation!$K$245</definedName>
    <definedName name="Without_66_69_with_63_66_Dementia_value" localSheetId="2">Calculation!$K$341</definedName>
    <definedName name="Without_66_69_with_63_66_stroke_value">Calculation!$K$293</definedName>
    <definedName name="Without_66_69_with_66_69_amenity_value">Calculation!$L$197</definedName>
    <definedName name="Without_66_69_with_66_69_AMI_value">Calculation!$L$245</definedName>
    <definedName name="Without_66_69_with_66_69_Dementia_value" localSheetId="2">Calculation!$L$341</definedName>
    <definedName name="Without_66_69_with_66_69_stroke_value">Calculation!$L$293</definedName>
    <definedName name="Without_66_69_with_69_72_amenity_value">Calculation!$M$197</definedName>
    <definedName name="Without_66_69_with_69_72_AMI_value">Calculation!$M$245</definedName>
    <definedName name="Without_66_69_with_69_72_Dementia_value" localSheetId="2">Calculation!$M$341</definedName>
    <definedName name="Without_66_69_with_69_72_sleep_disturbance_value">Calculation!$M$149</definedName>
    <definedName name="Without_66_69_with_69_72_stroke_value">Calculation!$M$293</definedName>
    <definedName name="Without_66_69_with_72_75_amenity_value">Calculation!$N$197</definedName>
    <definedName name="Without_66_69_with_72_75_AMI_value">Calculation!$N$245</definedName>
    <definedName name="Without_66_69_with_72_75_Dementia_value" localSheetId="2">Calculation!$N$341</definedName>
    <definedName name="Without_66_69_with_72_75_sleep_disturbance_value">Calculation!$N$149</definedName>
    <definedName name="Without_66_69_with_72_75_stroke_value">Calculation!$N$293</definedName>
    <definedName name="Without_66_69_with_75_78_amenity_value">Calculation!$O$197</definedName>
    <definedName name="Without_66_69_with_75_78_AMI_value">Calculation!$O$245</definedName>
    <definedName name="Without_66_69_with_75_78_Dementia_value" localSheetId="2">Calculation!$O$341</definedName>
    <definedName name="Without_66_69_with_75_78_sleep_disturbance_value">Calculation!$O$149</definedName>
    <definedName name="Without_66_69_with_75_78_stroke_value">Calculation!$O$293</definedName>
    <definedName name="Without_66_69_with_78_81_amenity_value">Calculation!$P$197</definedName>
    <definedName name="Without_66_69_with_78_81_AMI_value">Calculation!$P$245</definedName>
    <definedName name="Without_66_69_with_78_81_Dementia_value" localSheetId="2">Calculation!$P$341</definedName>
    <definedName name="Without_66_69_with_78_81_sleep_disturbance_value">Calculation!$P$149</definedName>
    <definedName name="Without_66_69_with_78_81_stroke_value">Calculation!$P$293</definedName>
    <definedName name="Without_66_69_with_81_amenity_value">Calculation!$Q$197</definedName>
    <definedName name="Without_66_69_with_81_AMI_value">Calculation!$Q$245</definedName>
    <definedName name="Without_66_69_with_81_Dementia_value" localSheetId="2">Calculation!$Q$341</definedName>
    <definedName name="Without_66_69_with_81_sleep_disturbance_value">Calculation!$Q$149</definedName>
    <definedName name="Without_66_69_with_81_stroke_value">Calculation!$Q$293</definedName>
    <definedName name="Without_66_69_with_xx_amenity_value">Calculation!$D$197:$Q$197</definedName>
    <definedName name="Without_66_69_with_xx_AMI_value">Calculation!$D$245:$Q$245</definedName>
    <definedName name="Without_66_69_with_xx_composite_value">QA!$D$11:$Q$11</definedName>
    <definedName name="Without_66_69_with_xx_dementia_value">Calculation!$D$341:$Q$341</definedName>
    <definedName name="Without_66_69_with_xx_sleep_disturbance_value">Calculation!$D$149:$Q$149</definedName>
    <definedName name="Without_66_69_with_xx_stroke_value">Calculation!$D$293:$Q$293</definedName>
    <definedName name="Without_66_69_with_xx_value">Calculation!$D$80:$Q$80</definedName>
    <definedName name="Without_69_72_with_45_48_amenity_value">Calculation!$E$198</definedName>
    <definedName name="Without_69_72_with_45_48_AMI_value">Calculation!$E$246</definedName>
    <definedName name="Without_69_72_with_45_48_Dementia_value" localSheetId="2">Calculation!$E$342</definedName>
    <definedName name="Without_69_72_with_45_48_stroke_value">Calculation!$E$294</definedName>
    <definedName name="Without_69_72_with_45_amenity_value">Calculation!$D$198</definedName>
    <definedName name="Without_69_72_with_45_AMI_value">Calculation!$D$246</definedName>
    <definedName name="Without_69_72_with_45_Dementia_value" localSheetId="2">Calculation!$D$342</definedName>
    <definedName name="Without_69_72_with_45_stroke_value">Calculation!$D$294</definedName>
    <definedName name="Without_69_72_with_48_51_amenity_value">Calculation!$F$198</definedName>
    <definedName name="Without_69_72_with_48_51_AMI_value">Calculation!$F$246</definedName>
    <definedName name="Without_69_72_with_48_51_Dementia_value" localSheetId="2">Calculation!$F$342</definedName>
    <definedName name="Without_69_72_with_48_51_stroke_value">Calculation!$F$294</definedName>
    <definedName name="Without_69_72_with_51_54_amenity_value">Calculation!$G$198</definedName>
    <definedName name="Without_69_72_with_51_54_AMI_value">Calculation!$G$246</definedName>
    <definedName name="Without_69_72_with_51_54_Dementia_value" localSheetId="2">Calculation!$G$342</definedName>
    <definedName name="Without_69_72_with_51_54_stroke_value">Calculation!$G$294</definedName>
    <definedName name="Without_69_72_with_54_57_amenity_value">Calculation!$H$198</definedName>
    <definedName name="Without_69_72_with_54_57_AMI_value">Calculation!$H$246</definedName>
    <definedName name="Without_69_72_with_54_57_Dementia_value" localSheetId="2">Calculation!$H$342</definedName>
    <definedName name="Without_69_72_with_54_57_stroke_value">Calculation!$H$294</definedName>
    <definedName name="Without_69_72_with_57_60_amenity_value">Calculation!$I$198</definedName>
    <definedName name="Without_69_72_with_57_60_AMI_value">Calculation!$I$246</definedName>
    <definedName name="Without_69_72_with_57_60_Dementia_value" localSheetId="2">Calculation!$I$342</definedName>
    <definedName name="Without_69_72_with_57_60_stroke_value">Calculation!$I$294</definedName>
    <definedName name="Without_69_72_with_60_63_amenity_value">Calculation!$J$198</definedName>
    <definedName name="Without_69_72_with_60_63_AMI_value">Calculation!$J$246</definedName>
    <definedName name="Without_69_72_with_60_63_Dementia_value" localSheetId="2">Calculation!$J$342</definedName>
    <definedName name="Without_69_72_with_60_63_stroke_value">Calculation!$J$294</definedName>
    <definedName name="Without_69_72_with_63_66_amenity_value">Calculation!$K$198</definedName>
    <definedName name="Without_69_72_with_63_66_AMI_value">Calculation!$K$246</definedName>
    <definedName name="Without_69_72_with_63_66_Dementia_value" localSheetId="2">Calculation!$K$342</definedName>
    <definedName name="Without_69_72_with_63_66_stroke_value">Calculation!$K$294</definedName>
    <definedName name="Without_69_72_with_66_69_amenity_value">Calculation!$L$198</definedName>
    <definedName name="Without_69_72_with_66_69_AMI_value">Calculation!$L$246</definedName>
    <definedName name="Without_69_72_with_66_69_Dementia_value" localSheetId="2">Calculation!$L$342</definedName>
    <definedName name="Without_69_72_with_66_69_stroke_value">Calculation!$L$294</definedName>
    <definedName name="Without_69_72_with_69_72_amenity_value">Calculation!$M$198</definedName>
    <definedName name="Without_69_72_with_69_72_AMI_value">Calculation!$M$246</definedName>
    <definedName name="Without_69_72_with_69_72_Dementia_value" localSheetId="2">Calculation!$M$342</definedName>
    <definedName name="Without_69_72_with_69_72_stroke_value">Calculation!$M$294</definedName>
    <definedName name="Without_69_72_with_72_75_amenity_value">Calculation!$N$198</definedName>
    <definedName name="Without_69_72_with_72_75_AMI_value">Calculation!$N$246</definedName>
    <definedName name="Without_69_72_with_72_75_Dementia_value" localSheetId="2">Calculation!$N$342</definedName>
    <definedName name="Without_69_72_with_72_75_sleep_disturbance_value">Calculation!$N$150</definedName>
    <definedName name="Without_69_72_with_72_75_stroke_value">Calculation!$N$294</definedName>
    <definedName name="Without_69_72_with_75_78_amenity_value">Calculation!$O$198</definedName>
    <definedName name="Without_69_72_with_75_78_AMI_value">Calculation!$O$246</definedName>
    <definedName name="Without_69_72_with_75_78_Dementia_value" localSheetId="2">Calculation!$O$342</definedName>
    <definedName name="Without_69_72_with_75_78_sleep_disturbance_value">Calculation!$O$150</definedName>
    <definedName name="Without_69_72_with_75_78_stroke_value">Calculation!$O$294</definedName>
    <definedName name="Without_69_72_with_78_81_amenity_value">Calculation!$P$198</definedName>
    <definedName name="Without_69_72_with_78_81_AMI_value">Calculation!$P$246</definedName>
    <definedName name="Without_69_72_with_78_81_Dementia_value" localSheetId="2">Calculation!$P$342</definedName>
    <definedName name="Without_69_72_with_78_81_sleep_disturbance_value">Calculation!$P$150</definedName>
    <definedName name="Without_69_72_with_78_81_stroke_value">Calculation!$P$294</definedName>
    <definedName name="Without_69_72_with_81_amenity_value">Calculation!$Q$198</definedName>
    <definedName name="Without_69_72_with_81_AMI_value">Calculation!$Q$246</definedName>
    <definedName name="Without_69_72_with_81_Dementia_value" localSheetId="2">Calculation!$Q$342</definedName>
    <definedName name="Without_69_72_with_81_sleep_disturbance_value">Calculation!$Q$150</definedName>
    <definedName name="Without_69_72_with_81_stroke_value">Calculation!$Q$294</definedName>
    <definedName name="Without_69_72_with_xx_amenity_value">Calculation!$D$198:$Q$198</definedName>
    <definedName name="Without_69_72_with_xx_AMI_value">Calculation!$D$246:$Q$246</definedName>
    <definedName name="Without_69_72_with_xx_composite_value">QA!$D$12:$Q$12</definedName>
    <definedName name="Without_69_72_with_xx_dementia_value">Calculation!$D$342:$Q$342</definedName>
    <definedName name="Without_69_72_with_xx_sleep_disturbance_value">Calculation!$D$150:$Q$150</definedName>
    <definedName name="Without_69_72_with_xx_stroke_value">Calculation!$D$294:$Q$294</definedName>
    <definedName name="Without_69_72_with_xx_value">Calculation!$D$88:$Q$88</definedName>
    <definedName name="Without_72_75_with_45_48_amenity_value">Calculation!$E$199</definedName>
    <definedName name="Without_72_75_with_45_48_AMI_value">Calculation!$E$247</definedName>
    <definedName name="Without_72_75_with_45_48_Dementia_value" localSheetId="2">Calculation!$E$343</definedName>
    <definedName name="Without_72_75_with_45_48_stroke_value">Calculation!$E$295</definedName>
    <definedName name="Without_72_75_with_45_amenity_value">Calculation!$D$199</definedName>
    <definedName name="Without_72_75_with_45_AMI_value">Calculation!$D$247</definedName>
    <definedName name="Without_72_75_with_45_Dementia_value" localSheetId="2">Calculation!$D$343</definedName>
    <definedName name="Without_72_75_with_45_stroke_value">Calculation!$D$295</definedName>
    <definedName name="Without_72_75_with_48_51_amenity_value">Calculation!$F$199</definedName>
    <definedName name="Without_72_75_with_48_51_AMI_value">Calculation!$F$247</definedName>
    <definedName name="Without_72_75_with_48_51_Dementia_value" localSheetId="2">Calculation!$F$343</definedName>
    <definedName name="Without_72_75_with_48_51_stroke_value">Calculation!$F$295</definedName>
    <definedName name="Without_72_75_with_51_54_amenity_value">Calculation!$G$199</definedName>
    <definedName name="Without_72_75_with_51_54_AMI_value">Calculation!$G$247</definedName>
    <definedName name="Without_72_75_with_51_54_Dementia_value" localSheetId="2">Calculation!$G$343</definedName>
    <definedName name="Without_72_75_with_51_54_stroke_value">Calculation!$G$295</definedName>
    <definedName name="Without_72_75_with_54_57_amenity_value">Calculation!$H$199</definedName>
    <definedName name="Without_72_75_with_54_57_AMI_value">Calculation!$H$247</definedName>
    <definedName name="Without_72_75_with_54_57_Dementia_value" localSheetId="2">Calculation!$H$343</definedName>
    <definedName name="Without_72_75_with_54_57_stroke_value">Calculation!$H$295</definedName>
    <definedName name="Without_72_75_with_57_60_amenity_value">Calculation!$I$199</definedName>
    <definedName name="Without_72_75_with_57_60_AMI_value">Calculation!$I$247</definedName>
    <definedName name="Without_72_75_with_57_60_Dementia_value" localSheetId="2">Calculation!$I$343</definedName>
    <definedName name="Without_72_75_with_57_60_stroke_value">Calculation!$I$295</definedName>
    <definedName name="Without_72_75_with_60_63_amenity_value">Calculation!$J$199</definedName>
    <definedName name="Without_72_75_with_60_63_AMI_value">Calculation!$J$247</definedName>
    <definedName name="Without_72_75_with_60_63_Dementia_value" localSheetId="2">Calculation!$J$343</definedName>
    <definedName name="Without_72_75_with_60_63_stroke_value">Calculation!$J$295</definedName>
    <definedName name="Without_72_75_with_63_66_amenity_value">Calculation!$K$199</definedName>
    <definedName name="Without_72_75_with_63_66_AMI_value">Calculation!$K$247</definedName>
    <definedName name="Without_72_75_with_63_66_Dementia_value" localSheetId="2">Calculation!$K$343</definedName>
    <definedName name="Without_72_75_with_63_66_stroke_value">Calculation!$K$295</definedName>
    <definedName name="Without_72_75_with_66_69_amenity_value">Calculation!$L$199</definedName>
    <definedName name="Without_72_75_with_66_69_AMI_value">Calculation!$L$247</definedName>
    <definedName name="Without_72_75_with_66_69_Dementia_value" localSheetId="2">Calculation!$L$343</definedName>
    <definedName name="Without_72_75_with_66_69_stroke_value">Calculation!$L$295</definedName>
    <definedName name="Without_72_75_with_69_72_amenity_value">Calculation!$M$199</definedName>
    <definedName name="Without_72_75_with_69_72_AMI_value">Calculation!$M$247</definedName>
    <definedName name="Without_72_75_with_69_72_Dementia_value" localSheetId="2">Calculation!$M$343</definedName>
    <definedName name="Without_72_75_with_69_72_stroke_value">Calculation!$M$295</definedName>
    <definedName name="Without_72_75_with_72_75_amenity_value">Calculation!$N$199</definedName>
    <definedName name="Without_72_75_with_72_75_AMI_value">Calculation!$N$247</definedName>
    <definedName name="Without_72_75_with_72_75_Dementia_value" localSheetId="2">Calculation!$N$343</definedName>
    <definedName name="Without_72_75_with_72_75_stroke_value">Calculation!$N$295</definedName>
    <definedName name="Without_72_75_with_75_78_amenity_value">Calculation!$O$199</definedName>
    <definedName name="Without_72_75_with_75_78_AMI_value">Calculation!$O$247</definedName>
    <definedName name="Without_72_75_with_75_78_Dementia_value" localSheetId="2">Calculation!$O$343</definedName>
    <definedName name="Without_72_75_with_75_78_sleep_disturbance_value">Calculation!$O$151</definedName>
    <definedName name="Without_72_75_with_75_78_stroke_value">Calculation!$O$295</definedName>
    <definedName name="Without_72_75_with_78_81_amenity_value">Calculation!$P$199</definedName>
    <definedName name="Without_72_75_with_78_81_AMI_value">Calculation!$P$247</definedName>
    <definedName name="Without_72_75_with_78_81_Dementia_value" localSheetId="2">Calculation!$P$343</definedName>
    <definedName name="Without_72_75_with_78_81_sleep_disturbance_value">Calculation!$P$151</definedName>
    <definedName name="Without_72_75_with_78_81_stroke_value">Calculation!$P$295</definedName>
    <definedName name="Without_72_75_with_81_amenity_value">Calculation!$Q$199</definedName>
    <definedName name="Without_72_75_with_81_AMI_value">Calculation!$Q$247</definedName>
    <definedName name="Without_72_75_with_81_Dementia_value" localSheetId="2">Calculation!$Q$343</definedName>
    <definedName name="Without_72_75_with_81_sleep_disturbance_value">Calculation!$Q$151</definedName>
    <definedName name="Without_72_75_with_81_stroke_value">Calculation!$Q$295</definedName>
    <definedName name="Without_72_75_with_xx_amenity_value">Calculation!$D$199:$Q$199</definedName>
    <definedName name="Without_72_75_with_xx_AMI_value">Calculation!$D$247:$Q$247</definedName>
    <definedName name="Without_72_75_with_xx_composite_value">QA!$D$13:$Q$13</definedName>
    <definedName name="Without_72_75_with_xx_dementia_value">Calculation!$D$343:$Q$343</definedName>
    <definedName name="Without_72_75_with_xx_sleep_disturbance_value">Calculation!$D$151:$Q$151</definedName>
    <definedName name="Without_72_75_with_xx_stroke_value">Calculation!$D$295:$Q$295</definedName>
    <definedName name="Without_72_75_with_xx_value">Calculation!$D$89:$Q$89</definedName>
    <definedName name="Without_75_78_with_45_48_amenity_value">Calculation!$E$200</definedName>
    <definedName name="Without_75_78_with_45_48_AMI_value">Calculation!$E$248</definedName>
    <definedName name="Without_75_78_with_45_48_Dementia_value" localSheetId="2">Calculation!$E$344</definedName>
    <definedName name="Without_75_78_with_45_48_stroke_value">Calculation!$E$296</definedName>
    <definedName name="Without_75_78_with_45_amenity_value">Calculation!$D$200</definedName>
    <definedName name="Without_75_78_with_45_AMI_value">Calculation!$D$248</definedName>
    <definedName name="Without_75_78_with_45_Dementia_value" localSheetId="2">Calculation!$D$344</definedName>
    <definedName name="Without_75_78_with_45_stroke_value">Calculation!$D$296</definedName>
    <definedName name="Without_75_78_with_48_51_amenity_value">Calculation!$F$200</definedName>
    <definedName name="Without_75_78_with_48_51_AMI_value">Calculation!$F$248</definedName>
    <definedName name="Without_75_78_with_48_51_Dementia_value" localSheetId="2">Calculation!$F$344</definedName>
    <definedName name="Without_75_78_with_48_51_stroke_value">Calculation!$F$296</definedName>
    <definedName name="Without_75_78_with_51_54_amenity_value">Calculation!$G$200</definedName>
    <definedName name="Without_75_78_with_51_54_AMI_value">Calculation!$G$248</definedName>
    <definedName name="Without_75_78_with_51_54_Dementia_value" localSheetId="2">Calculation!$G$344</definedName>
    <definedName name="Without_75_78_with_51_54_stroke_value">Calculation!$G$296</definedName>
    <definedName name="Without_75_78_with_54_57_amenity_value">Calculation!$H$200</definedName>
    <definedName name="Without_75_78_with_54_57_AMI_value">Calculation!$H$248</definedName>
    <definedName name="Without_75_78_with_54_57_Dementia_value" localSheetId="2">Calculation!$H$344</definedName>
    <definedName name="Without_75_78_with_54_57_stroke_value">Calculation!$H$296</definedName>
    <definedName name="Without_75_78_with_57_60_amenity_value">Calculation!$I$200</definedName>
    <definedName name="Without_75_78_with_57_60_AMI_value">Calculation!$I$248</definedName>
    <definedName name="Without_75_78_with_57_60_Dementia_value" localSheetId="2">Calculation!$I$344</definedName>
    <definedName name="Without_75_78_with_57_60_stroke_value">Calculation!$I$296</definedName>
    <definedName name="Without_75_78_with_60_63_amenity_value">Calculation!$J$200</definedName>
    <definedName name="Without_75_78_with_60_63_AMI_value">Calculation!$J$248</definedName>
    <definedName name="Without_75_78_with_60_63_Dementia_value" localSheetId="2">Calculation!$J$344</definedName>
    <definedName name="Without_75_78_with_60_63_stroke_value">Calculation!$J$296</definedName>
    <definedName name="Without_75_78_with_63_66_amenity_value">Calculation!$K$200</definedName>
    <definedName name="Without_75_78_with_63_66_AMI_value">Calculation!$K$248</definedName>
    <definedName name="Without_75_78_with_63_66_Dementia_value" localSheetId="2">Calculation!$K$344</definedName>
    <definedName name="Without_75_78_with_63_66_stroke_value">Calculation!$K$296</definedName>
    <definedName name="Without_75_78_with_66_69_amenity_value">Calculation!$L$200</definedName>
    <definedName name="Without_75_78_with_66_69_AMI_value">Calculation!$L$248</definedName>
    <definedName name="Without_75_78_with_66_69_Dementia_value" localSheetId="2">Calculation!$L$344</definedName>
    <definedName name="Without_75_78_with_66_69_stroke_value">Calculation!$L$296</definedName>
    <definedName name="Without_75_78_with_69_72_amenity_value">Calculation!$M$200</definedName>
    <definedName name="Without_75_78_with_69_72_AMI_value">Calculation!$M$248</definedName>
    <definedName name="Without_75_78_with_69_72_Dementia_value" localSheetId="2">Calculation!$M$344</definedName>
    <definedName name="Without_75_78_with_69_72_stroke_value">Calculation!$M$296</definedName>
    <definedName name="Without_75_78_with_72_75_amenity_value">Calculation!$N$200</definedName>
    <definedName name="Without_75_78_with_72_75_AMI_value">Calculation!$N$248</definedName>
    <definedName name="Without_75_78_with_72_75_Dementia_value" localSheetId="2">Calculation!$N$344</definedName>
    <definedName name="Without_75_78_with_72_75_stroke_value">Calculation!$N$296</definedName>
    <definedName name="Without_75_78_with_75_78_amenity_value">Calculation!$O$200</definedName>
    <definedName name="Without_75_78_with_75_78_AMI_value">Calculation!$O$248</definedName>
    <definedName name="Without_75_78_with_75_78_Dementia_value" localSheetId="2">Calculation!$O$344</definedName>
    <definedName name="Without_75_78_with_75_78_stroke_value">Calculation!$O$296</definedName>
    <definedName name="Without_75_78_with_78_81_amenity_value">Calculation!$P$200</definedName>
    <definedName name="Without_75_78_with_78_81_AMI_value">Calculation!$P$248</definedName>
    <definedName name="Without_75_78_with_78_81_Dementia_value" localSheetId="2">Calculation!$P$344</definedName>
    <definedName name="Without_75_78_with_78_81_sleep_disturbance_value">Calculation!$P$152</definedName>
    <definedName name="Without_75_78_with_78_81_stroke_value">Calculation!$P$296</definedName>
    <definedName name="Without_75_78_with_81_amenity_value">Calculation!$Q$200</definedName>
    <definedName name="Without_75_78_with_81_AMI_value">Calculation!$Q$248</definedName>
    <definedName name="Without_75_78_with_81_Dementia_value" localSheetId="2">Calculation!$Q$344</definedName>
    <definedName name="Without_75_78_with_81_sleep_disturbance_value">Calculation!$Q$152</definedName>
    <definedName name="Without_75_78_with_81_stroke_value">Calculation!$Q$296</definedName>
    <definedName name="Without_75_78_with_xx_amenity_value">Calculation!$D$200:$Q$200</definedName>
    <definedName name="Without_75_78_with_xx_AMI_value">Calculation!$D$248:$Q$248</definedName>
    <definedName name="Without_75_78_with_xx_composite_value">QA!$D$14:$Q$14</definedName>
    <definedName name="Without_75_78_with_xx_dementia_value">Calculation!$D$344:$Q$344</definedName>
    <definedName name="Without_75_78_with_xx_sleep_disturbance_value">Calculation!$D$152:$Q$152</definedName>
    <definedName name="Without_75_78_with_xx_stroke_value">Calculation!$D$296:$Q$296</definedName>
    <definedName name="Without_75_78_with_xx_value">Calculation!$D$90:$Q$90</definedName>
    <definedName name="Without_78_81_with_45_48_amenity_value">Calculation!$E$201</definedName>
    <definedName name="Without_78_81_with_45_48_AMI_value">Calculation!$E$249</definedName>
    <definedName name="Without_78_81_with_45_48_Dementia_value" localSheetId="2">Calculation!$E$345</definedName>
    <definedName name="Without_78_81_with_45_48_stroke_value">Calculation!$E$297</definedName>
    <definedName name="Without_78_81_with_45_amenity_value">Calculation!$D$201</definedName>
    <definedName name="Without_78_81_with_45_AMI_value">Calculation!$D$249</definedName>
    <definedName name="Without_78_81_with_45_Dementia_value" localSheetId="2">Calculation!$D$345</definedName>
    <definedName name="Without_78_81_with_45_stroke_value">Calculation!$D$297</definedName>
    <definedName name="Without_78_81_with_48_51_amenity_value">Calculation!$F$201</definedName>
    <definedName name="Without_78_81_with_48_51_AMI_value">Calculation!$F$249</definedName>
    <definedName name="Without_78_81_with_48_51_Dementia_value" localSheetId="2">Calculation!$F$345</definedName>
    <definedName name="Without_78_81_with_48_51_stroke_value">Calculation!$F$297</definedName>
    <definedName name="Without_78_81_with_51_54_amenity_value">Calculation!$G$201</definedName>
    <definedName name="Without_78_81_with_51_54_AMI_value">Calculation!$G$249</definedName>
    <definedName name="Without_78_81_with_51_54_Dementia_value" localSheetId="2">Calculation!$G$345</definedName>
    <definedName name="Without_78_81_with_51_54_stroke_value">Calculation!$G$297</definedName>
    <definedName name="Without_78_81_with_54_57_amenity_value">Calculation!$H$201</definedName>
    <definedName name="Without_78_81_with_54_57_AMI_value">Calculation!$H$249</definedName>
    <definedName name="Without_78_81_with_54_57_Dementia_value" localSheetId="2">Calculation!$H$345</definedName>
    <definedName name="Without_78_81_with_54_57_stroke_value">Calculation!$H$297</definedName>
    <definedName name="Without_78_81_with_57_60_amenity_value">Calculation!$I$201</definedName>
    <definedName name="Without_78_81_with_57_60_AMI_value">Calculation!$I$249</definedName>
    <definedName name="Without_78_81_with_57_60_Dementia_value" localSheetId="2">Calculation!$I$345</definedName>
    <definedName name="Without_78_81_with_57_60_stroke_value">Calculation!$I$297</definedName>
    <definedName name="Without_78_81_with_60_63_amenity_value">Calculation!$J$201</definedName>
    <definedName name="Without_78_81_with_60_63_AMI_value">Calculation!$J$249</definedName>
    <definedName name="Without_78_81_with_60_63_Dementia_value" localSheetId="2">Calculation!$J$345</definedName>
    <definedName name="Without_78_81_with_60_63_stroke_value">Calculation!$J$297</definedName>
    <definedName name="Without_78_81_with_63_66_amenity_value">Calculation!$K$201</definedName>
    <definedName name="Without_78_81_with_63_66_AMI_value">Calculation!$K$249</definedName>
    <definedName name="Without_78_81_with_63_66_Dementia_value" localSheetId="2">Calculation!$K$345</definedName>
    <definedName name="Without_78_81_with_63_66_stroke_value">Calculation!$K$297</definedName>
    <definedName name="Without_78_81_with_66_69_amenity_value">Calculation!$L$201</definedName>
    <definedName name="Without_78_81_with_66_69_AMI_value">Calculation!$L$249</definedName>
    <definedName name="Without_78_81_with_66_69_Dementia_value" localSheetId="2">Calculation!$L$345</definedName>
    <definedName name="Without_78_81_with_66_69_stroke_value">Calculation!$L$297</definedName>
    <definedName name="Without_78_81_with_69_72_amenity_value">Calculation!$M$201</definedName>
    <definedName name="Without_78_81_with_69_72_AMI_value">Calculation!$M$249</definedName>
    <definedName name="Without_78_81_with_69_72_Dementia_value" localSheetId="2">Calculation!$M$345</definedName>
    <definedName name="Without_78_81_with_69_72_stroke_value">Calculation!$M$297</definedName>
    <definedName name="Without_78_81_with_72_75_amenity_value">Calculation!$N$201</definedName>
    <definedName name="Without_78_81_with_72_75_AMI_value">Calculation!$N$249</definedName>
    <definedName name="Without_78_81_with_72_75_Dementia_value" localSheetId="2">Calculation!$N$345</definedName>
    <definedName name="Without_78_81_with_72_75_stroke_value">Calculation!$N$297</definedName>
    <definedName name="Without_78_81_with_75_78_amenity_value">Calculation!$O$201</definedName>
    <definedName name="Without_78_81_with_75_78_AMI_value">Calculation!$O$249</definedName>
    <definedName name="Without_78_81_with_75_78_Dementia_value" localSheetId="2">Calculation!$O$345</definedName>
    <definedName name="Without_78_81_with_75_78_stroke_value">Calculation!$O$297</definedName>
    <definedName name="Without_78_81_with_78_81_amenity_value">Calculation!$P$201</definedName>
    <definedName name="Without_78_81_with_78_81_AMI_value">Calculation!$P$249</definedName>
    <definedName name="Without_78_81_with_78_81_Dementia_value" localSheetId="2">Calculation!$P$345</definedName>
    <definedName name="Without_78_81_with_78_81_stroke_value">Calculation!$P$297</definedName>
    <definedName name="Without_78_81_with_81_amenity_value">Calculation!$Q$201</definedName>
    <definedName name="Without_78_81_with_81_AMI_value">Calculation!$Q$249</definedName>
    <definedName name="Without_78_81_with_81_Dementia_value" localSheetId="2">Calculation!$Q$345</definedName>
    <definedName name="Without_78_81_with_81_sleep_disturbance_value">Calculation!$Q$153</definedName>
    <definedName name="Without_78_81_with_81_stroke_value">Calculation!$Q$297</definedName>
    <definedName name="Without_78_81_with_xx_amenity_value">Calculation!$D$201:$Q$201</definedName>
    <definedName name="Without_78_81_with_xx_AMI_value">Calculation!$D$249:$Q$249</definedName>
    <definedName name="Without_78_81_with_xx_composite_value">QA!$D$15:$Q$15</definedName>
    <definedName name="Without_78_81_with_xx_dementia_value">Calculation!$D$345:$Q$345</definedName>
    <definedName name="Without_78_81_with_xx_sleep_disturbance_value">Calculation!$D$153:$Q$153</definedName>
    <definedName name="Without_78_81_with_xx_stroke_value">Calculation!$D$297:$Q$297</definedName>
    <definedName name="Without_78_81_with_xx_value">Calculation!$D$91:$Q$91</definedName>
    <definedName name="Without_81_with_45_48_amenity_value">Calculation!$E$202</definedName>
    <definedName name="Without_81_with_45_48_AMI_value">Calculation!$E$250</definedName>
    <definedName name="Without_81_with_45_48_Dementia_value" localSheetId="2">Calculation!$E$346</definedName>
    <definedName name="Without_81_with_45_48_stroke_value">Calculation!$E$298</definedName>
    <definedName name="Without_81_with_45_amenity_value">Calculation!$D$202</definedName>
    <definedName name="Without_81_with_45_AMI_value">Calculation!$D$250</definedName>
    <definedName name="Without_81_with_45_Dementia_value" localSheetId="2">Calculation!$D$346</definedName>
    <definedName name="Without_81_with_45_stroke_value">Calculation!$D$298</definedName>
    <definedName name="Without_81_with_48_51_amenity_value">Calculation!$F$202</definedName>
    <definedName name="Without_81_with_48_51_AMI_value">Calculation!$F$250</definedName>
    <definedName name="Without_81_with_48_51_Dementia_value" localSheetId="2">Calculation!$F$346</definedName>
    <definedName name="Without_81_with_48_51_stroke_value">Calculation!$F$298</definedName>
    <definedName name="Without_81_with_51_54_amenity_value">Calculation!$G$202</definedName>
    <definedName name="Without_81_with_51_54_AMI_value">Calculation!$G$250</definedName>
    <definedName name="Without_81_with_51_54_Dementia_value" localSheetId="2">Calculation!$G$346</definedName>
    <definedName name="Without_81_with_51_54_stroke_value">Calculation!$G$298</definedName>
    <definedName name="Without_81_with_54_57_amenity_value">Calculation!$H$202</definedName>
    <definedName name="Without_81_with_54_57_AMI_value">Calculation!$H$250</definedName>
    <definedName name="Without_81_with_54_57_Dementia_value" localSheetId="2">Calculation!$H$346</definedName>
    <definedName name="Without_81_with_54_57_stroke_value">Calculation!$H$298</definedName>
    <definedName name="Without_81_with_57_60_amenity_value">Calculation!$I$202</definedName>
    <definedName name="Without_81_with_57_60_AMI_value">Calculation!$I$250</definedName>
    <definedName name="Without_81_with_57_60_Dementia_value" localSheetId="2">Calculation!$I$346</definedName>
    <definedName name="Without_81_with_57_60_stroke_value">Calculation!$I$298</definedName>
    <definedName name="Without_81_with_60_63_amenity_value">Calculation!$J$202</definedName>
    <definedName name="Without_81_with_60_63_AMI_value">Calculation!$J$250</definedName>
    <definedName name="Without_81_with_60_63_Dementia_value" localSheetId="2">Calculation!$J$346</definedName>
    <definedName name="Without_81_with_60_63_stroke_value">Calculation!$J$298</definedName>
    <definedName name="Without_81_with_63_66_amenity_value">Calculation!$K$202</definedName>
    <definedName name="Without_81_with_63_66_AMI_value">Calculation!$K$250</definedName>
    <definedName name="Without_81_with_63_66_Dementia_value" localSheetId="2">Calculation!$K$346</definedName>
    <definedName name="Without_81_with_63_66_stroke_value">Calculation!$K$298</definedName>
    <definedName name="Without_81_with_66_69_amenity_value">Calculation!$L$202</definedName>
    <definedName name="Without_81_with_66_69_AMI_value">Calculation!$L$250</definedName>
    <definedName name="Without_81_with_66_69_Dementia_value" localSheetId="2">Calculation!$L$346</definedName>
    <definedName name="Without_81_with_66_69_stroke_value">Calculation!$L$298</definedName>
    <definedName name="Without_81_with_69_72_amenity_value">Calculation!$M$202</definedName>
    <definedName name="Without_81_with_69_72_AMI_value">Calculation!$M$250</definedName>
    <definedName name="Without_81_with_69_72_Dementia_value" localSheetId="2">Calculation!$M$346</definedName>
    <definedName name="Without_81_with_69_72_stroke_value">Calculation!$M$298</definedName>
    <definedName name="Without_81_with_72_75_amenity_value">Calculation!$N$202</definedName>
    <definedName name="Without_81_with_72_75_AMI_value">Calculation!$N$250</definedName>
    <definedName name="Without_81_with_72_75_Dementia_value" localSheetId="2">Calculation!$N$346</definedName>
    <definedName name="Without_81_with_72_75_stroke_value">Calculation!$N$298</definedName>
    <definedName name="Without_81_with_75_78_amenity_value">Calculation!$O$202</definedName>
    <definedName name="Without_81_with_75_78_AMI_value">Calculation!$O$250</definedName>
    <definedName name="Without_81_with_75_78_Dementia_value" localSheetId="2">Calculation!$O$346</definedName>
    <definedName name="Without_81_with_75_78_stroke_value">Calculation!$O$298</definedName>
    <definedName name="Without_81_with_78_81_amenity_value">Calculation!$P$202</definedName>
    <definedName name="Without_81_with_78_81_AMI_value">Calculation!$P$250</definedName>
    <definedName name="Without_81_with_78_81_Dementia_value" localSheetId="2">Calculation!$P$346</definedName>
    <definedName name="Without_81_with_78_81_stroke_value">Calculation!$P$298</definedName>
    <definedName name="Without_81_with_81_amenity_value">Calculation!$Q$202</definedName>
    <definedName name="Without_81_with_81_AMI_value">Calculation!$Q$250</definedName>
    <definedName name="Without_81_with_81_Dementia_value" localSheetId="2">Calculation!$Q$346</definedName>
    <definedName name="Without_81_with_81_stroke_value">Calculation!$Q$298</definedName>
    <definedName name="Without_81_with_xx_amenity_value">Calculation!$D$202:$Q$202</definedName>
    <definedName name="Without_81_with_xx_AMI_value">Calculation!$D$250:$Q$250</definedName>
    <definedName name="Without_81_with_xx_composite_value">QA!$D$16:$Q$16</definedName>
    <definedName name="Without_81_with_xx_dementia_value">Calculation!$D$346:$Q$346</definedName>
    <definedName name="Without_81_with_xx_sleep_disturbance_value">Calculation!$D$154:$Q$154</definedName>
    <definedName name="Without_81_with_xx_stroke_value">Calculation!$D$298:$Q$298</definedName>
    <definedName name="Without_81_with_xx_value">Calculation!$D$92:$Q$92</definedName>
    <definedName name="year">Calculation!$D$572:$CP$572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661" i="2" l="1"/>
  <c r="CO661" i="2"/>
  <c r="CN661" i="2"/>
  <c r="CM661" i="2"/>
  <c r="CL661" i="2"/>
  <c r="CK661" i="2"/>
  <c r="CJ661" i="2"/>
  <c r="CI661" i="2"/>
  <c r="CH661" i="2"/>
  <c r="CG661" i="2"/>
  <c r="CF661" i="2"/>
  <c r="CE661" i="2"/>
  <c r="CD661" i="2"/>
  <c r="CC661" i="2"/>
  <c r="CB661" i="2"/>
  <c r="CA661" i="2"/>
  <c r="R661" i="2"/>
  <c r="Q661" i="2"/>
  <c r="P661" i="2"/>
  <c r="O661" i="2"/>
  <c r="N661" i="2"/>
  <c r="M661" i="2"/>
  <c r="L661" i="2"/>
  <c r="K661" i="2"/>
  <c r="J661" i="2"/>
  <c r="I661" i="2"/>
  <c r="H661" i="2"/>
  <c r="G661" i="2"/>
  <c r="F661" i="2"/>
  <c r="E661" i="2"/>
  <c r="CP660" i="2"/>
  <c r="CO660" i="2"/>
  <c r="CN660" i="2"/>
  <c r="CM660" i="2"/>
  <c r="CL660" i="2"/>
  <c r="CK660" i="2"/>
  <c r="CJ660" i="2"/>
  <c r="CI660" i="2"/>
  <c r="CH660" i="2"/>
  <c r="CG660" i="2"/>
  <c r="CF660" i="2"/>
  <c r="CE660" i="2"/>
  <c r="CD660" i="2"/>
  <c r="CC660" i="2"/>
  <c r="CB660" i="2"/>
  <c r="CA660" i="2"/>
  <c r="R660" i="2"/>
  <c r="Q660" i="2"/>
  <c r="P660" i="2"/>
  <c r="O660" i="2"/>
  <c r="N660" i="2"/>
  <c r="M660" i="2"/>
  <c r="L660" i="2"/>
  <c r="K660" i="2"/>
  <c r="J660" i="2"/>
  <c r="I660" i="2"/>
  <c r="H660" i="2"/>
  <c r="G660" i="2"/>
  <c r="F660" i="2"/>
  <c r="E660" i="2"/>
  <c r="CP659" i="2"/>
  <c r="CO659" i="2"/>
  <c r="CN659" i="2"/>
  <c r="CM659" i="2"/>
  <c r="CL659" i="2"/>
  <c r="CK659" i="2"/>
  <c r="CJ659" i="2"/>
  <c r="CI659" i="2"/>
  <c r="CH659" i="2"/>
  <c r="CG659" i="2"/>
  <c r="CF659" i="2"/>
  <c r="CE659" i="2"/>
  <c r="CD659" i="2"/>
  <c r="CC659" i="2"/>
  <c r="CB659" i="2"/>
  <c r="CA659" i="2"/>
  <c r="R659" i="2"/>
  <c r="Q659" i="2"/>
  <c r="P659" i="2"/>
  <c r="O659" i="2"/>
  <c r="N659" i="2"/>
  <c r="M659" i="2"/>
  <c r="L659" i="2"/>
  <c r="K659" i="2"/>
  <c r="J659" i="2"/>
  <c r="I659" i="2"/>
  <c r="H659" i="2"/>
  <c r="G659" i="2"/>
  <c r="F659" i="2"/>
  <c r="E659" i="2"/>
  <c r="CP658" i="2"/>
  <c r="CO658" i="2"/>
  <c r="CN658" i="2"/>
  <c r="CM658" i="2"/>
  <c r="CL658" i="2"/>
  <c r="CK658" i="2"/>
  <c r="CJ658" i="2"/>
  <c r="CI658" i="2"/>
  <c r="CH658" i="2"/>
  <c r="CG658" i="2"/>
  <c r="CF658" i="2"/>
  <c r="CE658" i="2"/>
  <c r="CD658" i="2"/>
  <c r="CC658" i="2"/>
  <c r="CB658" i="2"/>
  <c r="CA658" i="2"/>
  <c r="R658" i="2"/>
  <c r="Q658" i="2"/>
  <c r="P658" i="2"/>
  <c r="O658" i="2"/>
  <c r="N658" i="2"/>
  <c r="M658" i="2"/>
  <c r="L658" i="2"/>
  <c r="K658" i="2"/>
  <c r="J658" i="2"/>
  <c r="I658" i="2"/>
  <c r="H658" i="2"/>
  <c r="G658" i="2"/>
  <c r="F658" i="2"/>
  <c r="E658" i="2"/>
  <c r="CP657" i="2"/>
  <c r="CO657" i="2"/>
  <c r="CN657" i="2"/>
  <c r="CM657" i="2"/>
  <c r="CL657" i="2"/>
  <c r="CK657" i="2"/>
  <c r="CJ657" i="2"/>
  <c r="CI657" i="2"/>
  <c r="CH657" i="2"/>
  <c r="CG657" i="2"/>
  <c r="CF657" i="2"/>
  <c r="CE657" i="2"/>
  <c r="CD657" i="2"/>
  <c r="CC657" i="2"/>
  <c r="CB657" i="2"/>
  <c r="CA657" i="2"/>
  <c r="R657" i="2"/>
  <c r="Q657" i="2"/>
  <c r="P657" i="2"/>
  <c r="O657" i="2"/>
  <c r="N657" i="2"/>
  <c r="M657" i="2"/>
  <c r="L657" i="2"/>
  <c r="K657" i="2"/>
  <c r="J657" i="2"/>
  <c r="I657" i="2"/>
  <c r="H657" i="2"/>
  <c r="G657" i="2"/>
  <c r="F657" i="2"/>
  <c r="E657" i="2"/>
  <c r="D661" i="2"/>
  <c r="D660" i="2"/>
  <c r="D659" i="2"/>
  <c r="D658" i="2"/>
  <c r="D657" i="2"/>
  <c r="CP641" i="2"/>
  <c r="CO641" i="2"/>
  <c r="CN641" i="2"/>
  <c r="CM641" i="2"/>
  <c r="CL641" i="2"/>
  <c r="CK641" i="2"/>
  <c r="CJ641" i="2"/>
  <c r="CI641" i="2"/>
  <c r="CH641" i="2"/>
  <c r="CG641" i="2"/>
  <c r="CF641" i="2"/>
  <c r="CE641" i="2"/>
  <c r="CD641" i="2"/>
  <c r="CC641" i="2"/>
  <c r="CB641" i="2"/>
  <c r="CA641" i="2"/>
  <c r="BZ641" i="2"/>
  <c r="BY641" i="2"/>
  <c r="BX641" i="2"/>
  <c r="BW641" i="2"/>
  <c r="BV641" i="2"/>
  <c r="BU641" i="2"/>
  <c r="BT641" i="2"/>
  <c r="BS641" i="2"/>
  <c r="BR641" i="2"/>
  <c r="BQ641" i="2"/>
  <c r="BP641" i="2"/>
  <c r="BO641" i="2"/>
  <c r="BN641" i="2"/>
  <c r="BM641" i="2"/>
  <c r="BL641" i="2"/>
  <c r="BK641" i="2"/>
  <c r="BJ641" i="2"/>
  <c r="BI641" i="2"/>
  <c r="BH641" i="2"/>
  <c r="BG641" i="2"/>
  <c r="BF641" i="2"/>
  <c r="BE641" i="2"/>
  <c r="BD641" i="2"/>
  <c r="BC641" i="2"/>
  <c r="BB641" i="2"/>
  <c r="BA641" i="2"/>
  <c r="AZ641" i="2"/>
  <c r="AY641" i="2"/>
  <c r="AX641" i="2"/>
  <c r="AW641" i="2"/>
  <c r="AV641" i="2"/>
  <c r="AU641" i="2"/>
  <c r="AT641" i="2"/>
  <c r="AS641" i="2"/>
  <c r="AR641" i="2"/>
  <c r="AQ641" i="2"/>
  <c r="AP641" i="2"/>
  <c r="AO641" i="2"/>
  <c r="AN641" i="2"/>
  <c r="AM641" i="2"/>
  <c r="AL641" i="2"/>
  <c r="AK641" i="2"/>
  <c r="AJ641" i="2"/>
  <c r="AI641" i="2"/>
  <c r="AH641" i="2"/>
  <c r="AG641" i="2"/>
  <c r="AF641" i="2"/>
  <c r="AE641" i="2"/>
  <c r="AD641" i="2"/>
  <c r="AC641" i="2"/>
  <c r="AB641" i="2"/>
  <c r="AA641" i="2"/>
  <c r="Z641" i="2"/>
  <c r="Y641" i="2"/>
  <c r="X641" i="2"/>
  <c r="W641" i="2"/>
  <c r="V641" i="2"/>
  <c r="U641" i="2"/>
  <c r="T641" i="2"/>
  <c r="S641" i="2"/>
  <c r="R641" i="2"/>
  <c r="Q641" i="2"/>
  <c r="P641" i="2"/>
  <c r="O641" i="2"/>
  <c r="N641" i="2"/>
  <c r="M641" i="2"/>
  <c r="L641" i="2"/>
  <c r="K641" i="2"/>
  <c r="J641" i="2"/>
  <c r="I641" i="2"/>
  <c r="H641" i="2"/>
  <c r="G641" i="2"/>
  <c r="F641" i="2"/>
  <c r="E641" i="2"/>
  <c r="D641" i="2"/>
  <c r="C650" i="2" l="1"/>
  <c r="D145" i="1"/>
  <c r="E4" i="11"/>
  <c r="F5" i="11"/>
  <c r="G6" i="11"/>
  <c r="H7" i="11"/>
  <c r="I8" i="11"/>
  <c r="J9" i="11"/>
  <c r="K10" i="11"/>
  <c r="L11" i="11"/>
  <c r="M12" i="11"/>
  <c r="N13" i="11"/>
  <c r="O14" i="11"/>
  <c r="P15" i="11"/>
  <c r="Q16" i="11"/>
  <c r="D3" i="11"/>
  <c r="AQ306" i="2"/>
  <c r="AP306" i="2"/>
  <c r="AO306" i="2"/>
  <c r="AN306" i="2"/>
  <c r="AM306" i="2"/>
  <c r="AL306" i="2"/>
  <c r="AK306" i="2"/>
  <c r="AJ306" i="2"/>
  <c r="AI306" i="2"/>
  <c r="AH306" i="2"/>
  <c r="AG306" i="2"/>
  <c r="AF306" i="2"/>
  <c r="AE306" i="2"/>
  <c r="AD306" i="2"/>
  <c r="AC306" i="2"/>
  <c r="AB306" i="2"/>
  <c r="AA306" i="2"/>
  <c r="Z306" i="2"/>
  <c r="Y306" i="2"/>
  <c r="X306" i="2"/>
  <c r="W306" i="2"/>
  <c r="V306" i="2"/>
  <c r="U306" i="2"/>
  <c r="T306" i="2"/>
  <c r="S306" i="2"/>
  <c r="R306" i="2"/>
  <c r="Q306" i="2"/>
  <c r="P306" i="2"/>
  <c r="O306" i="2"/>
  <c r="N306" i="2"/>
  <c r="M306" i="2"/>
  <c r="L306" i="2"/>
  <c r="K306" i="2"/>
  <c r="J306" i="2"/>
  <c r="I306" i="2"/>
  <c r="H306" i="2"/>
  <c r="G306" i="2"/>
  <c r="F306" i="2"/>
  <c r="E306" i="2"/>
  <c r="D306" i="2"/>
  <c r="AQ305" i="2"/>
  <c r="AP305" i="2"/>
  <c r="AO305" i="2"/>
  <c r="AN305" i="2"/>
  <c r="AM305" i="2"/>
  <c r="AL305" i="2"/>
  <c r="AK305" i="2"/>
  <c r="AJ305" i="2"/>
  <c r="AI305" i="2"/>
  <c r="AH305" i="2"/>
  <c r="AG305" i="2"/>
  <c r="AF305" i="2"/>
  <c r="AE305" i="2"/>
  <c r="AD305" i="2"/>
  <c r="AC305" i="2"/>
  <c r="AB305" i="2"/>
  <c r="AA305" i="2"/>
  <c r="Z305" i="2"/>
  <c r="Y305" i="2"/>
  <c r="X305" i="2"/>
  <c r="W305" i="2"/>
  <c r="V305" i="2"/>
  <c r="U305" i="2"/>
  <c r="T305" i="2"/>
  <c r="S305" i="2"/>
  <c r="R305" i="2"/>
  <c r="Q305" i="2"/>
  <c r="P305" i="2"/>
  <c r="O305" i="2"/>
  <c r="N305" i="2"/>
  <c r="M305" i="2"/>
  <c r="L305" i="2"/>
  <c r="K305" i="2"/>
  <c r="J305" i="2"/>
  <c r="I305" i="2"/>
  <c r="H305" i="2"/>
  <c r="G305" i="2"/>
  <c r="F305" i="2"/>
  <c r="E305" i="2"/>
  <c r="D305" i="2"/>
  <c r="AQ304" i="2"/>
  <c r="AP304" i="2"/>
  <c r="AO304" i="2"/>
  <c r="AN304" i="2"/>
  <c r="AM304" i="2"/>
  <c r="AL304" i="2"/>
  <c r="AK304" i="2"/>
  <c r="AJ304" i="2"/>
  <c r="AI304" i="2"/>
  <c r="AH304" i="2"/>
  <c r="AG304" i="2"/>
  <c r="AF304" i="2"/>
  <c r="AE304" i="2"/>
  <c r="AD304" i="2"/>
  <c r="AC304" i="2"/>
  <c r="AB304" i="2"/>
  <c r="AA304" i="2"/>
  <c r="Z304" i="2"/>
  <c r="Y304" i="2"/>
  <c r="X304" i="2"/>
  <c r="W304" i="2"/>
  <c r="V304" i="2"/>
  <c r="U304" i="2"/>
  <c r="T304" i="2"/>
  <c r="S304" i="2"/>
  <c r="R304" i="2"/>
  <c r="Q304" i="2"/>
  <c r="P304" i="2"/>
  <c r="O304" i="2"/>
  <c r="N304" i="2"/>
  <c r="M304" i="2"/>
  <c r="L304" i="2"/>
  <c r="K304" i="2"/>
  <c r="J304" i="2"/>
  <c r="I304" i="2"/>
  <c r="H304" i="2"/>
  <c r="G304" i="2"/>
  <c r="F304" i="2"/>
  <c r="E304" i="2"/>
  <c r="D304" i="2"/>
  <c r="E639" i="2"/>
  <c r="F639" i="2"/>
  <c r="G639" i="2"/>
  <c r="H639" i="2"/>
  <c r="I639" i="2"/>
  <c r="J639" i="2"/>
  <c r="K639" i="2"/>
  <c r="L639" i="2"/>
  <c r="M639" i="2"/>
  <c r="N639" i="2"/>
  <c r="O639" i="2"/>
  <c r="P639" i="2"/>
  <c r="Q639" i="2"/>
  <c r="R639" i="2"/>
  <c r="S639" i="2"/>
  <c r="T639" i="2"/>
  <c r="U639" i="2"/>
  <c r="V639" i="2"/>
  <c r="W639" i="2"/>
  <c r="X639" i="2"/>
  <c r="Y639" i="2"/>
  <c r="Z639" i="2"/>
  <c r="AA639" i="2"/>
  <c r="AB639" i="2"/>
  <c r="AC639" i="2"/>
  <c r="AD639" i="2"/>
  <c r="AE639" i="2"/>
  <c r="AF639" i="2"/>
  <c r="AG639" i="2"/>
  <c r="AH639" i="2"/>
  <c r="AI639" i="2"/>
  <c r="AJ639" i="2"/>
  <c r="AK639" i="2"/>
  <c r="AL639" i="2"/>
  <c r="AM639" i="2"/>
  <c r="AN639" i="2"/>
  <c r="AO639" i="2"/>
  <c r="AP639" i="2"/>
  <c r="AQ639" i="2"/>
  <c r="AR639" i="2"/>
  <c r="AS639" i="2"/>
  <c r="AT639" i="2"/>
  <c r="AU639" i="2"/>
  <c r="AV639" i="2"/>
  <c r="AW639" i="2"/>
  <c r="AX639" i="2"/>
  <c r="AY639" i="2"/>
  <c r="AZ639" i="2"/>
  <c r="BA639" i="2"/>
  <c r="BB639" i="2"/>
  <c r="BC639" i="2"/>
  <c r="BD639" i="2"/>
  <c r="BE639" i="2"/>
  <c r="BF639" i="2"/>
  <c r="BG639" i="2"/>
  <c r="BH639" i="2"/>
  <c r="BI639" i="2"/>
  <c r="BJ639" i="2"/>
  <c r="BK639" i="2"/>
  <c r="BL639" i="2"/>
  <c r="BM639" i="2"/>
  <c r="BN639" i="2"/>
  <c r="BO639" i="2"/>
  <c r="BP639" i="2"/>
  <c r="BQ639" i="2"/>
  <c r="BR639" i="2"/>
  <c r="BS639" i="2"/>
  <c r="BT639" i="2"/>
  <c r="BU639" i="2"/>
  <c r="BV639" i="2"/>
  <c r="BW639" i="2"/>
  <c r="BX639" i="2"/>
  <c r="BY639" i="2"/>
  <c r="BZ639" i="2"/>
  <c r="CA639" i="2"/>
  <c r="CB639" i="2"/>
  <c r="CC639" i="2"/>
  <c r="CD639" i="2"/>
  <c r="CE639" i="2"/>
  <c r="CF639" i="2"/>
  <c r="CG639" i="2"/>
  <c r="CH639" i="2"/>
  <c r="CI639" i="2"/>
  <c r="CJ639" i="2"/>
  <c r="CK639" i="2"/>
  <c r="CL639" i="2"/>
  <c r="CM639" i="2"/>
  <c r="CN639" i="2"/>
  <c r="CO639" i="2"/>
  <c r="CP639" i="2"/>
  <c r="E640" i="2"/>
  <c r="F640" i="2"/>
  <c r="G640" i="2"/>
  <c r="H640" i="2"/>
  <c r="I640" i="2"/>
  <c r="J640" i="2"/>
  <c r="K640" i="2"/>
  <c r="L640" i="2"/>
  <c r="M640" i="2"/>
  <c r="N640" i="2"/>
  <c r="O640" i="2"/>
  <c r="P640" i="2"/>
  <c r="Q640" i="2"/>
  <c r="R640" i="2"/>
  <c r="S640" i="2"/>
  <c r="T640" i="2"/>
  <c r="U640" i="2"/>
  <c r="V640" i="2"/>
  <c r="W640" i="2"/>
  <c r="X640" i="2"/>
  <c r="Y640" i="2"/>
  <c r="Z640" i="2"/>
  <c r="AA640" i="2"/>
  <c r="AB640" i="2"/>
  <c r="AC640" i="2"/>
  <c r="AD640" i="2"/>
  <c r="AE640" i="2"/>
  <c r="AF640" i="2"/>
  <c r="AG640" i="2"/>
  <c r="AH640" i="2"/>
  <c r="AI640" i="2"/>
  <c r="AJ640" i="2"/>
  <c r="AK640" i="2"/>
  <c r="AL640" i="2"/>
  <c r="AM640" i="2"/>
  <c r="AN640" i="2"/>
  <c r="AO640" i="2"/>
  <c r="AP640" i="2"/>
  <c r="AQ640" i="2"/>
  <c r="AR640" i="2"/>
  <c r="AS640" i="2"/>
  <c r="AT640" i="2"/>
  <c r="AU640" i="2"/>
  <c r="AV640" i="2"/>
  <c r="AW640" i="2"/>
  <c r="AX640" i="2"/>
  <c r="AY640" i="2"/>
  <c r="AZ640" i="2"/>
  <c r="BA640" i="2"/>
  <c r="BB640" i="2"/>
  <c r="BC640" i="2"/>
  <c r="BD640" i="2"/>
  <c r="BE640" i="2"/>
  <c r="BF640" i="2"/>
  <c r="BG640" i="2"/>
  <c r="BH640" i="2"/>
  <c r="BI640" i="2"/>
  <c r="BJ640" i="2"/>
  <c r="BK640" i="2"/>
  <c r="BL640" i="2"/>
  <c r="BM640" i="2"/>
  <c r="BN640" i="2"/>
  <c r="BO640" i="2"/>
  <c r="BP640" i="2"/>
  <c r="BQ640" i="2"/>
  <c r="BR640" i="2"/>
  <c r="BS640" i="2"/>
  <c r="BT640" i="2"/>
  <c r="BU640" i="2"/>
  <c r="BV640" i="2"/>
  <c r="BW640" i="2"/>
  <c r="BX640" i="2"/>
  <c r="BY640" i="2"/>
  <c r="BZ640" i="2"/>
  <c r="CA640" i="2"/>
  <c r="CB640" i="2"/>
  <c r="CC640" i="2"/>
  <c r="CD640" i="2"/>
  <c r="CE640" i="2"/>
  <c r="CF640" i="2"/>
  <c r="CG640" i="2"/>
  <c r="CH640" i="2"/>
  <c r="CI640" i="2"/>
  <c r="CJ640" i="2"/>
  <c r="CK640" i="2"/>
  <c r="CL640" i="2"/>
  <c r="CM640" i="2"/>
  <c r="CN640" i="2"/>
  <c r="CO640" i="2"/>
  <c r="CP640" i="2"/>
  <c r="D640" i="2"/>
  <c r="D639" i="2"/>
  <c r="AQ114" i="2"/>
  <c r="AP114" i="2"/>
  <c r="AO114" i="2"/>
  <c r="AN114" i="2"/>
  <c r="AM114"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K114" i="2"/>
  <c r="J114" i="2"/>
  <c r="I114" i="2"/>
  <c r="H114" i="2"/>
  <c r="G114" i="2"/>
  <c r="F114" i="2"/>
  <c r="E114" i="2"/>
  <c r="D114" i="2"/>
  <c r="C102" i="2"/>
  <c r="C104" i="2" s="1"/>
  <c r="C97" i="2"/>
  <c r="C100" i="2" s="1"/>
  <c r="D4" i="8"/>
  <c r="I667" i="2"/>
  <c r="E667" i="2"/>
  <c r="F667" i="2"/>
  <c r="G667" i="2"/>
  <c r="H667" i="2"/>
  <c r="J667" i="2"/>
  <c r="K667" i="2"/>
  <c r="L667" i="2"/>
  <c r="M667" i="2"/>
  <c r="N667" i="2"/>
  <c r="O667" i="2"/>
  <c r="P667" i="2"/>
  <c r="Q667" i="2"/>
  <c r="R667" i="2"/>
  <c r="S667" i="2"/>
  <c r="T667" i="2"/>
  <c r="U667" i="2"/>
  <c r="V667" i="2"/>
  <c r="W667" i="2"/>
  <c r="X667" i="2"/>
  <c r="Y667" i="2"/>
  <c r="Z667" i="2"/>
  <c r="AA667" i="2"/>
  <c r="AB667" i="2"/>
  <c r="AC667" i="2"/>
  <c r="AD667" i="2"/>
  <c r="AE667" i="2"/>
  <c r="AF667" i="2"/>
  <c r="AG667" i="2"/>
  <c r="AH667" i="2"/>
  <c r="AI667" i="2"/>
  <c r="AJ667" i="2"/>
  <c r="AK667" i="2"/>
  <c r="AL667" i="2"/>
  <c r="AM667" i="2"/>
  <c r="AN667" i="2"/>
  <c r="AO667" i="2"/>
  <c r="AP667" i="2"/>
  <c r="AQ667" i="2"/>
  <c r="AR667" i="2"/>
  <c r="AS667" i="2"/>
  <c r="AT667" i="2"/>
  <c r="AU667" i="2"/>
  <c r="AV667" i="2"/>
  <c r="AW667" i="2"/>
  <c r="AX667" i="2"/>
  <c r="AY667" i="2"/>
  <c r="AZ667" i="2"/>
  <c r="BA667" i="2"/>
  <c r="BB667" i="2"/>
  <c r="BC667" i="2"/>
  <c r="BD667" i="2"/>
  <c r="BE667" i="2"/>
  <c r="BF667" i="2"/>
  <c r="BG667" i="2"/>
  <c r="BH667" i="2"/>
  <c r="BI667" i="2"/>
  <c r="BJ667" i="2"/>
  <c r="BK667" i="2"/>
  <c r="BL667" i="2"/>
  <c r="BM667" i="2"/>
  <c r="BN667" i="2"/>
  <c r="BO667" i="2"/>
  <c r="BP667" i="2"/>
  <c r="BQ667" i="2"/>
  <c r="BR667" i="2"/>
  <c r="BS667" i="2"/>
  <c r="BT667" i="2"/>
  <c r="BU667" i="2"/>
  <c r="BV667" i="2"/>
  <c r="BW667" i="2"/>
  <c r="BX667" i="2"/>
  <c r="BY667" i="2"/>
  <c r="BZ667" i="2"/>
  <c r="CA667" i="2"/>
  <c r="CB667" i="2"/>
  <c r="CC667" i="2"/>
  <c r="CD667" i="2"/>
  <c r="CE667" i="2"/>
  <c r="CF667" i="2"/>
  <c r="CG667" i="2"/>
  <c r="CH667" i="2"/>
  <c r="CI667" i="2"/>
  <c r="CJ667" i="2"/>
  <c r="CK667" i="2"/>
  <c r="CL667" i="2"/>
  <c r="CM667" i="2"/>
  <c r="CN667" i="2"/>
  <c r="CO667" i="2"/>
  <c r="CP667" i="2"/>
  <c r="D667" i="2"/>
  <c r="C665" i="2"/>
  <c r="AJ668" i="2" s="1"/>
  <c r="E12" i="8"/>
  <c r="C646" i="2"/>
  <c r="C643" i="2"/>
  <c r="AQ210" i="2"/>
  <c r="AP210" i="2"/>
  <c r="AO210" i="2"/>
  <c r="AN210" i="2"/>
  <c r="AM210" i="2"/>
  <c r="AL210" i="2"/>
  <c r="AK210" i="2"/>
  <c r="AJ210" i="2"/>
  <c r="AI210" i="2"/>
  <c r="AH210" i="2"/>
  <c r="AG210" i="2"/>
  <c r="AF210" i="2"/>
  <c r="AE210" i="2"/>
  <c r="AD210" i="2"/>
  <c r="AC210" i="2"/>
  <c r="AB210" i="2"/>
  <c r="AA210" i="2"/>
  <c r="Z210" i="2"/>
  <c r="Y210" i="2"/>
  <c r="X210" i="2"/>
  <c r="W210" i="2"/>
  <c r="V210" i="2"/>
  <c r="U210" i="2"/>
  <c r="T210" i="2"/>
  <c r="S210" i="2"/>
  <c r="R210" i="2"/>
  <c r="Q210" i="2"/>
  <c r="P210" i="2"/>
  <c r="O210" i="2"/>
  <c r="N210" i="2"/>
  <c r="M210" i="2"/>
  <c r="L210" i="2"/>
  <c r="K210" i="2"/>
  <c r="J210" i="2"/>
  <c r="I210" i="2"/>
  <c r="H210" i="2"/>
  <c r="G210" i="2"/>
  <c r="F210" i="2"/>
  <c r="E210" i="2"/>
  <c r="D210" i="2"/>
  <c r="AQ209" i="2"/>
  <c r="AP209" i="2"/>
  <c r="AO209" i="2"/>
  <c r="AN209" i="2"/>
  <c r="AM209" i="2"/>
  <c r="AL209" i="2"/>
  <c r="AK209" i="2"/>
  <c r="AJ209" i="2"/>
  <c r="AI209" i="2"/>
  <c r="AH209" i="2"/>
  <c r="AG209" i="2"/>
  <c r="AF209" i="2"/>
  <c r="AE209" i="2"/>
  <c r="AD209" i="2"/>
  <c r="AC209" i="2"/>
  <c r="AB209" i="2"/>
  <c r="AA209" i="2"/>
  <c r="Z209" i="2"/>
  <c r="Y209" i="2"/>
  <c r="X209" i="2"/>
  <c r="W209" i="2"/>
  <c r="V209" i="2"/>
  <c r="U209" i="2"/>
  <c r="T209" i="2"/>
  <c r="S209" i="2"/>
  <c r="R209" i="2"/>
  <c r="Q209" i="2"/>
  <c r="P209" i="2"/>
  <c r="O209" i="2"/>
  <c r="N209" i="2"/>
  <c r="M209" i="2"/>
  <c r="L209" i="2"/>
  <c r="K209" i="2"/>
  <c r="J209" i="2"/>
  <c r="I209" i="2"/>
  <c r="H209" i="2"/>
  <c r="G209" i="2"/>
  <c r="F209" i="2"/>
  <c r="E209" i="2"/>
  <c r="D209" i="2"/>
  <c r="AQ208" i="2"/>
  <c r="AP208" i="2"/>
  <c r="AO208" i="2"/>
  <c r="AN208" i="2"/>
  <c r="AM208" i="2"/>
  <c r="AL208" i="2"/>
  <c r="AK208" i="2"/>
  <c r="AJ208" i="2"/>
  <c r="AI208" i="2"/>
  <c r="AH208" i="2"/>
  <c r="AG208" i="2"/>
  <c r="AF208" i="2"/>
  <c r="AE208" i="2"/>
  <c r="AD208" i="2"/>
  <c r="AC208" i="2"/>
  <c r="AB208" i="2"/>
  <c r="AA208" i="2"/>
  <c r="Z208" i="2"/>
  <c r="Y208" i="2"/>
  <c r="X208" i="2"/>
  <c r="W208" i="2"/>
  <c r="V208" i="2"/>
  <c r="U208" i="2"/>
  <c r="T208" i="2"/>
  <c r="S208" i="2"/>
  <c r="R208" i="2"/>
  <c r="Q208" i="2"/>
  <c r="P208" i="2"/>
  <c r="O208" i="2"/>
  <c r="N208" i="2"/>
  <c r="M208" i="2"/>
  <c r="L208" i="2"/>
  <c r="K208" i="2"/>
  <c r="J208" i="2"/>
  <c r="I208" i="2"/>
  <c r="H208" i="2"/>
  <c r="G208" i="2"/>
  <c r="F208" i="2"/>
  <c r="E208" i="2"/>
  <c r="D208" i="2"/>
  <c r="AQ258" i="2"/>
  <c r="AP258" i="2"/>
  <c r="AO258" i="2"/>
  <c r="AN258" i="2"/>
  <c r="AM258" i="2"/>
  <c r="AL258" i="2"/>
  <c r="AK258" i="2"/>
  <c r="AJ258" i="2"/>
  <c r="AI258" i="2"/>
  <c r="AH258" i="2"/>
  <c r="AG258" i="2"/>
  <c r="AF258" i="2"/>
  <c r="AE258" i="2"/>
  <c r="AD258" i="2"/>
  <c r="AC258" i="2"/>
  <c r="AB258" i="2"/>
  <c r="AA258" i="2"/>
  <c r="Z258" i="2"/>
  <c r="Y258" i="2"/>
  <c r="X258" i="2"/>
  <c r="W258" i="2"/>
  <c r="V258" i="2"/>
  <c r="U258" i="2"/>
  <c r="T258" i="2"/>
  <c r="S258" i="2"/>
  <c r="R258" i="2"/>
  <c r="Q258" i="2"/>
  <c r="P258" i="2"/>
  <c r="O258" i="2"/>
  <c r="N258" i="2"/>
  <c r="M258" i="2"/>
  <c r="L258" i="2"/>
  <c r="K258" i="2"/>
  <c r="J258" i="2"/>
  <c r="I258" i="2"/>
  <c r="H258" i="2"/>
  <c r="G258" i="2"/>
  <c r="F258" i="2"/>
  <c r="E258" i="2"/>
  <c r="D258" i="2"/>
  <c r="AQ257" i="2"/>
  <c r="AP257" i="2"/>
  <c r="AO257" i="2"/>
  <c r="AN257" i="2"/>
  <c r="AM257" i="2"/>
  <c r="AL257" i="2"/>
  <c r="AK257" i="2"/>
  <c r="AJ257" i="2"/>
  <c r="AI257" i="2"/>
  <c r="AH257" i="2"/>
  <c r="AG257" i="2"/>
  <c r="AF257" i="2"/>
  <c r="AE257" i="2"/>
  <c r="AD257" i="2"/>
  <c r="AC257" i="2"/>
  <c r="AB257" i="2"/>
  <c r="AA257" i="2"/>
  <c r="Z257" i="2"/>
  <c r="Y257" i="2"/>
  <c r="X257" i="2"/>
  <c r="W257" i="2"/>
  <c r="V257" i="2"/>
  <c r="U257" i="2"/>
  <c r="T257" i="2"/>
  <c r="S257" i="2"/>
  <c r="R257" i="2"/>
  <c r="Q257" i="2"/>
  <c r="P257" i="2"/>
  <c r="O257" i="2"/>
  <c r="N257" i="2"/>
  <c r="M257" i="2"/>
  <c r="L257" i="2"/>
  <c r="K257" i="2"/>
  <c r="J257" i="2"/>
  <c r="I257" i="2"/>
  <c r="H257" i="2"/>
  <c r="G257" i="2"/>
  <c r="F257" i="2"/>
  <c r="E257" i="2"/>
  <c r="D257" i="2"/>
  <c r="AQ256" i="2"/>
  <c r="AP256" i="2"/>
  <c r="AO256" i="2"/>
  <c r="AN256" i="2"/>
  <c r="AM256" i="2"/>
  <c r="AL256" i="2"/>
  <c r="AK256" i="2"/>
  <c r="AJ256" i="2"/>
  <c r="AI256" i="2"/>
  <c r="AH256" i="2"/>
  <c r="AG256" i="2"/>
  <c r="AF256" i="2"/>
  <c r="AE256" i="2"/>
  <c r="AD256" i="2"/>
  <c r="AC256" i="2"/>
  <c r="AB256" i="2"/>
  <c r="AA256" i="2"/>
  <c r="Z256" i="2"/>
  <c r="Y256" i="2"/>
  <c r="X256" i="2"/>
  <c r="W256" i="2"/>
  <c r="V256" i="2"/>
  <c r="U256" i="2"/>
  <c r="T256" i="2"/>
  <c r="S256" i="2"/>
  <c r="R256" i="2"/>
  <c r="Q256" i="2"/>
  <c r="P256" i="2"/>
  <c r="O256" i="2"/>
  <c r="N256" i="2"/>
  <c r="M256" i="2"/>
  <c r="L256" i="2"/>
  <c r="K256" i="2"/>
  <c r="J256" i="2"/>
  <c r="I256" i="2"/>
  <c r="H256" i="2"/>
  <c r="G256" i="2"/>
  <c r="F256" i="2"/>
  <c r="E256" i="2"/>
  <c r="D256" i="2"/>
  <c r="AQ162" i="2"/>
  <c r="AP162" i="2"/>
  <c r="AO162" i="2"/>
  <c r="AN162" i="2"/>
  <c r="AM162" i="2"/>
  <c r="AL162" i="2"/>
  <c r="AK162" i="2"/>
  <c r="AJ162" i="2"/>
  <c r="AI162" i="2"/>
  <c r="AH162" i="2"/>
  <c r="AG162" i="2"/>
  <c r="AF162" i="2"/>
  <c r="AE162" i="2"/>
  <c r="AD162" i="2"/>
  <c r="AC162" i="2"/>
  <c r="AB162" i="2"/>
  <c r="AA162" i="2"/>
  <c r="Z162" i="2"/>
  <c r="Y162" i="2"/>
  <c r="X162" i="2"/>
  <c r="W162" i="2"/>
  <c r="V162" i="2"/>
  <c r="U162" i="2"/>
  <c r="T162" i="2"/>
  <c r="S162" i="2"/>
  <c r="R162" i="2"/>
  <c r="Q162" i="2"/>
  <c r="P162" i="2"/>
  <c r="O162" i="2"/>
  <c r="N162" i="2"/>
  <c r="M162" i="2"/>
  <c r="L162" i="2"/>
  <c r="K162" i="2"/>
  <c r="J162" i="2"/>
  <c r="I162" i="2"/>
  <c r="H162" i="2"/>
  <c r="G162" i="2"/>
  <c r="F162" i="2"/>
  <c r="E162" i="2"/>
  <c r="D162" i="2"/>
  <c r="AQ161" i="2"/>
  <c r="AP161" i="2"/>
  <c r="AO161" i="2"/>
  <c r="AN161" i="2"/>
  <c r="AM161" i="2"/>
  <c r="AL161" i="2"/>
  <c r="AK161" i="2"/>
  <c r="AJ161" i="2"/>
  <c r="AI161" i="2"/>
  <c r="AH161" i="2"/>
  <c r="AG161" i="2"/>
  <c r="AF161" i="2"/>
  <c r="AE161" i="2"/>
  <c r="AD161" i="2"/>
  <c r="AC161" i="2"/>
  <c r="AB161" i="2"/>
  <c r="AA161" i="2"/>
  <c r="Z161" i="2"/>
  <c r="Y161" i="2"/>
  <c r="X161" i="2"/>
  <c r="W161" i="2"/>
  <c r="V161" i="2"/>
  <c r="U161" i="2"/>
  <c r="T161" i="2"/>
  <c r="S161" i="2"/>
  <c r="R161" i="2"/>
  <c r="Q161" i="2"/>
  <c r="P161" i="2"/>
  <c r="O161" i="2"/>
  <c r="N161" i="2"/>
  <c r="M161" i="2"/>
  <c r="L161" i="2"/>
  <c r="K161" i="2"/>
  <c r="J161" i="2"/>
  <c r="I161" i="2"/>
  <c r="H161" i="2"/>
  <c r="G161" i="2"/>
  <c r="F161" i="2"/>
  <c r="E161" i="2"/>
  <c r="D161" i="2"/>
  <c r="AQ160" i="2"/>
  <c r="AP160" i="2"/>
  <c r="AO160" i="2"/>
  <c r="AN160" i="2"/>
  <c r="AM160" i="2"/>
  <c r="AL160" i="2"/>
  <c r="AK160" i="2"/>
  <c r="AJ160" i="2"/>
  <c r="AI160" i="2"/>
  <c r="AH160" i="2"/>
  <c r="AG160" i="2"/>
  <c r="AF160" i="2"/>
  <c r="AE160" i="2"/>
  <c r="AD160" i="2"/>
  <c r="AC160" i="2"/>
  <c r="AB160" i="2"/>
  <c r="AA160" i="2"/>
  <c r="Z160" i="2"/>
  <c r="Y160" i="2"/>
  <c r="X160" i="2"/>
  <c r="W160" i="2"/>
  <c r="V160" i="2"/>
  <c r="U160" i="2"/>
  <c r="T160" i="2"/>
  <c r="S160" i="2"/>
  <c r="R160" i="2"/>
  <c r="Q160" i="2"/>
  <c r="P160" i="2"/>
  <c r="O160" i="2"/>
  <c r="N160" i="2"/>
  <c r="M160" i="2"/>
  <c r="L160" i="2"/>
  <c r="K160" i="2"/>
  <c r="J160" i="2"/>
  <c r="I160" i="2"/>
  <c r="H160" i="2"/>
  <c r="G160" i="2"/>
  <c r="F160" i="2"/>
  <c r="E160" i="2"/>
  <c r="D160" i="2"/>
  <c r="AQ113" i="2"/>
  <c r="AP113" i="2"/>
  <c r="AO113" i="2"/>
  <c r="AN113" i="2"/>
  <c r="AM113"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K113" i="2"/>
  <c r="J113" i="2"/>
  <c r="I113" i="2"/>
  <c r="H113" i="2"/>
  <c r="G113" i="2"/>
  <c r="F113" i="2"/>
  <c r="E113" i="2"/>
  <c r="D113" i="2"/>
  <c r="AQ112" i="2"/>
  <c r="AP112" i="2"/>
  <c r="AO112" i="2"/>
  <c r="AN112" i="2"/>
  <c r="AM112"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K112" i="2"/>
  <c r="J112" i="2"/>
  <c r="I112" i="2"/>
  <c r="H112" i="2"/>
  <c r="G112" i="2"/>
  <c r="F112" i="2"/>
  <c r="E112" i="2"/>
  <c r="D112" i="2"/>
  <c r="AQ111" i="2"/>
  <c r="AP111" i="2"/>
  <c r="AO111" i="2"/>
  <c r="AN111" i="2"/>
  <c r="AM111"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K111" i="2"/>
  <c r="J111" i="2"/>
  <c r="I111" i="2"/>
  <c r="H111" i="2"/>
  <c r="G111" i="2"/>
  <c r="F111" i="2"/>
  <c r="E111" i="2"/>
  <c r="D111" i="2"/>
  <c r="E67" i="2"/>
  <c r="F67" i="2"/>
  <c r="G67" i="2"/>
  <c r="H67" i="2"/>
  <c r="I67" i="2"/>
  <c r="J67" i="2"/>
  <c r="K67" i="2"/>
  <c r="L67" i="2"/>
  <c r="M67" i="2"/>
  <c r="N67" i="2"/>
  <c r="O67" i="2"/>
  <c r="P67" i="2"/>
  <c r="Q67" i="2"/>
  <c r="E68" i="2"/>
  <c r="F68" i="2"/>
  <c r="G68" i="2"/>
  <c r="H68" i="2"/>
  <c r="I68" i="2"/>
  <c r="J68" i="2"/>
  <c r="K68" i="2"/>
  <c r="L68" i="2"/>
  <c r="M68" i="2"/>
  <c r="N68" i="2"/>
  <c r="O68" i="2"/>
  <c r="P68" i="2"/>
  <c r="Q68" i="2"/>
  <c r="E69" i="2"/>
  <c r="F69" i="2"/>
  <c r="G69" i="2"/>
  <c r="H69" i="2"/>
  <c r="I69" i="2"/>
  <c r="J69" i="2"/>
  <c r="K69" i="2"/>
  <c r="L69" i="2"/>
  <c r="M69" i="2"/>
  <c r="N69" i="2"/>
  <c r="O69" i="2"/>
  <c r="P69" i="2"/>
  <c r="Q69" i="2"/>
  <c r="E70" i="2"/>
  <c r="F70" i="2"/>
  <c r="G70" i="2"/>
  <c r="H70" i="2"/>
  <c r="I70" i="2"/>
  <c r="J70" i="2"/>
  <c r="K70" i="2"/>
  <c r="L70" i="2"/>
  <c r="M70" i="2"/>
  <c r="N70" i="2"/>
  <c r="O70" i="2"/>
  <c r="P70" i="2"/>
  <c r="Q70" i="2"/>
  <c r="E71" i="2"/>
  <c r="F71" i="2"/>
  <c r="G71" i="2"/>
  <c r="H71" i="2"/>
  <c r="I71" i="2"/>
  <c r="J71" i="2"/>
  <c r="K71" i="2"/>
  <c r="L71" i="2"/>
  <c r="M71" i="2"/>
  <c r="N71" i="2"/>
  <c r="O71" i="2"/>
  <c r="P71" i="2"/>
  <c r="Q71" i="2"/>
  <c r="E72" i="2"/>
  <c r="F72" i="2"/>
  <c r="G72" i="2"/>
  <c r="H72" i="2"/>
  <c r="I72" i="2"/>
  <c r="J72" i="2"/>
  <c r="K72" i="2"/>
  <c r="L72" i="2"/>
  <c r="M72" i="2"/>
  <c r="N72" i="2"/>
  <c r="O72" i="2"/>
  <c r="P72" i="2"/>
  <c r="Q72" i="2"/>
  <c r="E73" i="2"/>
  <c r="F73" i="2"/>
  <c r="G73" i="2"/>
  <c r="H73" i="2"/>
  <c r="I73" i="2"/>
  <c r="J73" i="2"/>
  <c r="K73" i="2"/>
  <c r="L73" i="2"/>
  <c r="M73" i="2"/>
  <c r="N73" i="2"/>
  <c r="O73" i="2"/>
  <c r="P73" i="2"/>
  <c r="Q73" i="2"/>
  <c r="E74" i="2"/>
  <c r="F74" i="2"/>
  <c r="G74" i="2"/>
  <c r="H74" i="2"/>
  <c r="I74" i="2"/>
  <c r="J74" i="2"/>
  <c r="K74" i="2"/>
  <c r="L74" i="2"/>
  <c r="M74" i="2"/>
  <c r="N74" i="2"/>
  <c r="O74" i="2"/>
  <c r="P74" i="2"/>
  <c r="Q74" i="2"/>
  <c r="E75" i="2"/>
  <c r="F75" i="2"/>
  <c r="G75" i="2"/>
  <c r="H75" i="2"/>
  <c r="I75" i="2"/>
  <c r="J75" i="2"/>
  <c r="K75" i="2"/>
  <c r="L75" i="2"/>
  <c r="M75" i="2"/>
  <c r="N75" i="2"/>
  <c r="O75" i="2"/>
  <c r="P75" i="2"/>
  <c r="Q75" i="2"/>
  <c r="E76" i="2"/>
  <c r="F76" i="2"/>
  <c r="G76" i="2"/>
  <c r="H76" i="2"/>
  <c r="I76" i="2"/>
  <c r="J76" i="2"/>
  <c r="K76" i="2"/>
  <c r="L76" i="2"/>
  <c r="M76" i="2"/>
  <c r="N76" i="2"/>
  <c r="O76" i="2"/>
  <c r="P76" i="2"/>
  <c r="Q76" i="2"/>
  <c r="E77" i="2"/>
  <c r="F77" i="2"/>
  <c r="G77" i="2"/>
  <c r="H77" i="2"/>
  <c r="I77" i="2"/>
  <c r="J77" i="2"/>
  <c r="K77" i="2"/>
  <c r="L77" i="2"/>
  <c r="M77" i="2"/>
  <c r="N77" i="2"/>
  <c r="O77" i="2"/>
  <c r="P77" i="2"/>
  <c r="Q77" i="2"/>
  <c r="E78" i="2"/>
  <c r="F78" i="2"/>
  <c r="G78" i="2"/>
  <c r="H78" i="2"/>
  <c r="I78" i="2"/>
  <c r="J78" i="2"/>
  <c r="K78" i="2"/>
  <c r="L78" i="2"/>
  <c r="M78" i="2"/>
  <c r="N78" i="2"/>
  <c r="O78" i="2"/>
  <c r="P78" i="2"/>
  <c r="Q78" i="2"/>
  <c r="E79" i="2"/>
  <c r="F79" i="2"/>
  <c r="G79" i="2"/>
  <c r="H79" i="2"/>
  <c r="I79" i="2"/>
  <c r="J79" i="2"/>
  <c r="K79" i="2"/>
  <c r="L79" i="2"/>
  <c r="M79" i="2"/>
  <c r="N79" i="2"/>
  <c r="O79" i="2"/>
  <c r="P79" i="2"/>
  <c r="Q79" i="2"/>
  <c r="V79" i="2" s="1"/>
  <c r="E80" i="2"/>
  <c r="F80" i="2"/>
  <c r="G80" i="2"/>
  <c r="H80" i="2"/>
  <c r="I80" i="2"/>
  <c r="J80" i="2"/>
  <c r="K80" i="2"/>
  <c r="L80" i="2"/>
  <c r="M80" i="2"/>
  <c r="N80" i="2"/>
  <c r="O80" i="2"/>
  <c r="P80" i="2"/>
  <c r="P82" i="2" s="1"/>
  <c r="Q80" i="2"/>
  <c r="D80" i="2"/>
  <c r="D79" i="2"/>
  <c r="D78" i="2"/>
  <c r="D77" i="2"/>
  <c r="D76" i="2"/>
  <c r="D75" i="2"/>
  <c r="D74" i="2"/>
  <c r="D73" i="2"/>
  <c r="D72" i="2"/>
  <c r="D71" i="2"/>
  <c r="D70" i="2"/>
  <c r="D69" i="2"/>
  <c r="D68" i="2"/>
  <c r="D67" i="2"/>
  <c r="E27" i="2"/>
  <c r="F27" i="2"/>
  <c r="G27" i="2"/>
  <c r="H27" i="2"/>
  <c r="I27" i="2"/>
  <c r="J27" i="2"/>
  <c r="K27" i="2"/>
  <c r="L27" i="2"/>
  <c r="M27" i="2"/>
  <c r="N27" i="2"/>
  <c r="O27" i="2"/>
  <c r="P27" i="2"/>
  <c r="Q27" i="2"/>
  <c r="E28" i="2"/>
  <c r="F28" i="2"/>
  <c r="G28" i="2"/>
  <c r="H28" i="2"/>
  <c r="I28" i="2"/>
  <c r="J28" i="2"/>
  <c r="K28" i="2"/>
  <c r="L28" i="2"/>
  <c r="M28" i="2"/>
  <c r="N28" i="2"/>
  <c r="O28" i="2"/>
  <c r="P28" i="2"/>
  <c r="Q28" i="2"/>
  <c r="E29" i="2"/>
  <c r="F29" i="2"/>
  <c r="G29" i="2"/>
  <c r="H29" i="2"/>
  <c r="I29" i="2"/>
  <c r="J29" i="2"/>
  <c r="K29" i="2"/>
  <c r="L29" i="2"/>
  <c r="M29" i="2"/>
  <c r="N29" i="2"/>
  <c r="O29" i="2"/>
  <c r="P29" i="2"/>
  <c r="Q29" i="2"/>
  <c r="E30" i="2"/>
  <c r="F30" i="2"/>
  <c r="G30" i="2"/>
  <c r="H30" i="2"/>
  <c r="I30" i="2"/>
  <c r="J30" i="2"/>
  <c r="K30" i="2"/>
  <c r="L30" i="2"/>
  <c r="M30" i="2"/>
  <c r="N30" i="2"/>
  <c r="O30" i="2"/>
  <c r="P30" i="2"/>
  <c r="Q30" i="2"/>
  <c r="E31" i="2"/>
  <c r="F31" i="2"/>
  <c r="G31" i="2"/>
  <c r="H31" i="2"/>
  <c r="I31" i="2"/>
  <c r="J31" i="2"/>
  <c r="K31" i="2"/>
  <c r="L31" i="2"/>
  <c r="M31" i="2"/>
  <c r="N31" i="2"/>
  <c r="O31" i="2"/>
  <c r="P31" i="2"/>
  <c r="Q31" i="2"/>
  <c r="E32" i="2"/>
  <c r="F32" i="2"/>
  <c r="G32" i="2"/>
  <c r="H32" i="2"/>
  <c r="I32" i="2"/>
  <c r="J32" i="2"/>
  <c r="K32" i="2"/>
  <c r="L32" i="2"/>
  <c r="M32" i="2"/>
  <c r="N32" i="2"/>
  <c r="O32" i="2"/>
  <c r="P32" i="2"/>
  <c r="Q32" i="2"/>
  <c r="E33" i="2"/>
  <c r="F33" i="2"/>
  <c r="G33" i="2"/>
  <c r="H33" i="2"/>
  <c r="I33" i="2"/>
  <c r="J33" i="2"/>
  <c r="K33" i="2"/>
  <c r="L33" i="2"/>
  <c r="M33" i="2"/>
  <c r="N33" i="2"/>
  <c r="O33" i="2"/>
  <c r="P33" i="2"/>
  <c r="Q33" i="2"/>
  <c r="E34" i="2"/>
  <c r="F34" i="2"/>
  <c r="G34" i="2"/>
  <c r="H34" i="2"/>
  <c r="I34" i="2"/>
  <c r="J34" i="2"/>
  <c r="K34" i="2"/>
  <c r="L34" i="2"/>
  <c r="M34" i="2"/>
  <c r="N34" i="2"/>
  <c r="O34" i="2"/>
  <c r="P34" i="2"/>
  <c r="Q34" i="2"/>
  <c r="E35" i="2"/>
  <c r="F35" i="2"/>
  <c r="G35" i="2"/>
  <c r="H35" i="2"/>
  <c r="I35" i="2"/>
  <c r="J35" i="2"/>
  <c r="K35" i="2"/>
  <c r="L35" i="2"/>
  <c r="M35" i="2"/>
  <c r="N35" i="2"/>
  <c r="O35" i="2"/>
  <c r="P35" i="2"/>
  <c r="Q35" i="2"/>
  <c r="E36" i="2"/>
  <c r="F36" i="2"/>
  <c r="G36" i="2"/>
  <c r="H36" i="2"/>
  <c r="I36" i="2"/>
  <c r="J36" i="2"/>
  <c r="K36" i="2"/>
  <c r="L36" i="2"/>
  <c r="M36" i="2"/>
  <c r="N36" i="2"/>
  <c r="O36" i="2"/>
  <c r="P36" i="2"/>
  <c r="Q36" i="2"/>
  <c r="E37" i="2"/>
  <c r="F37" i="2"/>
  <c r="G37" i="2"/>
  <c r="H37" i="2"/>
  <c r="I37" i="2"/>
  <c r="J37" i="2"/>
  <c r="K37" i="2"/>
  <c r="L37" i="2"/>
  <c r="M37" i="2"/>
  <c r="N37" i="2"/>
  <c r="O37" i="2"/>
  <c r="P37" i="2"/>
  <c r="Q37" i="2"/>
  <c r="E38" i="2"/>
  <c r="F38" i="2"/>
  <c r="G38" i="2"/>
  <c r="H38" i="2"/>
  <c r="I38" i="2"/>
  <c r="J38" i="2"/>
  <c r="K38" i="2"/>
  <c r="L38" i="2"/>
  <c r="M38" i="2"/>
  <c r="N38" i="2"/>
  <c r="O38" i="2"/>
  <c r="P38" i="2"/>
  <c r="Q38" i="2"/>
  <c r="E39" i="2"/>
  <c r="F39" i="2"/>
  <c r="G39" i="2"/>
  <c r="H39" i="2"/>
  <c r="I39" i="2"/>
  <c r="J39" i="2"/>
  <c r="K39" i="2"/>
  <c r="L39" i="2"/>
  <c r="M39" i="2"/>
  <c r="N39" i="2"/>
  <c r="O39" i="2"/>
  <c r="P39" i="2"/>
  <c r="Q39" i="2"/>
  <c r="E40" i="2"/>
  <c r="F40" i="2"/>
  <c r="G40" i="2"/>
  <c r="H40" i="2"/>
  <c r="I40" i="2"/>
  <c r="J40" i="2"/>
  <c r="K40" i="2"/>
  <c r="L40" i="2"/>
  <c r="M40" i="2"/>
  <c r="N40" i="2"/>
  <c r="O40" i="2"/>
  <c r="P40" i="2"/>
  <c r="Q40" i="2"/>
  <c r="D40" i="2"/>
  <c r="D39" i="2"/>
  <c r="D38" i="2"/>
  <c r="D37" i="2"/>
  <c r="D36" i="2"/>
  <c r="D35" i="2"/>
  <c r="D34" i="2"/>
  <c r="D33" i="2"/>
  <c r="D32" i="2"/>
  <c r="D31" i="2"/>
  <c r="D30" i="2"/>
  <c r="D29" i="2"/>
  <c r="D28" i="2"/>
  <c r="D27" i="2"/>
  <c r="E10" i="2"/>
  <c r="F10" i="2"/>
  <c r="G10" i="2"/>
  <c r="H10" i="2"/>
  <c r="I10" i="2"/>
  <c r="J10" i="2"/>
  <c r="K10" i="2"/>
  <c r="L10" i="2"/>
  <c r="M10" i="2"/>
  <c r="N10" i="2"/>
  <c r="O10" i="2"/>
  <c r="P10" i="2"/>
  <c r="Q10" i="2"/>
  <c r="E11" i="2"/>
  <c r="E21" i="11" s="1"/>
  <c r="F11" i="2"/>
  <c r="G11" i="2"/>
  <c r="H11" i="2"/>
  <c r="I11" i="2"/>
  <c r="J11" i="2"/>
  <c r="K11" i="2"/>
  <c r="L11" i="2"/>
  <c r="M11" i="2"/>
  <c r="N11" i="2"/>
  <c r="O11" i="2"/>
  <c r="P11" i="2"/>
  <c r="Q11" i="2"/>
  <c r="E12" i="2"/>
  <c r="F12" i="2"/>
  <c r="F532" i="2" s="1"/>
  <c r="G12" i="2"/>
  <c r="H12" i="2"/>
  <c r="I12" i="2"/>
  <c r="J12" i="2"/>
  <c r="K12" i="2"/>
  <c r="L12" i="2"/>
  <c r="M12" i="2"/>
  <c r="N12" i="2"/>
  <c r="O12" i="2"/>
  <c r="P12" i="2"/>
  <c r="Q12" i="2"/>
  <c r="E13" i="2"/>
  <c r="F13" i="2"/>
  <c r="G13" i="2"/>
  <c r="H13" i="2"/>
  <c r="I13" i="2"/>
  <c r="J13" i="2"/>
  <c r="K13" i="2"/>
  <c r="L13" i="2"/>
  <c r="M13" i="2"/>
  <c r="N13" i="2"/>
  <c r="O13" i="2"/>
  <c r="P13" i="2"/>
  <c r="Q13" i="2"/>
  <c r="E14" i="2"/>
  <c r="F14" i="2"/>
  <c r="G14" i="2"/>
  <c r="H14" i="2"/>
  <c r="I14" i="2"/>
  <c r="J14" i="2"/>
  <c r="K14" i="2"/>
  <c r="L14" i="2"/>
  <c r="M14" i="2"/>
  <c r="N14" i="2"/>
  <c r="O14" i="2"/>
  <c r="P14" i="2"/>
  <c r="Q14" i="2"/>
  <c r="E15" i="2"/>
  <c r="F15" i="2"/>
  <c r="G15" i="2"/>
  <c r="H15" i="2"/>
  <c r="I15" i="2"/>
  <c r="J15" i="2"/>
  <c r="K15" i="2"/>
  <c r="L15" i="2"/>
  <c r="M15" i="2"/>
  <c r="N15" i="2"/>
  <c r="O15" i="2"/>
  <c r="P15" i="2"/>
  <c r="Q15" i="2"/>
  <c r="E16" i="2"/>
  <c r="F16" i="2"/>
  <c r="G16" i="2"/>
  <c r="H16" i="2"/>
  <c r="I16" i="2"/>
  <c r="J16" i="2"/>
  <c r="J404" i="2" s="1"/>
  <c r="K16" i="2"/>
  <c r="L16" i="2"/>
  <c r="M16" i="2"/>
  <c r="N16" i="2"/>
  <c r="O16" i="2"/>
  <c r="P16" i="2"/>
  <c r="Q16" i="2"/>
  <c r="E17" i="2"/>
  <c r="F17" i="2"/>
  <c r="G17" i="2"/>
  <c r="H17" i="2"/>
  <c r="I17" i="2"/>
  <c r="J17" i="2"/>
  <c r="K17" i="2"/>
  <c r="L17" i="2"/>
  <c r="M17" i="2"/>
  <c r="N17" i="2"/>
  <c r="O17" i="2"/>
  <c r="P17" i="2"/>
  <c r="Q17" i="2"/>
  <c r="E18" i="2"/>
  <c r="F18" i="2"/>
  <c r="G18" i="2"/>
  <c r="H18" i="2"/>
  <c r="I18" i="2"/>
  <c r="J18" i="2"/>
  <c r="K18" i="2"/>
  <c r="L18" i="2"/>
  <c r="L450" i="2" s="1"/>
  <c r="M18" i="2"/>
  <c r="N18" i="2"/>
  <c r="O18" i="2"/>
  <c r="P18" i="2"/>
  <c r="Q18" i="2"/>
  <c r="E19" i="2"/>
  <c r="F19" i="2"/>
  <c r="G19" i="2"/>
  <c r="H19" i="2"/>
  <c r="I19" i="2"/>
  <c r="J19" i="2"/>
  <c r="K19" i="2"/>
  <c r="L19" i="2"/>
  <c r="M19" i="2"/>
  <c r="M539" i="2" s="1"/>
  <c r="N19" i="2"/>
  <c r="O19" i="2"/>
  <c r="P19" i="2"/>
  <c r="Q19" i="2"/>
  <c r="E20" i="2"/>
  <c r="F20" i="2"/>
  <c r="G20" i="2"/>
  <c r="H20" i="2"/>
  <c r="I20" i="2"/>
  <c r="J20" i="2"/>
  <c r="K20" i="2"/>
  <c r="L20" i="2"/>
  <c r="M20" i="2"/>
  <c r="N20" i="2"/>
  <c r="N408" i="2" s="1"/>
  <c r="O20" i="2"/>
  <c r="P20" i="2"/>
  <c r="Q20" i="2"/>
  <c r="E21" i="2"/>
  <c r="F21" i="2"/>
  <c r="G21" i="2"/>
  <c r="H21" i="2"/>
  <c r="I21" i="2"/>
  <c r="J21" i="2"/>
  <c r="K21" i="2"/>
  <c r="L21" i="2"/>
  <c r="M21" i="2"/>
  <c r="N21" i="2"/>
  <c r="O21" i="2"/>
  <c r="O541" i="2" s="1"/>
  <c r="P21" i="2"/>
  <c r="Q21" i="2"/>
  <c r="E22" i="2"/>
  <c r="F22" i="2"/>
  <c r="G22" i="2"/>
  <c r="H22" i="2"/>
  <c r="I22" i="2"/>
  <c r="J22" i="2"/>
  <c r="K22" i="2"/>
  <c r="L22" i="2"/>
  <c r="M22" i="2"/>
  <c r="N22" i="2"/>
  <c r="O22" i="2"/>
  <c r="P22" i="2"/>
  <c r="P454" i="2" s="1"/>
  <c r="Q22" i="2"/>
  <c r="E23" i="2"/>
  <c r="F23" i="2"/>
  <c r="G23" i="2"/>
  <c r="H23" i="2"/>
  <c r="I23" i="2"/>
  <c r="J23" i="2"/>
  <c r="K23" i="2"/>
  <c r="L23" i="2"/>
  <c r="M23" i="2"/>
  <c r="N23" i="2"/>
  <c r="O23" i="2"/>
  <c r="P23" i="2"/>
  <c r="Q23" i="2"/>
  <c r="Q455" i="2" s="1"/>
  <c r="D23" i="2"/>
  <c r="D22" i="2"/>
  <c r="D21" i="2"/>
  <c r="D20" i="2"/>
  <c r="D19" i="2"/>
  <c r="D18" i="2"/>
  <c r="D17" i="2"/>
  <c r="D16" i="2"/>
  <c r="D15" i="2"/>
  <c r="D14" i="2"/>
  <c r="D13" i="2"/>
  <c r="D12" i="2"/>
  <c r="D11" i="2"/>
  <c r="D10" i="2"/>
  <c r="D20" i="11" s="1"/>
  <c r="I535" i="2"/>
  <c r="G533" i="2"/>
  <c r="H534" i="2"/>
  <c r="C697" i="2"/>
  <c r="C696" i="2"/>
  <c r="C695" i="2"/>
  <c r="C685" i="2"/>
  <c r="C684" i="2"/>
  <c r="C683" i="2"/>
  <c r="C682" i="2"/>
  <c r="E6" i="8" s="1"/>
  <c r="C681" i="2"/>
  <c r="C651" i="2"/>
  <c r="C652" i="2" s="1"/>
  <c r="C581" i="2"/>
  <c r="C574" i="2"/>
  <c r="D575" i="2" s="1"/>
  <c r="I491" i="2"/>
  <c r="H490" i="2"/>
  <c r="G489" i="2"/>
  <c r="I447" i="2"/>
  <c r="H446" i="2"/>
  <c r="G445" i="2"/>
  <c r="I403" i="2"/>
  <c r="G401" i="2"/>
  <c r="C577" i="2"/>
  <c r="BL578" i="2" s="1"/>
  <c r="C91" i="2"/>
  <c r="C93" i="2" s="1"/>
  <c r="H402" i="2"/>
  <c r="E46" i="2"/>
  <c r="I46" i="2"/>
  <c r="M46" i="2"/>
  <c r="Q46" i="2"/>
  <c r="F46" i="2"/>
  <c r="J46" i="2"/>
  <c r="N46" i="2"/>
  <c r="G46" i="2"/>
  <c r="K46" i="2"/>
  <c r="O46" i="2"/>
  <c r="H46" i="2"/>
  <c r="L46" i="2"/>
  <c r="P46" i="2"/>
  <c r="D46" i="2"/>
  <c r="D463" i="2" s="1"/>
  <c r="L54" i="2"/>
  <c r="L471" i="2" s="1"/>
  <c r="N56" i="2"/>
  <c r="N561" i="2" s="1"/>
  <c r="F48" i="2"/>
  <c r="F421" i="2" s="1"/>
  <c r="K53" i="2"/>
  <c r="K558" i="2" s="1"/>
  <c r="M55" i="2"/>
  <c r="M428" i="2" s="1"/>
  <c r="E47" i="2"/>
  <c r="E464" i="2" s="1"/>
  <c r="I50" i="2"/>
  <c r="P57" i="2"/>
  <c r="J51" i="2"/>
  <c r="G48" i="2"/>
  <c r="K51" i="2"/>
  <c r="L53" i="2"/>
  <c r="N55" i="2"/>
  <c r="G47" i="2"/>
  <c r="H48" i="2"/>
  <c r="O55" i="2"/>
  <c r="J50" i="2"/>
  <c r="E48" i="2"/>
  <c r="P58" i="2"/>
  <c r="P519" i="2" s="1"/>
  <c r="H50" i="2"/>
  <c r="H555" i="2" s="1"/>
  <c r="J52" i="2"/>
  <c r="J469" i="2" s="1"/>
  <c r="O57" i="2"/>
  <c r="O518" i="2" s="1"/>
  <c r="G49" i="2"/>
  <c r="G43" i="11" s="1"/>
  <c r="I51" i="2"/>
  <c r="I512" i="2" s="1"/>
  <c r="F47" i="2"/>
  <c r="H49" i="2"/>
  <c r="O56" i="2"/>
  <c r="Q58" i="2"/>
  <c r="V58" i="2" s="1"/>
  <c r="N53" i="2"/>
  <c r="M53" i="2"/>
  <c r="M54" i="2"/>
  <c r="L52" i="2"/>
  <c r="K52" i="2"/>
  <c r="Q57" i="2"/>
  <c r="N54" i="2"/>
  <c r="I49" i="2"/>
  <c r="J47" i="2"/>
  <c r="K50" i="2"/>
  <c r="O58" i="2"/>
  <c r="G50" i="2"/>
  <c r="K54" i="2"/>
  <c r="P56" i="2"/>
  <c r="J53" i="2"/>
  <c r="L55" i="2"/>
  <c r="M57" i="2"/>
  <c r="D48" i="2"/>
  <c r="P55" i="2"/>
  <c r="I48" i="2"/>
  <c r="F49" i="2"/>
  <c r="H51" i="2"/>
  <c r="N58" i="2"/>
  <c r="J49" i="2"/>
  <c r="I52" i="2"/>
  <c r="D49" i="2"/>
  <c r="H52" i="2"/>
  <c r="N57" i="2"/>
  <c r="Q56" i="2"/>
  <c r="F54" i="2"/>
  <c r="K55" i="2"/>
  <c r="M56" i="2"/>
  <c r="G51" i="2"/>
  <c r="E49" i="2"/>
  <c r="K49" i="2"/>
  <c r="H47" i="2"/>
  <c r="F50" i="2"/>
  <c r="I47" i="2"/>
  <c r="O53" i="2"/>
  <c r="L51" i="2"/>
  <c r="E50" i="2"/>
  <c r="I53" i="2"/>
  <c r="O54" i="2"/>
  <c r="M58" i="2"/>
  <c r="K56" i="2"/>
  <c r="M52" i="2"/>
  <c r="L56" i="2"/>
  <c r="L50" i="2"/>
  <c r="J55" i="2"/>
  <c r="L49" i="2"/>
  <c r="L47" i="2"/>
  <c r="J54" i="2"/>
  <c r="E51" i="2"/>
  <c r="G52" i="2"/>
  <c r="Q55" i="2"/>
  <c r="H53" i="2"/>
  <c r="P54" i="2"/>
  <c r="D50" i="2"/>
  <c r="G53" i="2"/>
  <c r="E52" i="2"/>
  <c r="L57" i="2"/>
  <c r="P53" i="2"/>
  <c r="N52" i="2"/>
  <c r="M51" i="2"/>
  <c r="K57" i="2"/>
  <c r="I55" i="2"/>
  <c r="J48" i="2"/>
  <c r="K47" i="2"/>
  <c r="M47" i="2"/>
  <c r="F51" i="2"/>
  <c r="N51" i="2"/>
  <c r="G54" i="2"/>
  <c r="I54" i="2"/>
  <c r="J56" i="2"/>
  <c r="E53" i="2"/>
  <c r="H54" i="2"/>
  <c r="D51" i="2"/>
  <c r="M50" i="2"/>
  <c r="M49" i="2"/>
  <c r="Q54" i="2"/>
  <c r="N50" i="2"/>
  <c r="L58" i="2"/>
  <c r="F52" i="2"/>
  <c r="K58" i="2"/>
  <c r="H55" i="2"/>
  <c r="O52" i="2"/>
  <c r="Q53" i="2"/>
  <c r="F53" i="2"/>
  <c r="K48" i="2"/>
  <c r="E54" i="2"/>
  <c r="N49" i="2"/>
  <c r="D52" i="2"/>
  <c r="I56" i="2"/>
  <c r="G55" i="2"/>
  <c r="O51" i="2"/>
  <c r="N47" i="2"/>
  <c r="D53" i="2"/>
  <c r="I57" i="2"/>
  <c r="H56" i="2"/>
  <c r="J57" i="2"/>
  <c r="O50" i="2"/>
  <c r="P52" i="2"/>
  <c r="E56" i="2"/>
  <c r="Q52" i="2"/>
  <c r="G56" i="2"/>
  <c r="P51" i="2"/>
  <c r="E55" i="2"/>
  <c r="J58" i="2"/>
  <c r="H57" i="2"/>
  <c r="E57" i="2"/>
  <c r="D54" i="2"/>
  <c r="F55" i="2"/>
  <c r="Q47" i="2"/>
  <c r="I58" i="2"/>
  <c r="O48" i="2"/>
  <c r="L48" i="2"/>
  <c r="O49" i="2"/>
  <c r="P50" i="2"/>
  <c r="M48" i="2"/>
  <c r="Q51" i="2"/>
  <c r="O47" i="2"/>
  <c r="P47" i="2"/>
  <c r="G57" i="2"/>
  <c r="P49" i="2"/>
  <c r="G58" i="2"/>
  <c r="P48" i="2"/>
  <c r="N48" i="2"/>
  <c r="D55" i="2"/>
  <c r="Q50" i="2"/>
  <c r="Q49" i="2"/>
  <c r="H58" i="2"/>
  <c r="E58" i="2"/>
  <c r="F56" i="2"/>
  <c r="D56" i="2"/>
  <c r="Q48" i="2"/>
  <c r="L59" i="2"/>
  <c r="E59" i="2"/>
  <c r="D57" i="2"/>
  <c r="F59" i="2"/>
  <c r="M59" i="2"/>
  <c r="D58" i="2"/>
  <c r="Q59" i="2"/>
  <c r="D59" i="2"/>
  <c r="F57" i="2"/>
  <c r="F58" i="2"/>
  <c r="P59" i="2"/>
  <c r="P61" i="2" s="1"/>
  <c r="O59" i="2"/>
  <c r="J59" i="2"/>
  <c r="H59" i="2"/>
  <c r="K59" i="2"/>
  <c r="I59" i="2"/>
  <c r="G59" i="2"/>
  <c r="N59" i="2"/>
  <c r="D47" i="2"/>
  <c r="F553" i="2"/>
  <c r="L48" i="11"/>
  <c r="G554" i="2"/>
  <c r="O430" i="2"/>
  <c r="CP689" i="2" l="1"/>
  <c r="CD689" i="2"/>
  <c r="BR689" i="2"/>
  <c r="BF689" i="2"/>
  <c r="AT689" i="2"/>
  <c r="AH689" i="2"/>
  <c r="V689" i="2"/>
  <c r="J689" i="2"/>
  <c r="CJ691" i="2"/>
  <c r="BX691" i="2"/>
  <c r="BL691" i="2"/>
  <c r="AZ691" i="2"/>
  <c r="AN691" i="2"/>
  <c r="AB691" i="2"/>
  <c r="P691" i="2"/>
  <c r="CP690" i="2"/>
  <c r="CD690" i="2"/>
  <c r="BR690" i="2"/>
  <c r="BF690" i="2"/>
  <c r="AT690" i="2"/>
  <c r="AH690" i="2"/>
  <c r="V690" i="2"/>
  <c r="J690" i="2"/>
  <c r="CB689" i="2"/>
  <c r="AR689" i="2"/>
  <c r="T689" i="2"/>
  <c r="CH691" i="2"/>
  <c r="BJ691" i="2"/>
  <c r="AL691" i="2"/>
  <c r="N691" i="2"/>
  <c r="CB690" i="2"/>
  <c r="BD690" i="2"/>
  <c r="AF690" i="2"/>
  <c r="CM689" i="2"/>
  <c r="BC689" i="2"/>
  <c r="AE689" i="2"/>
  <c r="G689" i="2"/>
  <c r="BU691" i="2"/>
  <c r="AW691" i="2"/>
  <c r="Y691" i="2"/>
  <c r="CM690" i="2"/>
  <c r="BO690" i="2"/>
  <c r="AQ690" i="2"/>
  <c r="S690" i="2"/>
  <c r="CK689" i="2"/>
  <c r="BA689" i="2"/>
  <c r="Q689" i="2"/>
  <c r="CE691" i="2"/>
  <c r="AU691" i="2"/>
  <c r="K691" i="2"/>
  <c r="BM690" i="2"/>
  <c r="AC690" i="2"/>
  <c r="BL689" i="2"/>
  <c r="P689" i="2"/>
  <c r="AT691" i="2"/>
  <c r="BX690" i="2"/>
  <c r="D690" i="2"/>
  <c r="AM689" i="2"/>
  <c r="CO691" i="2"/>
  <c r="BE691" i="2"/>
  <c r="U691" i="2"/>
  <c r="AY690" i="2"/>
  <c r="BV689" i="2"/>
  <c r="CN691" i="2"/>
  <c r="AF691" i="2"/>
  <c r="BJ690" i="2"/>
  <c r="CG689" i="2"/>
  <c r="CA691" i="2"/>
  <c r="G691" i="2"/>
  <c r="AK690" i="2"/>
  <c r="CO689" i="2"/>
  <c r="CC689" i="2"/>
  <c r="BQ689" i="2"/>
  <c r="BE689" i="2"/>
  <c r="AS689" i="2"/>
  <c r="AG689" i="2"/>
  <c r="U689" i="2"/>
  <c r="I689" i="2"/>
  <c r="CI691" i="2"/>
  <c r="BW691" i="2"/>
  <c r="BK691" i="2"/>
  <c r="AY691" i="2"/>
  <c r="AM691" i="2"/>
  <c r="AA691" i="2"/>
  <c r="O691" i="2"/>
  <c r="CO690" i="2"/>
  <c r="CC690" i="2"/>
  <c r="BQ690" i="2"/>
  <c r="BE690" i="2"/>
  <c r="AS690" i="2"/>
  <c r="AG690" i="2"/>
  <c r="U690" i="2"/>
  <c r="I690" i="2"/>
  <c r="CN689" i="2"/>
  <c r="BP689" i="2"/>
  <c r="BD689" i="2"/>
  <c r="AF689" i="2"/>
  <c r="H689" i="2"/>
  <c r="BV691" i="2"/>
  <c r="AX691" i="2"/>
  <c r="Z691" i="2"/>
  <c r="CN690" i="2"/>
  <c r="BP690" i="2"/>
  <c r="AR690" i="2"/>
  <c r="T690" i="2"/>
  <c r="H690" i="2"/>
  <c r="CA689" i="2"/>
  <c r="BO689" i="2"/>
  <c r="AQ689" i="2"/>
  <c r="S689" i="2"/>
  <c r="CG691" i="2"/>
  <c r="BI691" i="2"/>
  <c r="AK691" i="2"/>
  <c r="M691" i="2"/>
  <c r="CA690" i="2"/>
  <c r="BC690" i="2"/>
  <c r="AE690" i="2"/>
  <c r="G690" i="2"/>
  <c r="BY689" i="2"/>
  <c r="AO689" i="2"/>
  <c r="E689" i="2"/>
  <c r="BG691" i="2"/>
  <c r="W691" i="2"/>
  <c r="BY690" i="2"/>
  <c r="AO690" i="2"/>
  <c r="E690" i="2"/>
  <c r="AZ689" i="2"/>
  <c r="AB689" i="2"/>
  <c r="BF691" i="2"/>
  <c r="V691" i="2"/>
  <c r="AZ690" i="2"/>
  <c r="BK689" i="2"/>
  <c r="O689" i="2"/>
  <c r="AG691" i="2"/>
  <c r="BW690" i="2"/>
  <c r="O690" i="2"/>
  <c r="AL689" i="2"/>
  <c r="N689" i="2"/>
  <c r="BD691" i="2"/>
  <c r="H691" i="2"/>
  <c r="Z690" i="2"/>
  <c r="BU689" i="2"/>
  <c r="BO691" i="2"/>
  <c r="S691" i="2"/>
  <c r="AW690" i="2"/>
  <c r="CL689" i="2"/>
  <c r="BZ689" i="2"/>
  <c r="BN689" i="2"/>
  <c r="BB689" i="2"/>
  <c r="AP689" i="2"/>
  <c r="AD689" i="2"/>
  <c r="R689" i="2"/>
  <c r="F689" i="2"/>
  <c r="CF691" i="2"/>
  <c r="BT691" i="2"/>
  <c r="BH691" i="2"/>
  <c r="AV691" i="2"/>
  <c r="AJ691" i="2"/>
  <c r="X691" i="2"/>
  <c r="L691" i="2"/>
  <c r="CL690" i="2"/>
  <c r="BZ690" i="2"/>
  <c r="BN690" i="2"/>
  <c r="BB690" i="2"/>
  <c r="AP690" i="2"/>
  <c r="AD690" i="2"/>
  <c r="R690" i="2"/>
  <c r="F690" i="2"/>
  <c r="BM689" i="2"/>
  <c r="AC689" i="2"/>
  <c r="BS691" i="2"/>
  <c r="AI691" i="2"/>
  <c r="CK690" i="2"/>
  <c r="BA690" i="2"/>
  <c r="Q690" i="2"/>
  <c r="AN689" i="2"/>
  <c r="CP691" i="2"/>
  <c r="AH691" i="2"/>
  <c r="BL690" i="2"/>
  <c r="P690" i="2"/>
  <c r="BW689" i="2"/>
  <c r="BQ691" i="2"/>
  <c r="CI690" i="2"/>
  <c r="AA690" i="2"/>
  <c r="BJ689" i="2"/>
  <c r="CB691" i="2"/>
  <c r="T691" i="2"/>
  <c r="AX690" i="2"/>
  <c r="AW689" i="2"/>
  <c r="CM691" i="2"/>
  <c r="AQ691" i="2"/>
  <c r="BU690" i="2"/>
  <c r="M690" i="2"/>
  <c r="CF689" i="2"/>
  <c r="BT689" i="2"/>
  <c r="BH689" i="2"/>
  <c r="AV689" i="2"/>
  <c r="AJ689" i="2"/>
  <c r="X689" i="2"/>
  <c r="L689" i="2"/>
  <c r="CL691" i="2"/>
  <c r="BZ691" i="2"/>
  <c r="BN691" i="2"/>
  <c r="BB691" i="2"/>
  <c r="AP691" i="2"/>
  <c r="AD691" i="2"/>
  <c r="R691" i="2"/>
  <c r="F691" i="2"/>
  <c r="CF690" i="2"/>
  <c r="BT690" i="2"/>
  <c r="BH690" i="2"/>
  <c r="AV690" i="2"/>
  <c r="AJ690" i="2"/>
  <c r="X690" i="2"/>
  <c r="L690" i="2"/>
  <c r="W689" i="2"/>
  <c r="BY691" i="2"/>
  <c r="BA691" i="2"/>
  <c r="AC691" i="2"/>
  <c r="E691" i="2"/>
  <c r="BS690" i="2"/>
  <c r="AU690" i="2"/>
  <c r="W690" i="2"/>
  <c r="CJ689" i="2"/>
  <c r="CD691" i="2"/>
  <c r="J691" i="2"/>
  <c r="AN690" i="2"/>
  <c r="CI689" i="2"/>
  <c r="AA689" i="2"/>
  <c r="AS691" i="2"/>
  <c r="BK690" i="2"/>
  <c r="CH689" i="2"/>
  <c r="Z689" i="2"/>
  <c r="AR691" i="2"/>
  <c r="BV690" i="2"/>
  <c r="N690" i="2"/>
  <c r="AK689" i="2"/>
  <c r="M689" i="2"/>
  <c r="AE691" i="2"/>
  <c r="BI690" i="2"/>
  <c r="CE689" i="2"/>
  <c r="BS689" i="2"/>
  <c r="BG689" i="2"/>
  <c r="AU689" i="2"/>
  <c r="AI689" i="2"/>
  <c r="K689" i="2"/>
  <c r="CK691" i="2"/>
  <c r="BM691" i="2"/>
  <c r="AO691" i="2"/>
  <c r="Q691" i="2"/>
  <c r="CE690" i="2"/>
  <c r="BG690" i="2"/>
  <c r="AI690" i="2"/>
  <c r="K690" i="2"/>
  <c r="BX689" i="2"/>
  <c r="BR691" i="2"/>
  <c r="CJ690" i="2"/>
  <c r="AB690" i="2"/>
  <c r="AY689" i="2"/>
  <c r="CC691" i="2"/>
  <c r="I691" i="2"/>
  <c r="AM690" i="2"/>
  <c r="AX689" i="2"/>
  <c r="BP691" i="2"/>
  <c r="CH690" i="2"/>
  <c r="AL690" i="2"/>
  <c r="BI689" i="2"/>
  <c r="Y689" i="2"/>
  <c r="BC691" i="2"/>
  <c r="CG690" i="2"/>
  <c r="Y690" i="2"/>
  <c r="N540" i="2"/>
  <c r="M29" i="11"/>
  <c r="Q543" i="2"/>
  <c r="C105" i="2"/>
  <c r="D375" i="2" s="1"/>
  <c r="I424" i="2"/>
  <c r="K27" i="11"/>
  <c r="H24" i="11"/>
  <c r="F42" i="11"/>
  <c r="L427" i="2"/>
  <c r="AR585" i="2"/>
  <c r="CP668" i="2"/>
  <c r="L406" i="2"/>
  <c r="Y583" i="2"/>
  <c r="AI585" i="2"/>
  <c r="AL585" i="2"/>
  <c r="E578" i="2"/>
  <c r="L515" i="2"/>
  <c r="V585" i="2"/>
  <c r="AR583" i="2"/>
  <c r="Q33" i="11"/>
  <c r="J668" i="2"/>
  <c r="W578" i="2"/>
  <c r="K426" i="2"/>
  <c r="P585" i="2"/>
  <c r="CO583" i="2"/>
  <c r="AW668" i="2"/>
  <c r="O583" i="2"/>
  <c r="AN668" i="2"/>
  <c r="D87" i="2"/>
  <c r="H31" i="8" s="1"/>
  <c r="B116" i="2"/>
  <c r="B135" i="2" s="1"/>
  <c r="BC578" i="2"/>
  <c r="W583" i="2"/>
  <c r="BZ585" i="2"/>
  <c r="N452" i="2"/>
  <c r="J536" i="2"/>
  <c r="O474" i="2"/>
  <c r="L559" i="2"/>
  <c r="E585" i="2"/>
  <c r="AZ578" i="2"/>
  <c r="AY578" i="2"/>
  <c r="AN585" i="2"/>
  <c r="AW578" i="2"/>
  <c r="Z583" i="2"/>
  <c r="CO585" i="2"/>
  <c r="AD585" i="2"/>
  <c r="X585" i="2"/>
  <c r="CF583" i="2"/>
  <c r="CN578" i="2"/>
  <c r="AE578" i="2"/>
  <c r="O453" i="2"/>
  <c r="N496" i="2"/>
  <c r="D530" i="2"/>
  <c r="Q411" i="2"/>
  <c r="P32" i="11"/>
  <c r="CO578" i="2"/>
  <c r="BG585" i="2"/>
  <c r="K470" i="2"/>
  <c r="O51" i="11"/>
  <c r="AW585" i="2"/>
  <c r="D578" i="2"/>
  <c r="CE578" i="2"/>
  <c r="CK585" i="2"/>
  <c r="AX578" i="2"/>
  <c r="BF583" i="2"/>
  <c r="S583" i="2"/>
  <c r="BS585" i="2"/>
  <c r="BK585" i="2"/>
  <c r="M578" i="2"/>
  <c r="AC578" i="2"/>
  <c r="CA578" i="2"/>
  <c r="O409" i="2"/>
  <c r="O497" i="2"/>
  <c r="Q499" i="2"/>
  <c r="AD668" i="2"/>
  <c r="G466" i="2"/>
  <c r="BI585" i="2"/>
  <c r="BX585" i="2"/>
  <c r="AB578" i="2"/>
  <c r="BP583" i="2"/>
  <c r="J492" i="2"/>
  <c r="AT578" i="2"/>
  <c r="U583" i="2"/>
  <c r="AF578" i="2"/>
  <c r="BG578" i="2"/>
  <c r="AG578" i="2"/>
  <c r="AX583" i="2"/>
  <c r="D442" i="2"/>
  <c r="D486" i="2"/>
  <c r="AN575" i="2"/>
  <c r="BA585" i="2"/>
  <c r="CK583" i="2"/>
  <c r="AH585" i="2"/>
  <c r="E41" i="11"/>
  <c r="BQ578" i="2"/>
  <c r="V583" i="2"/>
  <c r="P578" i="2"/>
  <c r="CL583" i="2"/>
  <c r="AV585" i="2"/>
  <c r="V578" i="2"/>
  <c r="D507" i="2"/>
  <c r="AB583" i="2"/>
  <c r="BZ578" i="2"/>
  <c r="CH583" i="2"/>
  <c r="F578" i="2"/>
  <c r="BA583" i="2"/>
  <c r="BU585" i="2"/>
  <c r="X583" i="2"/>
  <c r="CM578" i="2"/>
  <c r="BT578" i="2"/>
  <c r="CH578" i="2"/>
  <c r="BF578" i="2"/>
  <c r="AU585" i="2"/>
  <c r="F444" i="2"/>
  <c r="F488" i="2"/>
  <c r="BO575" i="2"/>
  <c r="D398" i="2"/>
  <c r="I25" i="11"/>
  <c r="C99" i="2"/>
  <c r="C111" i="2" s="1"/>
  <c r="L583" i="2"/>
  <c r="Q583" i="2"/>
  <c r="AA585" i="2"/>
  <c r="AO578" i="2"/>
  <c r="CG583" i="2"/>
  <c r="BW583" i="2"/>
  <c r="T583" i="2"/>
  <c r="AD583" i="2"/>
  <c r="BD578" i="2"/>
  <c r="BY578" i="2"/>
  <c r="CL578" i="2"/>
  <c r="AN578" i="2"/>
  <c r="F400" i="2"/>
  <c r="H583" i="2"/>
  <c r="CC583" i="2"/>
  <c r="BO585" i="2"/>
  <c r="I585" i="2"/>
  <c r="BN585" i="2"/>
  <c r="T585" i="2"/>
  <c r="BR578" i="2"/>
  <c r="CP583" i="2"/>
  <c r="BW585" i="2"/>
  <c r="T578" i="2"/>
  <c r="BI583" i="2"/>
  <c r="AZ668" i="2"/>
  <c r="Q367" i="2"/>
  <c r="Q82" i="2"/>
  <c r="CO668" i="2"/>
  <c r="CK668" i="2"/>
  <c r="CG668" i="2"/>
  <c r="CC668" i="2"/>
  <c r="BY668" i="2"/>
  <c r="BU668" i="2"/>
  <c r="BQ668" i="2"/>
  <c r="BI668" i="2"/>
  <c r="BE668" i="2"/>
  <c r="BA668" i="2"/>
  <c r="AY668" i="2"/>
  <c r="AS668" i="2"/>
  <c r="AQ668" i="2"/>
  <c r="AP668" i="2"/>
  <c r="AO668" i="2"/>
  <c r="AK668" i="2"/>
  <c r="AC668" i="2"/>
  <c r="U668" i="2"/>
  <c r="S668" i="2"/>
  <c r="Q668" i="2"/>
  <c r="M668" i="2"/>
  <c r="K668" i="2"/>
  <c r="I668" i="2"/>
  <c r="C644" i="2"/>
  <c r="N517" i="2"/>
  <c r="I556" i="2"/>
  <c r="E552" i="2"/>
  <c r="L494" i="2"/>
  <c r="BL668" i="2"/>
  <c r="BX668" i="2"/>
  <c r="BP668" i="2"/>
  <c r="O562" i="2"/>
  <c r="Q520" i="2"/>
  <c r="N82" i="2"/>
  <c r="CJ668" i="2"/>
  <c r="P668" i="2"/>
  <c r="E508" i="2"/>
  <c r="N429" i="2"/>
  <c r="E420" i="2"/>
  <c r="Q432" i="2"/>
  <c r="CI668" i="2"/>
  <c r="I468" i="2"/>
  <c r="Q476" i="2"/>
  <c r="Q564" i="2"/>
  <c r="V56" i="2"/>
  <c r="L668" i="2"/>
  <c r="I45" i="11"/>
  <c r="J46" i="11"/>
  <c r="V47" i="2"/>
  <c r="M61" i="2"/>
  <c r="L61" i="2"/>
  <c r="V53" i="2"/>
  <c r="K47" i="11"/>
  <c r="D40" i="11"/>
  <c r="P410" i="2"/>
  <c r="AD578" i="2"/>
  <c r="N578" i="2"/>
  <c r="AK578" i="2"/>
  <c r="X578" i="2"/>
  <c r="CP578" i="2"/>
  <c r="AM585" i="2"/>
  <c r="F583" i="2"/>
  <c r="AT585" i="2"/>
  <c r="BV585" i="2"/>
  <c r="AA583" i="2"/>
  <c r="AU583" i="2"/>
  <c r="AH578" i="2"/>
  <c r="BQ583" i="2"/>
  <c r="AM578" i="2"/>
  <c r="BV583" i="2"/>
  <c r="CM583" i="2"/>
  <c r="CN585" i="2"/>
  <c r="AI583" i="2"/>
  <c r="I583" i="2"/>
  <c r="AX585" i="2"/>
  <c r="N583" i="2"/>
  <c r="BE585" i="2"/>
  <c r="CI585" i="2"/>
  <c r="CB578" i="2"/>
  <c r="BM585" i="2"/>
  <c r="BB578" i="2"/>
  <c r="CD585" i="2"/>
  <c r="BH578" i="2"/>
  <c r="BV578" i="2"/>
  <c r="R585" i="2"/>
  <c r="C580" i="2"/>
  <c r="BM575" i="2"/>
  <c r="P542" i="2"/>
  <c r="G357" i="2"/>
  <c r="V78" i="2"/>
  <c r="CL668" i="2"/>
  <c r="CD668" i="2"/>
  <c r="BV668" i="2"/>
  <c r="BN668" i="2"/>
  <c r="BF668" i="2"/>
  <c r="AX668" i="2"/>
  <c r="AH668" i="2"/>
  <c r="Z668" i="2"/>
  <c r="R668" i="2"/>
  <c r="P366" i="2"/>
  <c r="O386" i="2"/>
  <c r="G378" i="2"/>
  <c r="V69" i="2"/>
  <c r="V67" i="2"/>
  <c r="J61" i="2"/>
  <c r="K514" i="2"/>
  <c r="J513" i="2"/>
  <c r="G578" i="2"/>
  <c r="AF583" i="2"/>
  <c r="BE578" i="2"/>
  <c r="AZ583" i="2"/>
  <c r="AG583" i="2"/>
  <c r="CE585" i="2"/>
  <c r="AL583" i="2"/>
  <c r="CP585" i="2"/>
  <c r="BD585" i="2"/>
  <c r="AY583" i="2"/>
  <c r="BX578" i="2"/>
  <c r="BN578" i="2"/>
  <c r="J585" i="2"/>
  <c r="BS578" i="2"/>
  <c r="O585" i="2"/>
  <c r="AK585" i="2"/>
  <c r="K583" i="2"/>
  <c r="Y578" i="2"/>
  <c r="AO583" i="2"/>
  <c r="K578" i="2"/>
  <c r="AT583" i="2"/>
  <c r="BK583" i="2"/>
  <c r="BL585" i="2"/>
  <c r="BD583" i="2"/>
  <c r="G583" i="2"/>
  <c r="M585" i="2"/>
  <c r="BU578" i="2"/>
  <c r="H578" i="2"/>
  <c r="M583" i="2"/>
  <c r="BC585" i="2"/>
  <c r="BN583" i="2"/>
  <c r="P498" i="2"/>
  <c r="CB668" i="2"/>
  <c r="BT668" i="2"/>
  <c r="BD668" i="2"/>
  <c r="AV668" i="2"/>
  <c r="AF668" i="2"/>
  <c r="X668" i="2"/>
  <c r="G668" i="2"/>
  <c r="J557" i="2"/>
  <c r="V48" i="2"/>
  <c r="V51" i="2"/>
  <c r="AC585" i="2"/>
  <c r="BI578" i="2"/>
  <c r="Y585" i="2"/>
  <c r="BM578" i="2"/>
  <c r="AW583" i="2"/>
  <c r="S578" i="2"/>
  <c r="BB583" i="2"/>
  <c r="BS583" i="2"/>
  <c r="BT585" i="2"/>
  <c r="U578" i="2"/>
  <c r="AR578" i="2"/>
  <c r="CD578" i="2"/>
  <c r="Z585" i="2"/>
  <c r="CI578" i="2"/>
  <c r="AE585" i="2"/>
  <c r="BF585" i="2"/>
  <c r="D585" i="2"/>
  <c r="CC578" i="2"/>
  <c r="BE583" i="2"/>
  <c r="AA578" i="2"/>
  <c r="BJ583" i="2"/>
  <c r="CA583" i="2"/>
  <c r="CB585" i="2"/>
  <c r="CG578" i="2"/>
  <c r="BP578" i="2"/>
  <c r="AV583" i="2"/>
  <c r="Q578" i="2"/>
  <c r="CB583" i="2"/>
  <c r="AC583" i="2"/>
  <c r="BY585" i="2"/>
  <c r="W585" i="2"/>
  <c r="K449" i="2"/>
  <c r="CN575" i="2"/>
  <c r="D354" i="2"/>
  <c r="N364" i="2"/>
  <c r="F356" i="2"/>
  <c r="F82" i="2"/>
  <c r="D86" i="2"/>
  <c r="H30" i="8" s="1"/>
  <c r="AE668" i="2"/>
  <c r="J381" i="2"/>
  <c r="G422" i="2"/>
  <c r="G510" i="2"/>
  <c r="J425" i="2"/>
  <c r="P431" i="2"/>
  <c r="G61" i="2"/>
  <c r="BR585" i="2"/>
  <c r="I578" i="2"/>
  <c r="BC583" i="2"/>
  <c r="L578" i="2"/>
  <c r="BM583" i="2"/>
  <c r="AI578" i="2"/>
  <c r="BR583" i="2"/>
  <c r="CI583" i="2"/>
  <c r="CJ585" i="2"/>
  <c r="J578" i="2"/>
  <c r="R578" i="2"/>
  <c r="E583" i="2"/>
  <c r="AS585" i="2"/>
  <c r="J583" i="2"/>
  <c r="AY585" i="2"/>
  <c r="CA585" i="2"/>
  <c r="CJ578" i="2"/>
  <c r="AM583" i="2"/>
  <c r="BU583" i="2"/>
  <c r="AQ578" i="2"/>
  <c r="BZ583" i="2"/>
  <c r="H585" i="2"/>
  <c r="CC585" i="2"/>
  <c r="BA578" i="2"/>
  <c r="AJ578" i="2"/>
  <c r="P583" i="2"/>
  <c r="AQ585" i="2"/>
  <c r="CK578" i="2"/>
  <c r="AS583" i="2"/>
  <c r="O578" i="2"/>
  <c r="BO583" i="2"/>
  <c r="K405" i="2"/>
  <c r="CB575" i="2"/>
  <c r="O82" i="2"/>
  <c r="V76" i="2"/>
  <c r="K82" i="2"/>
  <c r="V73" i="2"/>
  <c r="BJ668" i="2"/>
  <c r="N30" i="11"/>
  <c r="F22" i="11"/>
  <c r="O61" i="2"/>
  <c r="D551" i="2"/>
  <c r="BT583" i="2"/>
  <c r="AN583" i="2"/>
  <c r="CJ583" i="2"/>
  <c r="CF578" i="2"/>
  <c r="BJ578" i="2"/>
  <c r="F585" i="2"/>
  <c r="BO578" i="2"/>
  <c r="K585" i="2"/>
  <c r="AF585" i="2"/>
  <c r="AQ583" i="2"/>
  <c r="CL585" i="2"/>
  <c r="AJ583" i="2"/>
  <c r="AK583" i="2"/>
  <c r="CM585" i="2"/>
  <c r="AP583" i="2"/>
  <c r="BG583" i="2"/>
  <c r="BH585" i="2"/>
  <c r="BB585" i="2"/>
  <c r="AL578" i="2"/>
  <c r="N585" i="2"/>
  <c r="BW578" i="2"/>
  <c r="S585" i="2"/>
  <c r="AP585" i="2"/>
  <c r="AG585" i="2"/>
  <c r="BL583" i="2"/>
  <c r="U585" i="2"/>
  <c r="AS578" i="2"/>
  <c r="AE583" i="2"/>
  <c r="AP578" i="2"/>
  <c r="BY583" i="2"/>
  <c r="AU578" i="2"/>
  <c r="BQ585" i="2"/>
  <c r="K493" i="2"/>
  <c r="H575" i="2"/>
  <c r="K537" i="2"/>
  <c r="CA668" i="2"/>
  <c r="BK668" i="2"/>
  <c r="C208" i="2"/>
  <c r="C256" i="2"/>
  <c r="C304" i="2"/>
  <c r="C160" i="2"/>
  <c r="V52" i="2"/>
  <c r="F465" i="2"/>
  <c r="F509" i="2"/>
  <c r="Q53" i="11"/>
  <c r="I61" i="2"/>
  <c r="V55" i="2"/>
  <c r="M49" i="11"/>
  <c r="D419" i="2"/>
  <c r="M495" i="2"/>
  <c r="M407" i="2"/>
  <c r="M363" i="2"/>
  <c r="M451" i="2"/>
  <c r="D82" i="2"/>
  <c r="M82" i="2"/>
  <c r="V74" i="2"/>
  <c r="I82" i="2"/>
  <c r="V70" i="2"/>
  <c r="E82" i="2"/>
  <c r="H467" i="2"/>
  <c r="V46" i="2"/>
  <c r="H511" i="2"/>
  <c r="M560" i="2"/>
  <c r="P52" i="11"/>
  <c r="H61" i="2"/>
  <c r="V49" i="2"/>
  <c r="E61" i="2"/>
  <c r="J26" i="11"/>
  <c r="J448" i="2"/>
  <c r="J360" i="2"/>
  <c r="C95" i="2"/>
  <c r="C94" i="2"/>
  <c r="E487" i="2"/>
  <c r="E355" i="2"/>
  <c r="E443" i="2"/>
  <c r="V72" i="2"/>
  <c r="G82" i="2"/>
  <c r="V68" i="2"/>
  <c r="J82" i="2"/>
  <c r="H423" i="2"/>
  <c r="H44" i="11"/>
  <c r="V75" i="2"/>
  <c r="M384" i="2"/>
  <c r="P563" i="2"/>
  <c r="F61" i="2"/>
  <c r="N61" i="2"/>
  <c r="V57" i="2"/>
  <c r="M472" i="2"/>
  <c r="N385" i="2"/>
  <c r="P475" i="2"/>
  <c r="N50" i="11"/>
  <c r="V54" i="2"/>
  <c r="V50" i="2"/>
  <c r="E399" i="2"/>
  <c r="E531" i="2"/>
  <c r="L362" i="2"/>
  <c r="L538" i="2"/>
  <c r="L28" i="11"/>
  <c r="V77" i="2"/>
  <c r="L82" i="2"/>
  <c r="H82" i="2"/>
  <c r="M516" i="2"/>
  <c r="V71" i="2"/>
  <c r="K61" i="2"/>
  <c r="P387" i="2"/>
  <c r="N473" i="2"/>
  <c r="D61" i="2"/>
  <c r="E10" i="8"/>
  <c r="AU575" i="2"/>
  <c r="BD575" i="2"/>
  <c r="BJ585" i="2"/>
  <c r="BR575" i="2"/>
  <c r="BT575" i="2"/>
  <c r="AO585" i="2"/>
  <c r="AO575" i="2"/>
  <c r="CJ575" i="2"/>
  <c r="CD583" i="2"/>
  <c r="X575" i="2"/>
  <c r="CE583" i="2"/>
  <c r="R583" i="2"/>
  <c r="BO668" i="2"/>
  <c r="CN668" i="2"/>
  <c r="AI668" i="2"/>
  <c r="BW668" i="2"/>
  <c r="F668" i="2"/>
  <c r="AL668" i="2"/>
  <c r="BR668" i="2"/>
  <c r="BS668" i="2"/>
  <c r="AM668" i="2"/>
  <c r="CM668" i="2"/>
  <c r="Y668" i="2"/>
  <c r="D668" i="2"/>
  <c r="D691" i="2"/>
  <c r="D689" i="2"/>
  <c r="O31" i="11"/>
  <c r="G23" i="11"/>
  <c r="N668" i="2"/>
  <c r="AT668" i="2"/>
  <c r="BZ668" i="2"/>
  <c r="CE668" i="2"/>
  <c r="O668" i="2"/>
  <c r="AU668" i="2"/>
  <c r="AB668" i="2"/>
  <c r="AG668" i="2"/>
  <c r="BM668" i="2"/>
  <c r="H668" i="2"/>
  <c r="V668" i="2"/>
  <c r="BB668" i="2"/>
  <c r="CH668" i="2"/>
  <c r="AR668" i="2"/>
  <c r="W668" i="2"/>
  <c r="BC668" i="2"/>
  <c r="T668" i="2"/>
  <c r="E668" i="2"/>
  <c r="CF668" i="2"/>
  <c r="C647" i="2"/>
  <c r="BH668" i="2"/>
  <c r="AA668" i="2"/>
  <c r="BG668" i="2"/>
  <c r="E8" i="8"/>
  <c r="CF585" i="2"/>
  <c r="BX583" i="2"/>
  <c r="L585" i="2"/>
  <c r="AJ585" i="2"/>
  <c r="BH583" i="2"/>
  <c r="BK578" i="2"/>
  <c r="AH583" i="2"/>
  <c r="G585" i="2"/>
  <c r="CH585" i="2"/>
  <c r="AB585" i="2"/>
  <c r="BP585" i="2"/>
  <c r="AV578" i="2"/>
  <c r="CF575" i="2"/>
  <c r="BP575" i="2"/>
  <c r="AZ575" i="2"/>
  <c r="AJ575" i="2"/>
  <c r="T575" i="2"/>
  <c r="CK575" i="2"/>
  <c r="BJ575" i="2"/>
  <c r="Y575" i="2"/>
  <c r="AK575" i="2"/>
  <c r="AP575" i="2"/>
  <c r="R575" i="2"/>
  <c r="BL575" i="2"/>
  <c r="AV575" i="2"/>
  <c r="AF575" i="2"/>
  <c r="P575" i="2"/>
  <c r="CE575" i="2"/>
  <c r="BE575" i="2"/>
  <c r="S575" i="2"/>
  <c r="G575" i="2"/>
  <c r="BA575" i="2"/>
  <c r="BG575" i="2"/>
  <c r="BX575" i="2"/>
  <c r="BH575" i="2"/>
  <c r="AR575" i="2"/>
  <c r="AB575" i="2"/>
  <c r="L575" i="2"/>
  <c r="BZ575" i="2"/>
  <c r="AT575" i="2"/>
  <c r="CO575" i="2"/>
  <c r="AL575" i="2"/>
  <c r="BW575" i="2"/>
  <c r="AS575" i="2"/>
  <c r="CG585" i="2"/>
  <c r="Z578" i="2"/>
  <c r="D583" i="2"/>
  <c r="CH575" i="2"/>
  <c r="BF575" i="2"/>
  <c r="AC575" i="2"/>
  <c r="U575" i="2"/>
  <c r="CM575" i="2"/>
  <c r="BK575" i="2"/>
  <c r="AH575" i="2"/>
  <c r="AE575" i="2"/>
  <c r="BQ575" i="2"/>
  <c r="AM575" i="2"/>
  <c r="K575" i="2"/>
  <c r="Q575" i="2"/>
  <c r="W575" i="2"/>
  <c r="AZ585" i="2"/>
  <c r="CN583" i="2"/>
  <c r="Q585" i="2"/>
  <c r="AI575" i="2"/>
  <c r="N575" i="2"/>
  <c r="CA575" i="2"/>
  <c r="AX575" i="2"/>
  <c r="V575" i="2"/>
  <c r="F575" i="2"/>
  <c r="CG575" i="2"/>
  <c r="BC575" i="2"/>
  <c r="AA575" i="2"/>
  <c r="CL575" i="2"/>
  <c r="BI575" i="2"/>
  <c r="AG575" i="2"/>
  <c r="E575" i="2"/>
  <c r="CC575" i="2"/>
  <c r="J575" i="2"/>
  <c r="CP575" i="2"/>
  <c r="BU575" i="2"/>
  <c r="AY575" i="2"/>
  <c r="AD575" i="2"/>
  <c r="I575" i="2"/>
  <c r="BS575" i="2"/>
  <c r="AQ575" i="2"/>
  <c r="O575" i="2"/>
  <c r="BN575" i="2"/>
  <c r="BY575" i="2"/>
  <c r="AW575" i="2"/>
  <c r="M575" i="2"/>
  <c r="CD575" i="2"/>
  <c r="BB575" i="2"/>
  <c r="Z575" i="2"/>
  <c r="CI575" i="2"/>
  <c r="BV575" i="2"/>
  <c r="BG700" i="2" l="1"/>
  <c r="AF700" i="2"/>
  <c r="I380" i="2"/>
  <c r="L383" i="2"/>
  <c r="O365" i="2"/>
  <c r="F377" i="2"/>
  <c r="I359" i="2"/>
  <c r="E376" i="2"/>
  <c r="H379" i="2"/>
  <c r="Q388" i="2"/>
  <c r="H358" i="2"/>
  <c r="K382" i="2"/>
  <c r="K361" i="2"/>
  <c r="C114" i="2"/>
  <c r="W587" i="2"/>
  <c r="CP700" i="2"/>
  <c r="CN587" i="2"/>
  <c r="BJ700" i="2"/>
  <c r="AG700" i="2"/>
  <c r="BW587" i="2"/>
  <c r="BJ587" i="2"/>
  <c r="T587" i="2"/>
  <c r="Y587" i="2"/>
  <c r="E587" i="2"/>
  <c r="AR587" i="2"/>
  <c r="AD587" i="2"/>
  <c r="BA587" i="2"/>
  <c r="CO587" i="2"/>
  <c r="H700" i="2"/>
  <c r="L700" i="2"/>
  <c r="P587" i="2"/>
  <c r="M700" i="2"/>
  <c r="AC587" i="2"/>
  <c r="AD700" i="2"/>
  <c r="N587" i="2"/>
  <c r="BX700" i="2"/>
  <c r="BP700" i="2"/>
  <c r="BH700" i="2"/>
  <c r="T310" i="2"/>
  <c r="BM587" i="2"/>
  <c r="BS587" i="2"/>
  <c r="V587" i="2"/>
  <c r="AS587" i="2"/>
  <c r="AM310" i="2"/>
  <c r="AW700" i="2"/>
  <c r="AO700" i="2"/>
  <c r="Z166" i="2"/>
  <c r="AO262" i="2"/>
  <c r="K700" i="2"/>
  <c r="AG587" i="2"/>
  <c r="AX587" i="2"/>
  <c r="L214" i="2"/>
  <c r="CJ700" i="2"/>
  <c r="AK310" i="2"/>
  <c r="X587" i="2"/>
  <c r="BD587" i="2"/>
  <c r="CL587" i="2"/>
  <c r="BF587" i="2"/>
  <c r="BG587" i="2"/>
  <c r="S262" i="2"/>
  <c r="BI700" i="2"/>
  <c r="BQ587" i="2"/>
  <c r="E214" i="2"/>
  <c r="F700" i="2"/>
  <c r="K587" i="2"/>
  <c r="E166" i="2"/>
  <c r="BB700" i="2"/>
  <c r="CN700" i="2"/>
  <c r="BZ700" i="2"/>
  <c r="CG587" i="2"/>
  <c r="S700" i="2"/>
  <c r="AL700" i="2"/>
  <c r="AB262" i="2"/>
  <c r="U310" i="2"/>
  <c r="K262" i="2"/>
  <c r="D310" i="2"/>
  <c r="J166" i="2"/>
  <c r="W262" i="2"/>
  <c r="BR700" i="2"/>
  <c r="AV700" i="2"/>
  <c r="AE310" i="2"/>
  <c r="AK262" i="2"/>
  <c r="M587" i="2"/>
  <c r="AF587" i="2"/>
  <c r="CK587" i="2"/>
  <c r="G310" i="2"/>
  <c r="AC262" i="2"/>
  <c r="BK700" i="2"/>
  <c r="V310" i="2"/>
  <c r="T262" i="2"/>
  <c r="AA214" i="2"/>
  <c r="AI166" i="2"/>
  <c r="CB700" i="2"/>
  <c r="BT700" i="2"/>
  <c r="O262" i="2"/>
  <c r="CJ587" i="2"/>
  <c r="AA166" i="2"/>
  <c r="CB587" i="2"/>
  <c r="M310" i="2"/>
  <c r="AA587" i="2"/>
  <c r="AI587" i="2"/>
  <c r="CH587" i="2"/>
  <c r="AT587" i="2"/>
  <c r="E262" i="2"/>
  <c r="CL700" i="2"/>
  <c r="Q700" i="2"/>
  <c r="C649" i="2"/>
  <c r="AJ166" i="2"/>
  <c r="S214" i="2"/>
  <c r="S166" i="2"/>
  <c r="R214" i="2"/>
  <c r="BQ700" i="2"/>
  <c r="P166" i="2"/>
  <c r="Q262" i="2"/>
  <c r="AI214" i="2"/>
  <c r="AF166" i="2"/>
  <c r="CP587" i="2"/>
  <c r="AE587" i="2"/>
  <c r="D587" i="2"/>
  <c r="BZ587" i="2"/>
  <c r="N700" i="2"/>
  <c r="AK166" i="2"/>
  <c r="T166" i="2"/>
  <c r="K214" i="2"/>
  <c r="K166" i="2"/>
  <c r="AH262" i="2"/>
  <c r="BE700" i="2"/>
  <c r="BT587" i="2"/>
  <c r="H587" i="2"/>
  <c r="AN587" i="2"/>
  <c r="T700" i="2"/>
  <c r="F310" i="2"/>
  <c r="D262" i="2"/>
  <c r="U214" i="2"/>
  <c r="AI262" i="2"/>
  <c r="Z262" i="2"/>
  <c r="M262" i="2"/>
  <c r="U166" i="2"/>
  <c r="AJ214" i="2"/>
  <c r="L166" i="2"/>
  <c r="CF587" i="2"/>
  <c r="M214" i="2"/>
  <c r="M166" i="2"/>
  <c r="T214" i="2"/>
  <c r="BD700" i="2"/>
  <c r="E310" i="2"/>
  <c r="AQ262" i="2"/>
  <c r="AB310" i="2"/>
  <c r="R262" i="2"/>
  <c r="P700" i="2"/>
  <c r="D166" i="2"/>
  <c r="AN166" i="2"/>
  <c r="AU700" i="2"/>
  <c r="CC587" i="2"/>
  <c r="CI700" i="2"/>
  <c r="AC700" i="2"/>
  <c r="AQ166" i="2"/>
  <c r="L310" i="2"/>
  <c r="AP262" i="2"/>
  <c r="R166" i="2"/>
  <c r="P262" i="2"/>
  <c r="AM262" i="2"/>
  <c r="I214" i="2"/>
  <c r="AL166" i="2"/>
  <c r="BW700" i="2"/>
  <c r="X214" i="2"/>
  <c r="AG310" i="2"/>
  <c r="G262" i="2"/>
  <c r="BR587" i="2"/>
  <c r="I166" i="2"/>
  <c r="Q166" i="2"/>
  <c r="BS700" i="2"/>
  <c r="CD587" i="2"/>
  <c r="I587" i="2"/>
  <c r="U587" i="2"/>
  <c r="BH587" i="2"/>
  <c r="AM700" i="2"/>
  <c r="AC310" i="2"/>
  <c r="AA262" i="2"/>
  <c r="AP214" i="2"/>
  <c r="J262" i="2"/>
  <c r="P214" i="2"/>
  <c r="Q310" i="2"/>
  <c r="W214" i="2"/>
  <c r="AM166" i="2"/>
  <c r="BV700" i="2"/>
  <c r="BO587" i="2"/>
  <c r="BI587" i="2"/>
  <c r="BX587" i="2"/>
  <c r="AB700" i="2"/>
  <c r="AJ310" i="2"/>
  <c r="AH214" i="2"/>
  <c r="AP166" i="2"/>
  <c r="H214" i="2"/>
  <c r="AO310" i="2"/>
  <c r="AM214" i="2"/>
  <c r="W166" i="2"/>
  <c r="AD214" i="2"/>
  <c r="F166" i="2"/>
  <c r="AC166" i="2"/>
  <c r="O700" i="2"/>
  <c r="CF700" i="2"/>
  <c r="BB587" i="2"/>
  <c r="AY587" i="2"/>
  <c r="Z214" i="2"/>
  <c r="AH166" i="2"/>
  <c r="AN262" i="2"/>
  <c r="Y310" i="2"/>
  <c r="G214" i="2"/>
  <c r="O166" i="2"/>
  <c r="AU587" i="2"/>
  <c r="AA310" i="2"/>
  <c r="N166" i="2"/>
  <c r="CC700" i="2"/>
  <c r="AZ700" i="2"/>
  <c r="X262" i="2"/>
  <c r="I310" i="2"/>
  <c r="AE262" i="2"/>
  <c r="G166" i="2"/>
  <c r="Y214" i="2"/>
  <c r="AJ262" i="2"/>
  <c r="Y700" i="2"/>
  <c r="W700" i="2"/>
  <c r="CM587" i="2"/>
  <c r="CE587" i="2"/>
  <c r="CK700" i="2"/>
  <c r="CH700" i="2"/>
  <c r="AJ700" i="2"/>
  <c r="AQ700" i="2"/>
  <c r="D84" i="2"/>
  <c r="H28" i="8" s="1"/>
  <c r="N214" i="2"/>
  <c r="U262" i="2"/>
  <c r="O214" i="2"/>
  <c r="AW587" i="2"/>
  <c r="AM587" i="2"/>
  <c r="AK700" i="2"/>
  <c r="AE214" i="2"/>
  <c r="AE166" i="2"/>
  <c r="BN700" i="2"/>
  <c r="AX700" i="2"/>
  <c r="AI310" i="2"/>
  <c r="AG262" i="2"/>
  <c r="AN310" i="2"/>
  <c r="AB214" i="2"/>
  <c r="CA587" i="2"/>
  <c r="BU587" i="2"/>
  <c r="BL587" i="2"/>
  <c r="BU700" i="2"/>
  <c r="BL700" i="2"/>
  <c r="H166" i="2"/>
  <c r="AL587" i="2"/>
  <c r="BV587" i="2"/>
  <c r="BC587" i="2"/>
  <c r="G587" i="2"/>
  <c r="R587" i="2"/>
  <c r="AH700" i="2"/>
  <c r="S310" i="2"/>
  <c r="I262" i="2"/>
  <c r="R310" i="2"/>
  <c r="CO700" i="2"/>
  <c r="O587" i="2"/>
  <c r="S587" i="2"/>
  <c r="Z700" i="2"/>
  <c r="AN700" i="2"/>
  <c r="AF310" i="2"/>
  <c r="H310" i="2"/>
  <c r="AO214" i="2"/>
  <c r="AG166" i="2"/>
  <c r="J214" i="2"/>
  <c r="BY587" i="2"/>
  <c r="BN587" i="2"/>
  <c r="CI587" i="2"/>
  <c r="J587" i="2"/>
  <c r="AP587" i="2"/>
  <c r="AY700" i="2"/>
  <c r="AQ587" i="2"/>
  <c r="F587" i="2"/>
  <c r="BE587" i="2"/>
  <c r="AK587" i="2"/>
  <c r="AI700" i="2"/>
  <c r="G700" i="2"/>
  <c r="BO700" i="2"/>
  <c r="AO587" i="2"/>
  <c r="AD166" i="2"/>
  <c r="I700" i="2"/>
  <c r="AG214" i="2"/>
  <c r="AH310" i="2"/>
  <c r="D214" i="2"/>
  <c r="X166" i="2"/>
  <c r="AR700" i="2"/>
  <c r="V700" i="2"/>
  <c r="D700" i="2"/>
  <c r="D701" i="2" s="1"/>
  <c r="AV587" i="2"/>
  <c r="AE700" i="2"/>
  <c r="AP700" i="2"/>
  <c r="BC700" i="2"/>
  <c r="CA700" i="2"/>
  <c r="D85" i="2"/>
  <c r="H29" i="8" s="1"/>
  <c r="AL262" i="2"/>
  <c r="Q214" i="2"/>
  <c r="Y166" i="2"/>
  <c r="V262" i="2"/>
  <c r="F214" i="2"/>
  <c r="L262" i="2"/>
  <c r="Z310" i="2"/>
  <c r="W310" i="2"/>
  <c r="AL310" i="2"/>
  <c r="AJ587" i="2"/>
  <c r="J700" i="2"/>
  <c r="CM700" i="2"/>
  <c r="E700" i="2"/>
  <c r="R700" i="2"/>
  <c r="AD262" i="2"/>
  <c r="AQ310" i="2"/>
  <c r="O310" i="2"/>
  <c r="AQ214" i="2"/>
  <c r="BF700" i="2"/>
  <c r="CG700" i="2"/>
  <c r="CD700" i="2"/>
  <c r="P310" i="2"/>
  <c r="N262" i="2"/>
  <c r="H262" i="2"/>
  <c r="AF262" i="2"/>
  <c r="AN214" i="2"/>
  <c r="AO166" i="2"/>
  <c r="X700" i="2"/>
  <c r="AH587" i="2"/>
  <c r="L587" i="2"/>
  <c r="AA700" i="2"/>
  <c r="BY700" i="2"/>
  <c r="BM700" i="2"/>
  <c r="BA700" i="2"/>
  <c r="C305" i="2"/>
  <c r="C112" i="2"/>
  <c r="C209" i="2"/>
  <c r="C161" i="2"/>
  <c r="C257" i="2"/>
  <c r="V214" i="2"/>
  <c r="F262" i="2"/>
  <c r="AD310" i="2"/>
  <c r="AB166" i="2"/>
  <c r="X310" i="2"/>
  <c r="AF214" i="2"/>
  <c r="Z587" i="2"/>
  <c r="AZ587" i="2"/>
  <c r="BK587" i="2"/>
  <c r="AB587" i="2"/>
  <c r="AS700" i="2"/>
  <c r="CE700" i="2"/>
  <c r="AT700" i="2"/>
  <c r="U700" i="2"/>
  <c r="K310" i="2"/>
  <c r="Y262" i="2"/>
  <c r="C113" i="2"/>
  <c r="C258" i="2"/>
  <c r="C210" i="2"/>
  <c r="C306" i="2"/>
  <c r="C162" i="2"/>
  <c r="AL214" i="2"/>
  <c r="V166" i="2"/>
  <c r="AP310" i="2"/>
  <c r="J310" i="2"/>
  <c r="N310" i="2"/>
  <c r="AK214" i="2"/>
  <c r="AC214" i="2"/>
  <c r="BP587" i="2"/>
  <c r="Q587" i="2"/>
  <c r="X118" i="2" l="1"/>
  <c r="H185" i="2"/>
  <c r="I193" i="2" s="1"/>
  <c r="I402" i="2" s="1"/>
  <c r="C589" i="2"/>
  <c r="D118" i="2"/>
  <c r="I233" i="2"/>
  <c r="J242" i="2" s="1"/>
  <c r="J468" i="2" s="1"/>
  <c r="O185" i="2"/>
  <c r="P200" i="2" s="1"/>
  <c r="P430" i="2" s="1"/>
  <c r="K329" i="2"/>
  <c r="L340" i="2" s="1"/>
  <c r="L537" i="2" s="1"/>
  <c r="O233" i="2"/>
  <c r="P248" i="2" s="1"/>
  <c r="O249" i="2" s="1"/>
  <c r="H329" i="2"/>
  <c r="I337" i="2" s="1"/>
  <c r="H338" i="2" s="1"/>
  <c r="H535" i="2" s="1"/>
  <c r="P185" i="2"/>
  <c r="Q201" i="2" s="1"/>
  <c r="P202" i="2" s="1"/>
  <c r="P411" i="2" s="1"/>
  <c r="G329" i="2"/>
  <c r="H336" i="2" s="1"/>
  <c r="H533" i="2" s="1"/>
  <c r="L185" i="2"/>
  <c r="M197" i="2" s="1"/>
  <c r="M427" i="2" s="1"/>
  <c r="D329" i="2"/>
  <c r="E333" i="2" s="1"/>
  <c r="D334" i="2" s="1"/>
  <c r="D531" i="2" s="1"/>
  <c r="L233" i="2"/>
  <c r="M245" i="2" s="1"/>
  <c r="F185" i="2"/>
  <c r="G191" i="2" s="1"/>
  <c r="F233" i="2"/>
  <c r="G239" i="2" s="1"/>
  <c r="P281" i="2"/>
  <c r="Q297" i="2" s="1"/>
  <c r="O281" i="2"/>
  <c r="P296" i="2" s="1"/>
  <c r="E281" i="2"/>
  <c r="F286" i="2" s="1"/>
  <c r="M281" i="2"/>
  <c r="N294" i="2" s="1"/>
  <c r="F281" i="2"/>
  <c r="G287" i="2" s="1"/>
  <c r="G281" i="2"/>
  <c r="H288" i="2" s="1"/>
  <c r="K281" i="2"/>
  <c r="L292" i="2" s="1"/>
  <c r="L281" i="2"/>
  <c r="M293" i="2" s="1"/>
  <c r="N281" i="2"/>
  <c r="O295" i="2" s="1"/>
  <c r="D281" i="2"/>
  <c r="E285" i="2" s="1"/>
  <c r="I281" i="2"/>
  <c r="J290" i="2" s="1"/>
  <c r="H281" i="2"/>
  <c r="I289" i="2" s="1"/>
  <c r="J281" i="2"/>
  <c r="K291" i="2" s="1"/>
  <c r="D185" i="2"/>
  <c r="E189" i="2" s="1"/>
  <c r="E701" i="2"/>
  <c r="F701" i="2" s="1"/>
  <c r="G701" i="2" s="1"/>
  <c r="H701" i="2" s="1"/>
  <c r="I701" i="2" s="1"/>
  <c r="J701" i="2" s="1"/>
  <c r="K701" i="2" s="1"/>
  <c r="L701" i="2" s="1"/>
  <c r="M701" i="2" s="1"/>
  <c r="N701" i="2" s="1"/>
  <c r="O701" i="2" s="1"/>
  <c r="P701" i="2" s="1"/>
  <c r="Q701" i="2" s="1"/>
  <c r="R701" i="2" s="1"/>
  <c r="S701" i="2" s="1"/>
  <c r="T701" i="2" s="1"/>
  <c r="U701" i="2" s="1"/>
  <c r="V701" i="2" s="1"/>
  <c r="W701" i="2" s="1"/>
  <c r="X701" i="2" s="1"/>
  <c r="Y701" i="2" s="1"/>
  <c r="Z701" i="2" s="1"/>
  <c r="AA701" i="2" s="1"/>
  <c r="AB701" i="2" s="1"/>
  <c r="AC701" i="2" s="1"/>
  <c r="AD701" i="2" s="1"/>
  <c r="AE701" i="2" s="1"/>
  <c r="AF701" i="2" s="1"/>
  <c r="AG701" i="2" s="1"/>
  <c r="AH701" i="2" s="1"/>
  <c r="AI701" i="2" s="1"/>
  <c r="AJ701" i="2" s="1"/>
  <c r="AK701" i="2" s="1"/>
  <c r="AL701" i="2" s="1"/>
  <c r="AM701" i="2" s="1"/>
  <c r="AN701" i="2" s="1"/>
  <c r="AO701" i="2" s="1"/>
  <c r="AP701" i="2" s="1"/>
  <c r="AQ701" i="2" s="1"/>
  <c r="AR701" i="2" s="1"/>
  <c r="AS701" i="2" s="1"/>
  <c r="AT701" i="2" s="1"/>
  <c r="AU701" i="2" s="1"/>
  <c r="AV701" i="2" s="1"/>
  <c r="AW701" i="2" s="1"/>
  <c r="AX701" i="2" s="1"/>
  <c r="AY701" i="2" s="1"/>
  <c r="AZ701" i="2" s="1"/>
  <c r="BA701" i="2" s="1"/>
  <c r="BB701" i="2" s="1"/>
  <c r="BC701" i="2" s="1"/>
  <c r="BD701" i="2" s="1"/>
  <c r="BE701" i="2" s="1"/>
  <c r="BF701" i="2" s="1"/>
  <c r="BG701" i="2" s="1"/>
  <c r="BH701" i="2" s="1"/>
  <c r="BI701" i="2" s="1"/>
  <c r="BJ701" i="2" s="1"/>
  <c r="BK701" i="2" s="1"/>
  <c r="BL701" i="2" s="1"/>
  <c r="BM701" i="2" s="1"/>
  <c r="BN701" i="2" s="1"/>
  <c r="BO701" i="2" s="1"/>
  <c r="BP701" i="2" s="1"/>
  <c r="BQ701" i="2" s="1"/>
  <c r="BR701" i="2" s="1"/>
  <c r="BS701" i="2" s="1"/>
  <c r="BT701" i="2" s="1"/>
  <c r="BU701" i="2" s="1"/>
  <c r="BV701" i="2" s="1"/>
  <c r="BW701" i="2" s="1"/>
  <c r="BX701" i="2" s="1"/>
  <c r="BY701" i="2" s="1"/>
  <c r="BZ701" i="2" s="1"/>
  <c r="CA701" i="2" s="1"/>
  <c r="CB701" i="2" s="1"/>
  <c r="CC701" i="2" s="1"/>
  <c r="CD701" i="2" s="1"/>
  <c r="CE701" i="2" s="1"/>
  <c r="CF701" i="2" s="1"/>
  <c r="CG701" i="2" s="1"/>
  <c r="CH701" i="2" s="1"/>
  <c r="CI701" i="2" s="1"/>
  <c r="CJ701" i="2" s="1"/>
  <c r="CK701" i="2" s="1"/>
  <c r="CL701" i="2" s="1"/>
  <c r="CM701" i="2" s="1"/>
  <c r="CN701" i="2" s="1"/>
  <c r="CO701" i="2" s="1"/>
  <c r="CP701" i="2" s="1"/>
  <c r="E329" i="2"/>
  <c r="F334" i="2" s="1"/>
  <c r="J185" i="2"/>
  <c r="K195" i="2" s="1"/>
  <c r="N185" i="2"/>
  <c r="O199" i="2" s="1"/>
  <c r="P233" i="2"/>
  <c r="Q249" i="2" s="1"/>
  <c r="H233" i="2"/>
  <c r="I241" i="2" s="1"/>
  <c r="D233" i="2"/>
  <c r="E237" i="2" s="1"/>
  <c r="E185" i="2"/>
  <c r="F190" i="2" s="1"/>
  <c r="AO118" i="2"/>
  <c r="I185" i="2"/>
  <c r="G185" i="2"/>
  <c r="H192" i="2" s="1"/>
  <c r="J233" i="2"/>
  <c r="K243" i="2" s="1"/>
  <c r="K233" i="2"/>
  <c r="L244" i="2" s="1"/>
  <c r="G233" i="2"/>
  <c r="H240" i="2" s="1"/>
  <c r="O329" i="2"/>
  <c r="P344" i="2" s="1"/>
  <c r="N329" i="2"/>
  <c r="O343" i="2" s="1"/>
  <c r="L329" i="2"/>
  <c r="M341" i="2" s="1"/>
  <c r="I329" i="2"/>
  <c r="J338" i="2" s="1"/>
  <c r="P329" i="2"/>
  <c r="Q345" i="2" s="1"/>
  <c r="M329" i="2"/>
  <c r="N342" i="2" s="1"/>
  <c r="J329" i="2"/>
  <c r="K339" i="2" s="1"/>
  <c r="K185" i="2"/>
  <c r="L196" i="2" s="1"/>
  <c r="M185" i="2"/>
  <c r="N198" i="2" s="1"/>
  <c r="F329" i="2"/>
  <c r="G335" i="2" s="1"/>
  <c r="G532" i="2" s="1"/>
  <c r="S118" i="2"/>
  <c r="P118" i="2"/>
  <c r="N118" i="2"/>
  <c r="I118" i="2"/>
  <c r="AL118" i="2"/>
  <c r="O118" i="2"/>
  <c r="E118" i="2"/>
  <c r="W118" i="2"/>
  <c r="T118" i="2"/>
  <c r="R118" i="2"/>
  <c r="M118" i="2"/>
  <c r="AK118" i="2"/>
  <c r="AA118" i="2"/>
  <c r="AB118" i="2"/>
  <c r="V118" i="2"/>
  <c r="Q118" i="2"/>
  <c r="H118" i="2"/>
  <c r="L118" i="2"/>
  <c r="AE118" i="2"/>
  <c r="AF118" i="2"/>
  <c r="Z118" i="2"/>
  <c r="U118" i="2"/>
  <c r="AP118" i="2"/>
  <c r="AI118" i="2"/>
  <c r="AJ118" i="2"/>
  <c r="AD118" i="2"/>
  <c r="Y118" i="2"/>
  <c r="AG118" i="2"/>
  <c r="G118" i="2"/>
  <c r="AM118" i="2"/>
  <c r="AN118" i="2"/>
  <c r="AH118" i="2"/>
  <c r="AC118" i="2"/>
  <c r="AQ118" i="2"/>
  <c r="K118" i="2"/>
  <c r="F118" i="2"/>
  <c r="J118" i="2"/>
  <c r="N233" i="2"/>
  <c r="O247" i="2" s="1"/>
  <c r="E233" i="2"/>
  <c r="F238" i="2" s="1"/>
  <c r="M233" i="2"/>
  <c r="N246" i="2" s="1"/>
  <c r="H556" i="2" l="1"/>
  <c r="I336" i="2"/>
  <c r="I533" i="2" s="1"/>
  <c r="I555" i="2"/>
  <c r="J337" i="2"/>
  <c r="J534" i="2" s="1"/>
  <c r="I534" i="2"/>
  <c r="J447" i="2"/>
  <c r="H194" i="2"/>
  <c r="H403" i="2" s="1"/>
  <c r="I243" i="2"/>
  <c r="I448" i="2" s="1"/>
  <c r="P409" i="2"/>
  <c r="I423" i="2"/>
  <c r="K341" i="2"/>
  <c r="K538" i="2" s="1"/>
  <c r="O201" i="2"/>
  <c r="O410" i="2" s="1"/>
  <c r="L558" i="2"/>
  <c r="P432" i="2"/>
  <c r="Q200" i="2"/>
  <c r="Q431" i="2"/>
  <c r="P474" i="2"/>
  <c r="Q410" i="2"/>
  <c r="E530" i="2"/>
  <c r="E551" i="2"/>
  <c r="H554" i="2"/>
  <c r="G337" i="2"/>
  <c r="P453" i="2"/>
  <c r="O475" i="2"/>
  <c r="O454" i="2"/>
  <c r="L198" i="2"/>
  <c r="M406" i="2"/>
  <c r="N197" i="2"/>
  <c r="N406" i="2" s="1"/>
  <c r="G137" i="2"/>
  <c r="H144" i="2" s="1"/>
  <c r="H357" i="2" s="1"/>
  <c r="N137" i="2"/>
  <c r="O151" i="2" s="1"/>
  <c r="N152" i="2" s="1"/>
  <c r="P295" i="2"/>
  <c r="O496" i="2"/>
  <c r="O517" i="2"/>
  <c r="N296" i="2"/>
  <c r="Q498" i="2"/>
  <c r="Q519" i="2"/>
  <c r="P298" i="2"/>
  <c r="P137" i="2"/>
  <c r="Q153" i="2" s="1"/>
  <c r="E191" i="2"/>
  <c r="G190" i="2"/>
  <c r="F420" i="2"/>
  <c r="F399" i="2"/>
  <c r="N293" i="2"/>
  <c r="L294" i="2"/>
  <c r="M515" i="2"/>
  <c r="M494" i="2"/>
  <c r="F240" i="2"/>
  <c r="G444" i="2"/>
  <c r="H239" i="2"/>
  <c r="G465" i="2"/>
  <c r="M340" i="2"/>
  <c r="D137" i="2"/>
  <c r="E141" i="2" s="1"/>
  <c r="E3" i="11" s="1"/>
  <c r="O137" i="2"/>
  <c r="P152" i="2" s="1"/>
  <c r="E335" i="2"/>
  <c r="G334" i="2"/>
  <c r="L137" i="2"/>
  <c r="M149" i="2" s="1"/>
  <c r="N560" i="2"/>
  <c r="N539" i="2"/>
  <c r="M343" i="2"/>
  <c r="O342" i="2"/>
  <c r="L449" i="2"/>
  <c r="M244" i="2"/>
  <c r="K245" i="2"/>
  <c r="L470" i="2"/>
  <c r="F237" i="2"/>
  <c r="D238" i="2"/>
  <c r="E463" i="2"/>
  <c r="E442" i="2"/>
  <c r="E398" i="2"/>
  <c r="E419" i="2"/>
  <c r="D190" i="2"/>
  <c r="F189" i="2"/>
  <c r="G289" i="2"/>
  <c r="I288" i="2"/>
  <c r="H489" i="2"/>
  <c r="H510" i="2"/>
  <c r="F333" i="2"/>
  <c r="K137" i="2"/>
  <c r="L148" i="2" s="1"/>
  <c r="H137" i="2"/>
  <c r="I145" i="2" s="1"/>
  <c r="J340" i="2"/>
  <c r="L339" i="2"/>
  <c r="K536" i="2"/>
  <c r="K557" i="2"/>
  <c r="D552" i="2"/>
  <c r="P346" i="2"/>
  <c r="Q542" i="2"/>
  <c r="Q563" i="2"/>
  <c r="J241" i="2"/>
  <c r="H242" i="2"/>
  <c r="I467" i="2"/>
  <c r="I446" i="2"/>
  <c r="K513" i="2"/>
  <c r="K492" i="2"/>
  <c r="L291" i="2"/>
  <c r="J292" i="2"/>
  <c r="H287" i="2"/>
  <c r="G509" i="2"/>
  <c r="G488" i="2"/>
  <c r="F288" i="2"/>
  <c r="H191" i="2"/>
  <c r="F192" i="2"/>
  <c r="G400" i="2"/>
  <c r="G421" i="2"/>
  <c r="F137" i="2"/>
  <c r="G143" i="2" s="1"/>
  <c r="O473" i="2"/>
  <c r="N248" i="2"/>
  <c r="O452" i="2"/>
  <c r="P247" i="2"/>
  <c r="G241" i="2"/>
  <c r="I240" i="2"/>
  <c r="H466" i="2"/>
  <c r="H445" i="2"/>
  <c r="K293" i="2"/>
  <c r="M292" i="2"/>
  <c r="L514" i="2"/>
  <c r="L493" i="2"/>
  <c r="K338" i="2"/>
  <c r="J556" i="2"/>
  <c r="J535" i="2"/>
  <c r="I339" i="2"/>
  <c r="K448" i="2"/>
  <c r="L243" i="2"/>
  <c r="J244" i="2"/>
  <c r="K469" i="2"/>
  <c r="P250" i="2"/>
  <c r="Q454" i="2"/>
  <c r="Q475" i="2"/>
  <c r="I490" i="2"/>
  <c r="H290" i="2"/>
  <c r="J289" i="2"/>
  <c r="I511" i="2"/>
  <c r="N495" i="2"/>
  <c r="O294" i="2"/>
  <c r="M295" i="2"/>
  <c r="N516" i="2"/>
  <c r="L246" i="2"/>
  <c r="M450" i="2"/>
  <c r="N245" i="2"/>
  <c r="M471" i="2"/>
  <c r="K242" i="2"/>
  <c r="E137" i="2"/>
  <c r="F142" i="2" s="1"/>
  <c r="Q248" i="2"/>
  <c r="K197" i="2"/>
  <c r="M196" i="2"/>
  <c r="L405" i="2"/>
  <c r="L426" i="2"/>
  <c r="F552" i="2"/>
  <c r="M247" i="2"/>
  <c r="N451" i="2"/>
  <c r="O246" i="2"/>
  <c r="N472" i="2"/>
  <c r="G553" i="2"/>
  <c r="H335" i="2"/>
  <c r="F336" i="2"/>
  <c r="M559" i="2"/>
  <c r="M538" i="2"/>
  <c r="L342" i="2"/>
  <c r="N341" i="2"/>
  <c r="G193" i="2"/>
  <c r="I192" i="2"/>
  <c r="H422" i="2"/>
  <c r="H401" i="2"/>
  <c r="P199" i="2"/>
  <c r="O429" i="2"/>
  <c r="O408" i="2"/>
  <c r="N200" i="2"/>
  <c r="K290" i="2"/>
  <c r="J491" i="2"/>
  <c r="J512" i="2"/>
  <c r="I291" i="2"/>
  <c r="G286" i="2"/>
  <c r="E287" i="2"/>
  <c r="F487" i="2"/>
  <c r="F508" i="2"/>
  <c r="I137" i="2"/>
  <c r="J146" i="2" s="1"/>
  <c r="P562" i="2"/>
  <c r="P541" i="2"/>
  <c r="Q344" i="2"/>
  <c r="O345" i="2"/>
  <c r="F531" i="2"/>
  <c r="G238" i="2"/>
  <c r="F443" i="2"/>
  <c r="E239" i="2"/>
  <c r="F464" i="2"/>
  <c r="M199" i="2"/>
  <c r="O198" i="2"/>
  <c r="N407" i="2"/>
  <c r="N428" i="2"/>
  <c r="O540" i="2"/>
  <c r="P343" i="2"/>
  <c r="N344" i="2"/>
  <c r="O561" i="2"/>
  <c r="J194" i="2"/>
  <c r="J193" i="2"/>
  <c r="K404" i="2"/>
  <c r="J196" i="2"/>
  <c r="L195" i="2"/>
  <c r="K425" i="2"/>
  <c r="D286" i="2"/>
  <c r="E486" i="2"/>
  <c r="E507" i="2"/>
  <c r="F285" i="2"/>
  <c r="Q296" i="2"/>
  <c r="O297" i="2"/>
  <c r="P518" i="2"/>
  <c r="P497" i="2"/>
  <c r="M137" i="2"/>
  <c r="N150" i="2" s="1"/>
  <c r="N12" i="11" s="1"/>
  <c r="J137" i="2"/>
  <c r="K147" i="2" s="1"/>
  <c r="J336" i="2" l="1"/>
  <c r="J533" i="2" s="1"/>
  <c r="I554" i="2"/>
  <c r="G338" i="2"/>
  <c r="G535" i="2" s="1"/>
  <c r="H339" i="2"/>
  <c r="H557" i="2" s="1"/>
  <c r="J555" i="2"/>
  <c r="K337" i="2"/>
  <c r="H340" i="2" s="1"/>
  <c r="H537" i="2" s="1"/>
  <c r="I469" i="2"/>
  <c r="H6" i="11"/>
  <c r="H23" i="11" s="1"/>
  <c r="O431" i="2"/>
  <c r="H424" i="2"/>
  <c r="L199" i="2"/>
  <c r="L408" i="2" s="1"/>
  <c r="K559" i="2"/>
  <c r="O202" i="2"/>
  <c r="Q430" i="2"/>
  <c r="Q409" i="2"/>
  <c r="G145" i="2"/>
  <c r="G358" i="2" s="1"/>
  <c r="H378" i="2"/>
  <c r="G534" i="2"/>
  <c r="G555" i="2"/>
  <c r="O197" i="2"/>
  <c r="N427" i="2"/>
  <c r="L407" i="2"/>
  <c r="L428" i="2"/>
  <c r="O13" i="11"/>
  <c r="O30" i="11" s="1"/>
  <c r="O364" i="2"/>
  <c r="O385" i="2"/>
  <c r="H291" i="2"/>
  <c r="J511" i="2"/>
  <c r="J490" i="2"/>
  <c r="K289" i="2"/>
  <c r="F445" i="2"/>
  <c r="F466" i="2"/>
  <c r="I292" i="2"/>
  <c r="L290" i="2"/>
  <c r="K491" i="2"/>
  <c r="K512" i="2"/>
  <c r="F489" i="2"/>
  <c r="F510" i="2"/>
  <c r="E532" i="2"/>
  <c r="E553" i="2"/>
  <c r="M151" i="2"/>
  <c r="M13" i="11" s="1"/>
  <c r="O150" i="2"/>
  <c r="O12" i="11" s="1"/>
  <c r="N363" i="2"/>
  <c r="N384" i="2"/>
  <c r="D487" i="2"/>
  <c r="D508" i="2"/>
  <c r="N541" i="2"/>
  <c r="N562" i="2"/>
  <c r="E465" i="2"/>
  <c r="E444" i="2"/>
  <c r="F533" i="2"/>
  <c r="F554" i="2"/>
  <c r="J449" i="2"/>
  <c r="J470" i="2"/>
  <c r="G467" i="2"/>
  <c r="G446" i="2"/>
  <c r="F401" i="2"/>
  <c r="F422" i="2"/>
  <c r="P543" i="2"/>
  <c r="P564" i="2"/>
  <c r="L10" i="11"/>
  <c r="L361" i="2"/>
  <c r="L382" i="2"/>
  <c r="K149" i="2"/>
  <c r="M148" i="2"/>
  <c r="K450" i="2"/>
  <c r="K471" i="2"/>
  <c r="M383" i="2"/>
  <c r="N149" i="2"/>
  <c r="L150" i="2"/>
  <c r="L12" i="11" s="1"/>
  <c r="M362" i="2"/>
  <c r="G420" i="2"/>
  <c r="H190" i="2"/>
  <c r="E192" i="2"/>
  <c r="G399" i="2"/>
  <c r="P151" i="2"/>
  <c r="M11" i="11"/>
  <c r="N450" i="2"/>
  <c r="O245" i="2"/>
  <c r="L247" i="2"/>
  <c r="N471" i="2"/>
  <c r="I191" i="2"/>
  <c r="F193" i="2"/>
  <c r="H400" i="2"/>
  <c r="H421" i="2"/>
  <c r="E400" i="2"/>
  <c r="E421" i="2"/>
  <c r="I147" i="2"/>
  <c r="J380" i="2"/>
  <c r="J359" i="2"/>
  <c r="K146" i="2"/>
  <c r="E40" i="11"/>
  <c r="E20" i="11"/>
  <c r="N29" i="11"/>
  <c r="N49" i="11"/>
  <c r="O498" i="2"/>
  <c r="O519" i="2"/>
  <c r="J426" i="2"/>
  <c r="J405" i="2"/>
  <c r="N430" i="2"/>
  <c r="N409" i="2"/>
  <c r="N14" i="11"/>
  <c r="G423" i="2"/>
  <c r="G402" i="2"/>
  <c r="M426" i="2"/>
  <c r="M405" i="2"/>
  <c r="K198" i="2"/>
  <c r="N196" i="2"/>
  <c r="L451" i="2"/>
  <c r="L472" i="2"/>
  <c r="I536" i="2"/>
  <c r="I557" i="2"/>
  <c r="K294" i="2"/>
  <c r="N292" i="2"/>
  <c r="M514" i="2"/>
  <c r="M493" i="2"/>
  <c r="N453" i="2"/>
  <c r="N474" i="2"/>
  <c r="M344" i="2"/>
  <c r="P342" i="2"/>
  <c r="O539" i="2"/>
  <c r="O560" i="2"/>
  <c r="P386" i="2"/>
  <c r="O153" i="2"/>
  <c r="P365" i="2"/>
  <c r="Q152" i="2"/>
  <c r="N386" i="2"/>
  <c r="N365" i="2"/>
  <c r="N497" i="2"/>
  <c r="N518" i="2"/>
  <c r="H532" i="2"/>
  <c r="F337" i="2"/>
  <c r="I335" i="2"/>
  <c r="H553" i="2"/>
  <c r="H334" i="2"/>
  <c r="G531" i="2"/>
  <c r="E336" i="2"/>
  <c r="G552" i="2"/>
  <c r="O298" i="2"/>
  <c r="Q497" i="2"/>
  <c r="Q518" i="2"/>
  <c r="N559" i="2"/>
  <c r="O341" i="2"/>
  <c r="L343" i="2"/>
  <c r="N538" i="2"/>
  <c r="O451" i="2"/>
  <c r="O472" i="2"/>
  <c r="P246" i="2"/>
  <c r="M248" i="2"/>
  <c r="K406" i="2"/>
  <c r="K427" i="2"/>
  <c r="K494" i="2"/>
  <c r="K515" i="2"/>
  <c r="H447" i="2"/>
  <c r="H468" i="2"/>
  <c r="G290" i="2"/>
  <c r="I489" i="2"/>
  <c r="I510" i="2"/>
  <c r="J288" i="2"/>
  <c r="M540" i="2"/>
  <c r="M561" i="2"/>
  <c r="D142" i="2"/>
  <c r="D4" i="11" s="1"/>
  <c r="E354" i="2"/>
  <c r="E375" i="2"/>
  <c r="F141" i="2"/>
  <c r="L495" i="2"/>
  <c r="L516" i="2"/>
  <c r="Q15" i="11"/>
  <c r="Q366" i="2"/>
  <c r="Q387" i="2"/>
  <c r="P154" i="2"/>
  <c r="P16" i="11" s="1"/>
  <c r="N244" i="2"/>
  <c r="K246" i="2"/>
  <c r="M470" i="2"/>
  <c r="M449" i="2"/>
  <c r="J192" i="2"/>
  <c r="G194" i="2"/>
  <c r="I422" i="2"/>
  <c r="I401" i="2"/>
  <c r="D287" i="2"/>
  <c r="G285" i="2"/>
  <c r="F486" i="2"/>
  <c r="F507" i="2"/>
  <c r="K193" i="2"/>
  <c r="J423" i="2"/>
  <c r="H195" i="2"/>
  <c r="J402" i="2"/>
  <c r="O428" i="2"/>
  <c r="O407" i="2"/>
  <c r="P198" i="2"/>
  <c r="M200" i="2"/>
  <c r="E488" i="2"/>
  <c r="E509" i="2"/>
  <c r="L539" i="2"/>
  <c r="L560" i="2"/>
  <c r="Q453" i="2"/>
  <c r="O250" i="2"/>
  <c r="Q474" i="2"/>
  <c r="M517" i="2"/>
  <c r="M496" i="2"/>
  <c r="G5" i="11"/>
  <c r="F144" i="2"/>
  <c r="G356" i="2"/>
  <c r="H143" i="2"/>
  <c r="G377" i="2"/>
  <c r="F289" i="2"/>
  <c r="H488" i="2"/>
  <c r="H509" i="2"/>
  <c r="I287" i="2"/>
  <c r="J446" i="2"/>
  <c r="H243" i="2"/>
  <c r="J467" i="2"/>
  <c r="K241" i="2"/>
  <c r="J341" i="2"/>
  <c r="L536" i="2"/>
  <c r="M339" i="2"/>
  <c r="L557" i="2"/>
  <c r="G511" i="2"/>
  <c r="G490" i="2"/>
  <c r="D464" i="2"/>
  <c r="D443" i="2"/>
  <c r="M537" i="2"/>
  <c r="K342" i="2"/>
  <c r="N340" i="2"/>
  <c r="M558" i="2"/>
  <c r="O293" i="2"/>
  <c r="N494" i="2"/>
  <c r="N515" i="2"/>
  <c r="L295" i="2"/>
  <c r="P499" i="2"/>
  <c r="P520" i="2"/>
  <c r="I144" i="2"/>
  <c r="N249" i="2"/>
  <c r="P473" i="2"/>
  <c r="P452" i="2"/>
  <c r="Q247" i="2"/>
  <c r="E240" i="2"/>
  <c r="G443" i="2"/>
  <c r="G464" i="2"/>
  <c r="H238" i="2"/>
  <c r="H491" i="2"/>
  <c r="H512" i="2"/>
  <c r="K194" i="2"/>
  <c r="J424" i="2"/>
  <c r="J403" i="2"/>
  <c r="I195" i="2"/>
  <c r="J8" i="11"/>
  <c r="M429" i="2"/>
  <c r="M408" i="2"/>
  <c r="O542" i="2"/>
  <c r="O563" i="2"/>
  <c r="G508" i="2"/>
  <c r="H286" i="2"/>
  <c r="E288" i="2"/>
  <c r="G487" i="2"/>
  <c r="M452" i="2"/>
  <c r="M473" i="2"/>
  <c r="E143" i="2"/>
  <c r="F355" i="2"/>
  <c r="F376" i="2"/>
  <c r="F4" i="11"/>
  <c r="G142" i="2"/>
  <c r="M296" i="2"/>
  <c r="O516" i="2"/>
  <c r="O495" i="2"/>
  <c r="P294" i="2"/>
  <c r="P455" i="2"/>
  <c r="P476" i="2"/>
  <c r="K556" i="2"/>
  <c r="L338" i="2"/>
  <c r="K535" i="2"/>
  <c r="I340" i="2"/>
  <c r="J514" i="2"/>
  <c r="J493" i="2"/>
  <c r="J558" i="2"/>
  <c r="J537" i="2"/>
  <c r="F419" i="2"/>
  <c r="F398" i="2"/>
  <c r="D191" i="2"/>
  <c r="G189" i="2"/>
  <c r="D239" i="2"/>
  <c r="F463" i="2"/>
  <c r="G237" i="2"/>
  <c r="F442" i="2"/>
  <c r="N297" i="2"/>
  <c r="P496" i="2"/>
  <c r="P517" i="2"/>
  <c r="Q295" i="2"/>
  <c r="P540" i="2"/>
  <c r="N345" i="2"/>
  <c r="Q343" i="2"/>
  <c r="P561" i="2"/>
  <c r="L469" i="2"/>
  <c r="M243" i="2"/>
  <c r="J245" i="2"/>
  <c r="L448" i="2"/>
  <c r="D335" i="2"/>
  <c r="F530" i="2"/>
  <c r="G333" i="2"/>
  <c r="F551" i="2"/>
  <c r="J197" i="2"/>
  <c r="L404" i="2"/>
  <c r="M195" i="2"/>
  <c r="L425" i="2"/>
  <c r="K9" i="11"/>
  <c r="K360" i="2"/>
  <c r="L147" i="2"/>
  <c r="J148" i="2"/>
  <c r="K381" i="2"/>
  <c r="O346" i="2"/>
  <c r="Q541" i="2"/>
  <c r="Q562" i="2"/>
  <c r="I492" i="2"/>
  <c r="I513" i="2"/>
  <c r="P429" i="2"/>
  <c r="N201" i="2"/>
  <c r="Q199" i="2"/>
  <c r="P408" i="2"/>
  <c r="L242" i="2"/>
  <c r="I244" i="2"/>
  <c r="K468" i="2"/>
  <c r="K447" i="2"/>
  <c r="G242" i="2"/>
  <c r="I445" i="2"/>
  <c r="J240" i="2"/>
  <c r="I466" i="2"/>
  <c r="M291" i="2"/>
  <c r="J293" i="2"/>
  <c r="L492" i="2"/>
  <c r="L513" i="2"/>
  <c r="I358" i="2"/>
  <c r="H146" i="2"/>
  <c r="H8" i="11" s="1"/>
  <c r="J145" i="2"/>
  <c r="I7" i="11"/>
  <c r="I379" i="2"/>
  <c r="D420" i="2"/>
  <c r="D399" i="2"/>
  <c r="I239" i="2"/>
  <c r="H465" i="2"/>
  <c r="H444" i="2"/>
  <c r="F241" i="2"/>
  <c r="P14" i="11"/>
  <c r="H558" i="2" l="1"/>
  <c r="K336" i="2"/>
  <c r="K533" i="2" s="1"/>
  <c r="G556" i="2"/>
  <c r="H536" i="2"/>
  <c r="G339" i="2"/>
  <c r="J554" i="2"/>
  <c r="K555" i="2"/>
  <c r="K534" i="2"/>
  <c r="L337" i="2"/>
  <c r="K554" i="2"/>
  <c r="H43" i="11"/>
  <c r="L429" i="2"/>
  <c r="G7" i="11"/>
  <c r="G24" i="11" s="1"/>
  <c r="G379" i="2"/>
  <c r="O50" i="11"/>
  <c r="O411" i="2"/>
  <c r="O432" i="2"/>
  <c r="L200" i="2"/>
  <c r="P197" i="2"/>
  <c r="O406" i="2"/>
  <c r="O427" i="2"/>
  <c r="H25" i="11"/>
  <c r="H45" i="11"/>
  <c r="H142" i="2"/>
  <c r="H4" i="11" s="1"/>
  <c r="G376" i="2"/>
  <c r="G355" i="2"/>
  <c r="E144" i="2"/>
  <c r="E6" i="11" s="1"/>
  <c r="Q14" i="11"/>
  <c r="O154" i="2"/>
  <c r="Q365" i="2"/>
  <c r="Q386" i="2"/>
  <c r="G463" i="2"/>
  <c r="D240" i="2"/>
  <c r="G442" i="2"/>
  <c r="H237" i="2"/>
  <c r="K451" i="2"/>
  <c r="K472" i="2"/>
  <c r="M453" i="2"/>
  <c r="M474" i="2"/>
  <c r="F402" i="2"/>
  <c r="F423" i="2"/>
  <c r="J239" i="2"/>
  <c r="F242" i="2"/>
  <c r="I444" i="2"/>
  <c r="I465" i="2"/>
  <c r="G447" i="2"/>
  <c r="G468" i="2"/>
  <c r="N410" i="2"/>
  <c r="N431" i="2"/>
  <c r="J382" i="2"/>
  <c r="J361" i="2"/>
  <c r="J406" i="2"/>
  <c r="J427" i="2"/>
  <c r="N519" i="2"/>
  <c r="N498" i="2"/>
  <c r="L535" i="2"/>
  <c r="M338" i="2"/>
  <c r="I341" i="2"/>
  <c r="L556" i="2"/>
  <c r="M497" i="2"/>
  <c r="M518" i="2"/>
  <c r="M30" i="11"/>
  <c r="M50" i="11"/>
  <c r="Q452" i="2"/>
  <c r="Q473" i="2"/>
  <c r="N250" i="2"/>
  <c r="H377" i="2"/>
  <c r="H356" i="2"/>
  <c r="F145" i="2"/>
  <c r="F7" i="11" s="1"/>
  <c r="F24" i="11" s="1"/>
  <c r="I143" i="2"/>
  <c r="I5" i="11" s="1"/>
  <c r="I22" i="11" s="1"/>
  <c r="H285" i="2"/>
  <c r="D288" i="2"/>
  <c r="G486" i="2"/>
  <c r="G507" i="2"/>
  <c r="G291" i="2"/>
  <c r="J489" i="2"/>
  <c r="J510" i="2"/>
  <c r="K288" i="2"/>
  <c r="O538" i="2"/>
  <c r="P341" i="2"/>
  <c r="L344" i="2"/>
  <c r="O559" i="2"/>
  <c r="I334" i="2"/>
  <c r="E337" i="2"/>
  <c r="H552" i="2"/>
  <c r="H531" i="2"/>
  <c r="M541" i="2"/>
  <c r="M562" i="2"/>
  <c r="I148" i="2"/>
  <c r="L146" i="2"/>
  <c r="K380" i="2"/>
  <c r="K359" i="2"/>
  <c r="M48" i="11"/>
  <c r="M28" i="11"/>
  <c r="L363" i="2"/>
  <c r="L384" i="2"/>
  <c r="H333" i="2"/>
  <c r="D336" i="2"/>
  <c r="G551" i="2"/>
  <c r="G530" i="2"/>
  <c r="D143" i="2"/>
  <c r="D5" i="11" s="1"/>
  <c r="F354" i="2"/>
  <c r="G141" i="2"/>
  <c r="G3" i="11" s="1"/>
  <c r="F375" i="2"/>
  <c r="L49" i="11"/>
  <c r="L29" i="11"/>
  <c r="K511" i="2"/>
  <c r="L289" i="2"/>
  <c r="K490" i="2"/>
  <c r="H292" i="2"/>
  <c r="D41" i="11"/>
  <c r="D21" i="11"/>
  <c r="J494" i="2"/>
  <c r="J515" i="2"/>
  <c r="I449" i="2"/>
  <c r="I470" i="2"/>
  <c r="K26" i="11"/>
  <c r="K46" i="11"/>
  <c r="N542" i="2"/>
  <c r="N563" i="2"/>
  <c r="E489" i="2"/>
  <c r="E510" i="2"/>
  <c r="J45" i="11"/>
  <c r="J25" i="11"/>
  <c r="H443" i="2"/>
  <c r="H464" i="2"/>
  <c r="I238" i="2"/>
  <c r="E241" i="2"/>
  <c r="N454" i="2"/>
  <c r="N475" i="2"/>
  <c r="F290" i="2"/>
  <c r="I488" i="2"/>
  <c r="J287" i="2"/>
  <c r="I509" i="2"/>
  <c r="G22" i="11"/>
  <c r="G42" i="11"/>
  <c r="H425" i="2"/>
  <c r="H404" i="2"/>
  <c r="N470" i="2"/>
  <c r="O244" i="2"/>
  <c r="K247" i="2"/>
  <c r="N449" i="2"/>
  <c r="G512" i="2"/>
  <c r="G491" i="2"/>
  <c r="P451" i="2"/>
  <c r="M249" i="2"/>
  <c r="P472" i="2"/>
  <c r="Q246" i="2"/>
  <c r="F534" i="2"/>
  <c r="F555" i="2"/>
  <c r="O366" i="2"/>
  <c r="O387" i="2"/>
  <c r="O15" i="11"/>
  <c r="N51" i="11"/>
  <c r="N31" i="11"/>
  <c r="I360" i="2"/>
  <c r="I381" i="2"/>
  <c r="F194" i="2"/>
  <c r="I421" i="2"/>
  <c r="J191" i="2"/>
  <c r="I400" i="2"/>
  <c r="G4" i="11"/>
  <c r="H448" i="2"/>
  <c r="H469" i="2"/>
  <c r="L27" i="11"/>
  <c r="L47" i="11"/>
  <c r="F41" i="11"/>
  <c r="F21" i="11"/>
  <c r="J294" i="2"/>
  <c r="N291" i="2"/>
  <c r="M492" i="2"/>
  <c r="M513" i="2"/>
  <c r="L468" i="2"/>
  <c r="M242" i="2"/>
  <c r="L447" i="2"/>
  <c r="I245" i="2"/>
  <c r="D532" i="2"/>
  <c r="D553" i="2"/>
  <c r="D444" i="2"/>
  <c r="D465" i="2"/>
  <c r="H508" i="2"/>
  <c r="E289" i="2"/>
  <c r="H487" i="2"/>
  <c r="I286" i="2"/>
  <c r="I9" i="11"/>
  <c r="I425" i="2"/>
  <c r="I404" i="2"/>
  <c r="I357" i="2"/>
  <c r="G146" i="2"/>
  <c r="G8" i="11" s="1"/>
  <c r="J144" i="2"/>
  <c r="J6" i="11" s="1"/>
  <c r="I378" i="2"/>
  <c r="K343" i="2"/>
  <c r="N558" i="2"/>
  <c r="N537" i="2"/>
  <c r="O340" i="2"/>
  <c r="N339" i="2"/>
  <c r="M536" i="2"/>
  <c r="J342" i="2"/>
  <c r="M557" i="2"/>
  <c r="P367" i="2"/>
  <c r="P388" i="2"/>
  <c r="O499" i="2"/>
  <c r="O520" i="2"/>
  <c r="K199" i="2"/>
  <c r="O196" i="2"/>
  <c r="N405" i="2"/>
  <c r="N426" i="2"/>
  <c r="E422" i="2"/>
  <c r="E401" i="2"/>
  <c r="N383" i="2"/>
  <c r="N362" i="2"/>
  <c r="L151" i="2"/>
  <c r="L13" i="11" s="1"/>
  <c r="O149" i="2"/>
  <c r="O11" i="11" s="1"/>
  <c r="J335" i="2"/>
  <c r="F338" i="2"/>
  <c r="I553" i="2"/>
  <c r="I532" i="2"/>
  <c r="I44" i="11"/>
  <c r="I24" i="11"/>
  <c r="Q517" i="2"/>
  <c r="N298" i="2"/>
  <c r="Q496" i="2"/>
  <c r="G398" i="2"/>
  <c r="G419" i="2"/>
  <c r="H189" i="2"/>
  <c r="D192" i="2"/>
  <c r="P495" i="2"/>
  <c r="M297" i="2"/>
  <c r="Q294" i="2"/>
  <c r="P516" i="2"/>
  <c r="E377" i="2"/>
  <c r="E356" i="2"/>
  <c r="K539" i="2"/>
  <c r="K560" i="2"/>
  <c r="O49" i="11"/>
  <c r="O29" i="11"/>
  <c r="K423" i="2"/>
  <c r="H196" i="2"/>
  <c r="L193" i="2"/>
  <c r="K402" i="2"/>
  <c r="G424" i="2"/>
  <c r="G403" i="2"/>
  <c r="D355" i="2"/>
  <c r="D376" i="2"/>
  <c r="K295" i="2"/>
  <c r="N493" i="2"/>
  <c r="O292" i="2"/>
  <c r="N514" i="2"/>
  <c r="K428" i="2"/>
  <c r="K407" i="2"/>
  <c r="E5" i="11"/>
  <c r="L452" i="2"/>
  <c r="L473" i="2"/>
  <c r="H420" i="2"/>
  <c r="I190" i="2"/>
  <c r="H399" i="2"/>
  <c r="E193" i="2"/>
  <c r="K150" i="2"/>
  <c r="K12" i="11" s="1"/>
  <c r="M382" i="2"/>
  <c r="N148" i="2"/>
  <c r="M361" i="2"/>
  <c r="P150" i="2"/>
  <c r="P12" i="11" s="1"/>
  <c r="M152" i="2"/>
  <c r="M14" i="11" s="1"/>
  <c r="O363" i="2"/>
  <c r="O384" i="2"/>
  <c r="H513" i="2"/>
  <c r="H492" i="2"/>
  <c r="M147" i="2"/>
  <c r="M9" i="11" s="1"/>
  <c r="J149" i="2"/>
  <c r="J11" i="11" s="1"/>
  <c r="L381" i="2"/>
  <c r="L360" i="2"/>
  <c r="P364" i="2"/>
  <c r="N153" i="2"/>
  <c r="P385" i="2"/>
  <c r="Q151" i="2"/>
  <c r="P31" i="11"/>
  <c r="P51" i="11"/>
  <c r="Q540" i="2"/>
  <c r="N346" i="2"/>
  <c r="Q561" i="2"/>
  <c r="L296" i="2"/>
  <c r="O494" i="2"/>
  <c r="O515" i="2"/>
  <c r="P293" i="2"/>
  <c r="F357" i="2"/>
  <c r="F378" i="2"/>
  <c r="J7" i="11"/>
  <c r="J358" i="2"/>
  <c r="H147" i="2"/>
  <c r="J379" i="2"/>
  <c r="K145" i="2"/>
  <c r="G243" i="2"/>
  <c r="J445" i="2"/>
  <c r="K240" i="2"/>
  <c r="J466" i="2"/>
  <c r="P13" i="11"/>
  <c r="O543" i="2"/>
  <c r="O564" i="2"/>
  <c r="N195" i="2"/>
  <c r="M425" i="2"/>
  <c r="M404" i="2"/>
  <c r="J198" i="2"/>
  <c r="J471" i="2"/>
  <c r="J450" i="2"/>
  <c r="F3" i="11"/>
  <c r="I537" i="2"/>
  <c r="I558" i="2"/>
  <c r="E445" i="2"/>
  <c r="E466" i="2"/>
  <c r="J538" i="2"/>
  <c r="J559" i="2"/>
  <c r="F511" i="2"/>
  <c r="F490" i="2"/>
  <c r="M409" i="2"/>
  <c r="M430" i="2"/>
  <c r="I6" i="11"/>
  <c r="E533" i="2"/>
  <c r="E554" i="2"/>
  <c r="K495" i="2"/>
  <c r="K516" i="2"/>
  <c r="J10" i="11"/>
  <c r="O471" i="2"/>
  <c r="O450" i="2"/>
  <c r="P245" i="2"/>
  <c r="L248" i="2"/>
  <c r="K362" i="2"/>
  <c r="K11" i="11"/>
  <c r="K383" i="2"/>
  <c r="F6" i="11"/>
  <c r="M385" i="2"/>
  <c r="M364" i="2"/>
  <c r="L512" i="2"/>
  <c r="I293" i="2"/>
  <c r="M290" i="2"/>
  <c r="L491" i="2"/>
  <c r="L9" i="11"/>
  <c r="D488" i="2"/>
  <c r="D509" i="2"/>
  <c r="P33" i="11"/>
  <c r="P53" i="11"/>
  <c r="F446" i="2"/>
  <c r="F467" i="2"/>
  <c r="H359" i="2"/>
  <c r="H380" i="2"/>
  <c r="N202" i="2"/>
  <c r="Q429" i="2"/>
  <c r="Q408" i="2"/>
  <c r="N243" i="2"/>
  <c r="J246" i="2"/>
  <c r="M469" i="2"/>
  <c r="M448" i="2"/>
  <c r="D421" i="2"/>
  <c r="D400" i="2"/>
  <c r="I196" i="2"/>
  <c r="L194" i="2"/>
  <c r="K8" i="11"/>
  <c r="K424" i="2"/>
  <c r="K403" i="2"/>
  <c r="H5" i="11"/>
  <c r="L496" i="2"/>
  <c r="L517" i="2"/>
  <c r="H244" i="2"/>
  <c r="L241" i="2"/>
  <c r="K446" i="2"/>
  <c r="K467" i="2"/>
  <c r="O455" i="2"/>
  <c r="O476" i="2"/>
  <c r="P407" i="2"/>
  <c r="P428" i="2"/>
  <c r="M201" i="2"/>
  <c r="Q198" i="2"/>
  <c r="J422" i="2"/>
  <c r="J401" i="2"/>
  <c r="G195" i="2"/>
  <c r="K192" i="2"/>
  <c r="Q32" i="11"/>
  <c r="Q52" i="11"/>
  <c r="L540" i="2"/>
  <c r="L561" i="2"/>
  <c r="P539" i="2"/>
  <c r="Q342" i="2"/>
  <c r="P560" i="2"/>
  <c r="M345" i="2"/>
  <c r="N11" i="11"/>
  <c r="I493" i="2"/>
  <c r="I514" i="2"/>
  <c r="M10" i="11"/>
  <c r="L336" i="2" l="1"/>
  <c r="G341" i="2" s="1"/>
  <c r="G340" i="2"/>
  <c r="G537" i="2" s="1"/>
  <c r="G536" i="2"/>
  <c r="G557" i="2"/>
  <c r="M337" i="2"/>
  <c r="L534" i="2"/>
  <c r="L555" i="2"/>
  <c r="H341" i="2"/>
  <c r="G44" i="11"/>
  <c r="I42" i="11"/>
  <c r="Q197" i="2"/>
  <c r="L201" i="2"/>
  <c r="P427" i="2"/>
  <c r="P406" i="2"/>
  <c r="L430" i="2"/>
  <c r="L409" i="2"/>
  <c r="K49" i="11"/>
  <c r="K29" i="11"/>
  <c r="J48" i="11"/>
  <c r="J28" i="11"/>
  <c r="M47" i="11"/>
  <c r="M27" i="11"/>
  <c r="K28" i="11"/>
  <c r="K48" i="11"/>
  <c r="F20" i="11"/>
  <c r="F40" i="11"/>
  <c r="P494" i="2"/>
  <c r="L297" i="2"/>
  <c r="Q293" i="2"/>
  <c r="P515" i="2"/>
  <c r="N147" i="2"/>
  <c r="N9" i="11" s="1"/>
  <c r="J150" i="2"/>
  <c r="J12" i="11" s="1"/>
  <c r="M360" i="2"/>
  <c r="M381" i="2"/>
  <c r="N10" i="11"/>
  <c r="K151" i="2"/>
  <c r="O148" i="2"/>
  <c r="N361" i="2"/>
  <c r="N382" i="2"/>
  <c r="L30" i="11"/>
  <c r="L50" i="11"/>
  <c r="H197" i="2"/>
  <c r="M193" i="2"/>
  <c r="L423" i="2"/>
  <c r="L402" i="2"/>
  <c r="I26" i="11"/>
  <c r="I46" i="11"/>
  <c r="J495" i="2"/>
  <c r="J516" i="2"/>
  <c r="G41" i="11"/>
  <c r="G21" i="11"/>
  <c r="M454" i="2"/>
  <c r="M475" i="2"/>
  <c r="D554" i="2"/>
  <c r="D533" i="2"/>
  <c r="L380" i="2"/>
  <c r="M146" i="2"/>
  <c r="L359" i="2"/>
  <c r="I149" i="2"/>
  <c r="N455" i="2"/>
  <c r="N476" i="2"/>
  <c r="I538" i="2"/>
  <c r="I559" i="2"/>
  <c r="E23" i="11"/>
  <c r="E43" i="11"/>
  <c r="H426" i="2"/>
  <c r="H405" i="2"/>
  <c r="K540" i="2"/>
  <c r="K561" i="2"/>
  <c r="I361" i="2"/>
  <c r="I382" i="2"/>
  <c r="O367" i="2"/>
  <c r="O388" i="2"/>
  <c r="O16" i="11"/>
  <c r="M431" i="2"/>
  <c r="M410" i="2"/>
  <c r="L467" i="2"/>
  <c r="H245" i="2"/>
  <c r="M241" i="2"/>
  <c r="L446" i="2"/>
  <c r="M194" i="2"/>
  <c r="L403" i="2"/>
  <c r="I197" i="2"/>
  <c r="L424" i="2"/>
  <c r="L8" i="11"/>
  <c r="O243" i="2"/>
  <c r="J247" i="2"/>
  <c r="N469" i="2"/>
  <c r="N448" i="2"/>
  <c r="I515" i="2"/>
  <c r="I494" i="2"/>
  <c r="L453" i="2"/>
  <c r="L474" i="2"/>
  <c r="P30" i="11"/>
  <c r="P50" i="11"/>
  <c r="K384" i="2"/>
  <c r="K363" i="2"/>
  <c r="Q516" i="2"/>
  <c r="M298" i="2"/>
  <c r="Q495" i="2"/>
  <c r="J532" i="2"/>
  <c r="F339" i="2"/>
  <c r="K335" i="2"/>
  <c r="J553" i="2"/>
  <c r="J400" i="2"/>
  <c r="F195" i="2"/>
  <c r="J421" i="2"/>
  <c r="K191" i="2"/>
  <c r="E446" i="2"/>
  <c r="E467" i="2"/>
  <c r="L345" i="2"/>
  <c r="P559" i="2"/>
  <c r="P538" i="2"/>
  <c r="Q341" i="2"/>
  <c r="D489" i="2"/>
  <c r="D510" i="2"/>
  <c r="J444" i="2"/>
  <c r="K239" i="2"/>
  <c r="F243" i="2"/>
  <c r="J465" i="2"/>
  <c r="Q51" i="11"/>
  <c r="Q31" i="11"/>
  <c r="M512" i="2"/>
  <c r="N290" i="2"/>
  <c r="I294" i="2"/>
  <c r="M491" i="2"/>
  <c r="K496" i="2"/>
  <c r="K517" i="2"/>
  <c r="O32" i="11"/>
  <c r="O52" i="11"/>
  <c r="I333" i="2"/>
  <c r="H551" i="2"/>
  <c r="H530" i="2"/>
  <c r="D337" i="2"/>
  <c r="F468" i="2"/>
  <c r="F447" i="2"/>
  <c r="N48" i="11"/>
  <c r="N28" i="11"/>
  <c r="H449" i="2"/>
  <c r="H470" i="2"/>
  <c r="I10" i="11"/>
  <c r="I426" i="2"/>
  <c r="I405" i="2"/>
  <c r="L249" i="2"/>
  <c r="Q245" i="2"/>
  <c r="P471" i="2"/>
  <c r="P450" i="2"/>
  <c r="J407" i="2"/>
  <c r="J428" i="2"/>
  <c r="J24" i="11"/>
  <c r="J44" i="11"/>
  <c r="L518" i="2"/>
  <c r="L497" i="2"/>
  <c r="N366" i="2"/>
  <c r="N387" i="2"/>
  <c r="H21" i="11"/>
  <c r="H41" i="11"/>
  <c r="E22" i="11"/>
  <c r="E42" i="11"/>
  <c r="M498" i="2"/>
  <c r="M519" i="2"/>
  <c r="N499" i="2"/>
  <c r="N520" i="2"/>
  <c r="O362" i="2"/>
  <c r="P149" i="2"/>
  <c r="L152" i="2"/>
  <c r="L14" i="11" s="1"/>
  <c r="O383" i="2"/>
  <c r="J539" i="2"/>
  <c r="J560" i="2"/>
  <c r="G147" i="2"/>
  <c r="G9" i="11" s="1"/>
  <c r="K144" i="2"/>
  <c r="K6" i="11" s="1"/>
  <c r="J357" i="2"/>
  <c r="J378" i="2"/>
  <c r="E511" i="2"/>
  <c r="E490" i="2"/>
  <c r="N242" i="2"/>
  <c r="I246" i="2"/>
  <c r="M447" i="2"/>
  <c r="M468" i="2"/>
  <c r="E242" i="2"/>
  <c r="I464" i="2"/>
  <c r="I443" i="2"/>
  <c r="J238" i="2"/>
  <c r="D144" i="2"/>
  <c r="D6" i="11" s="1"/>
  <c r="G375" i="2"/>
  <c r="H141" i="2"/>
  <c r="H3" i="11" s="1"/>
  <c r="G354" i="2"/>
  <c r="I285" i="2"/>
  <c r="H486" i="2"/>
  <c r="H507" i="2"/>
  <c r="D289" i="2"/>
  <c r="H442" i="2"/>
  <c r="I237" i="2"/>
  <c r="H463" i="2"/>
  <c r="D241" i="2"/>
  <c r="E357" i="2"/>
  <c r="E378" i="2"/>
  <c r="Q407" i="2"/>
  <c r="Q428" i="2"/>
  <c r="M202" i="2"/>
  <c r="Q385" i="2"/>
  <c r="N154" i="2"/>
  <c r="N16" i="11" s="1"/>
  <c r="Q364" i="2"/>
  <c r="F535" i="2"/>
  <c r="F556" i="2"/>
  <c r="I450" i="2"/>
  <c r="I471" i="2"/>
  <c r="M542" i="2"/>
  <c r="M563" i="2"/>
  <c r="J23" i="11"/>
  <c r="J43" i="11"/>
  <c r="I23" i="11"/>
  <c r="I43" i="11"/>
  <c r="G244" i="2"/>
  <c r="K445" i="2"/>
  <c r="K466" i="2"/>
  <c r="L240" i="2"/>
  <c r="E402" i="2"/>
  <c r="E423" i="2"/>
  <c r="L364" i="2"/>
  <c r="L385" i="2"/>
  <c r="K200" i="2"/>
  <c r="O405" i="2"/>
  <c r="O426" i="2"/>
  <c r="P196" i="2"/>
  <c r="G359" i="2"/>
  <c r="G380" i="2"/>
  <c r="F424" i="2"/>
  <c r="F403" i="2"/>
  <c r="H493" i="2"/>
  <c r="H514" i="2"/>
  <c r="K510" i="2"/>
  <c r="K489" i="2"/>
  <c r="L288" i="2"/>
  <c r="G292" i="2"/>
  <c r="I356" i="2"/>
  <c r="J143" i="2"/>
  <c r="I377" i="2"/>
  <c r="F146" i="2"/>
  <c r="F8" i="11" s="1"/>
  <c r="N15" i="11"/>
  <c r="J451" i="2"/>
  <c r="J472" i="2"/>
  <c r="L562" i="2"/>
  <c r="L541" i="2"/>
  <c r="L192" i="2"/>
  <c r="G196" i="2"/>
  <c r="K401" i="2"/>
  <c r="K422" i="2"/>
  <c r="P29" i="11"/>
  <c r="P49" i="11"/>
  <c r="Q13" i="11"/>
  <c r="O28" i="11"/>
  <c r="O48" i="11"/>
  <c r="M46" i="11"/>
  <c r="M26" i="11"/>
  <c r="N543" i="2"/>
  <c r="N564" i="2"/>
  <c r="M365" i="2"/>
  <c r="M386" i="2"/>
  <c r="G20" i="11"/>
  <c r="G40" i="11"/>
  <c r="K429" i="2"/>
  <c r="K408" i="2"/>
  <c r="O339" i="2"/>
  <c r="N557" i="2"/>
  <c r="N536" i="2"/>
  <c r="J343" i="2"/>
  <c r="K452" i="2"/>
  <c r="K473" i="2"/>
  <c r="F291" i="2"/>
  <c r="J509" i="2"/>
  <c r="J488" i="2"/>
  <c r="K287" i="2"/>
  <c r="D377" i="2"/>
  <c r="D356" i="2"/>
  <c r="F379" i="2"/>
  <c r="F358" i="2"/>
  <c r="D445" i="2"/>
  <c r="D466" i="2"/>
  <c r="H360" i="2"/>
  <c r="H381" i="2"/>
  <c r="I508" i="2"/>
  <c r="J286" i="2"/>
  <c r="I487" i="2"/>
  <c r="E290" i="2"/>
  <c r="I342" i="2"/>
  <c r="N338" i="2"/>
  <c r="M535" i="2"/>
  <c r="M556" i="2"/>
  <c r="F44" i="11"/>
  <c r="M346" i="2"/>
  <c r="Q539" i="2"/>
  <c r="Q560" i="2"/>
  <c r="G404" i="2"/>
  <c r="G425" i="2"/>
  <c r="H22" i="11"/>
  <c r="H42" i="11"/>
  <c r="D22" i="11"/>
  <c r="D42" i="11"/>
  <c r="N411" i="2"/>
  <c r="N432" i="2"/>
  <c r="F43" i="11"/>
  <c r="F23" i="11"/>
  <c r="M31" i="11"/>
  <c r="M51" i="11"/>
  <c r="G469" i="2"/>
  <c r="G448" i="2"/>
  <c r="P384" i="2"/>
  <c r="P363" i="2"/>
  <c r="M153" i="2"/>
  <c r="M15" i="11" s="1"/>
  <c r="Q150" i="2"/>
  <c r="I399" i="2"/>
  <c r="E194" i="2"/>
  <c r="J190" i="2"/>
  <c r="I420" i="2"/>
  <c r="G45" i="11"/>
  <c r="G25" i="11"/>
  <c r="D422" i="2"/>
  <c r="D401" i="2"/>
  <c r="O558" i="2"/>
  <c r="P340" i="2"/>
  <c r="O537" i="2"/>
  <c r="K344" i="2"/>
  <c r="Q451" i="2"/>
  <c r="Q472" i="2"/>
  <c r="M250" i="2"/>
  <c r="O470" i="2"/>
  <c r="P244" i="2"/>
  <c r="O449" i="2"/>
  <c r="K248" i="2"/>
  <c r="M289" i="2"/>
  <c r="L511" i="2"/>
  <c r="L490" i="2"/>
  <c r="H293" i="2"/>
  <c r="E534" i="2"/>
  <c r="E555" i="2"/>
  <c r="E145" i="2"/>
  <c r="E7" i="11" s="1"/>
  <c r="I142" i="2"/>
  <c r="H376" i="2"/>
  <c r="H355" i="2"/>
  <c r="K45" i="11"/>
  <c r="K25" i="11"/>
  <c r="L26" i="11"/>
  <c r="L46" i="11"/>
  <c r="J27" i="11"/>
  <c r="J47" i="11"/>
  <c r="J199" i="2"/>
  <c r="N404" i="2"/>
  <c r="O195" i="2"/>
  <c r="N425" i="2"/>
  <c r="H148" i="2"/>
  <c r="L145" i="2"/>
  <c r="K358" i="2"/>
  <c r="K379" i="2"/>
  <c r="K7" i="11"/>
  <c r="J362" i="2"/>
  <c r="J383" i="2"/>
  <c r="O514" i="2"/>
  <c r="K296" i="2"/>
  <c r="O493" i="2"/>
  <c r="P292" i="2"/>
  <c r="D193" i="2"/>
  <c r="I189" i="2"/>
  <c r="H419" i="2"/>
  <c r="H398" i="2"/>
  <c r="J295" i="2"/>
  <c r="N492" i="2"/>
  <c r="N513" i="2"/>
  <c r="O291" i="2"/>
  <c r="F491" i="2"/>
  <c r="F512" i="2"/>
  <c r="E338" i="2"/>
  <c r="I531" i="2"/>
  <c r="J334" i="2"/>
  <c r="I552" i="2"/>
  <c r="G492" i="2"/>
  <c r="G513" i="2"/>
  <c r="H9" i="11"/>
  <c r="L554" i="2" l="1"/>
  <c r="G559" i="2"/>
  <c r="G538" i="2"/>
  <c r="L533" i="2"/>
  <c r="M336" i="2"/>
  <c r="G558" i="2"/>
  <c r="H559" i="2"/>
  <c r="H538" i="2"/>
  <c r="N337" i="2"/>
  <c r="M534" i="2"/>
  <c r="H342" i="2"/>
  <c r="M555" i="2"/>
  <c r="L410" i="2"/>
  <c r="L431" i="2"/>
  <c r="L202" i="2"/>
  <c r="Q427" i="2"/>
  <c r="Q406" i="2"/>
  <c r="D23" i="11"/>
  <c r="D43" i="11"/>
  <c r="L31" i="11"/>
  <c r="L51" i="11"/>
  <c r="E24" i="11"/>
  <c r="E44" i="11"/>
  <c r="E195" i="2"/>
  <c r="K190" i="2"/>
  <c r="J399" i="2"/>
  <c r="J420" i="2"/>
  <c r="L250" i="2"/>
  <c r="Q450" i="2"/>
  <c r="Q471" i="2"/>
  <c r="H40" i="11"/>
  <c r="H20" i="11"/>
  <c r="Q363" i="2"/>
  <c r="M154" i="2"/>
  <c r="M16" i="11" s="1"/>
  <c r="Q384" i="2"/>
  <c r="K488" i="2"/>
  <c r="L287" i="2"/>
  <c r="F292" i="2"/>
  <c r="K509" i="2"/>
  <c r="M288" i="2"/>
  <c r="G293" i="2"/>
  <c r="L489" i="2"/>
  <c r="L510" i="2"/>
  <c r="Q149" i="2"/>
  <c r="L153" i="2"/>
  <c r="L15" i="11" s="1"/>
  <c r="P383" i="2"/>
  <c r="P362" i="2"/>
  <c r="F448" i="2"/>
  <c r="F469" i="2"/>
  <c r="L542" i="2"/>
  <c r="L563" i="2"/>
  <c r="I198" i="2"/>
  <c r="M424" i="2"/>
  <c r="N194" i="2"/>
  <c r="M8" i="11"/>
  <c r="M403" i="2"/>
  <c r="O33" i="11"/>
  <c r="O53" i="11"/>
  <c r="H427" i="2"/>
  <c r="H406" i="2"/>
  <c r="H46" i="11"/>
  <c r="H26" i="11"/>
  <c r="J189" i="2"/>
  <c r="D194" i="2"/>
  <c r="I398" i="2"/>
  <c r="I419" i="2"/>
  <c r="K24" i="11"/>
  <c r="K44" i="11"/>
  <c r="N46" i="11"/>
  <c r="N26" i="11"/>
  <c r="M366" i="2"/>
  <c r="M387" i="2"/>
  <c r="J344" i="2"/>
  <c r="O536" i="2"/>
  <c r="O557" i="2"/>
  <c r="P339" i="2"/>
  <c r="J285" i="2"/>
  <c r="I507" i="2"/>
  <c r="D290" i="2"/>
  <c r="I486" i="2"/>
  <c r="E447" i="2"/>
  <c r="E468" i="2"/>
  <c r="J29" i="11"/>
  <c r="J49" i="11"/>
  <c r="D534" i="2"/>
  <c r="D555" i="2"/>
  <c r="L239" i="2"/>
  <c r="F244" i="2"/>
  <c r="K444" i="2"/>
  <c r="K465" i="2"/>
  <c r="L335" i="2"/>
  <c r="K532" i="2"/>
  <c r="K553" i="2"/>
  <c r="F340" i="2"/>
  <c r="N146" i="2"/>
  <c r="M359" i="2"/>
  <c r="M380" i="2"/>
  <c r="I150" i="2"/>
  <c r="J531" i="2"/>
  <c r="J552" i="2"/>
  <c r="K334" i="2"/>
  <c r="E339" i="2"/>
  <c r="H10" i="11"/>
  <c r="H361" i="2"/>
  <c r="H382" i="2"/>
  <c r="J296" i="2"/>
  <c r="O492" i="2"/>
  <c r="P291" i="2"/>
  <c r="O513" i="2"/>
  <c r="D423" i="2"/>
  <c r="D402" i="2"/>
  <c r="J429" i="2"/>
  <c r="J408" i="2"/>
  <c r="N289" i="2"/>
  <c r="M490" i="2"/>
  <c r="H294" i="2"/>
  <c r="M511" i="2"/>
  <c r="K541" i="2"/>
  <c r="K562" i="2"/>
  <c r="N33" i="11"/>
  <c r="N53" i="11"/>
  <c r="G26" i="11"/>
  <c r="G46" i="11"/>
  <c r="O338" i="2"/>
  <c r="N535" i="2"/>
  <c r="I343" i="2"/>
  <c r="N556" i="2"/>
  <c r="N52" i="11"/>
  <c r="N32" i="11"/>
  <c r="P426" i="2"/>
  <c r="P405" i="2"/>
  <c r="Q196" i="2"/>
  <c r="K201" i="2"/>
  <c r="N388" i="2"/>
  <c r="N367" i="2"/>
  <c r="D446" i="2"/>
  <c r="D467" i="2"/>
  <c r="G148" i="2"/>
  <c r="G10" i="11" s="1"/>
  <c r="K357" i="2"/>
  <c r="L144" i="2"/>
  <c r="L6" i="11" s="1"/>
  <c r="K378" i="2"/>
  <c r="I47" i="11"/>
  <c r="I27" i="11"/>
  <c r="I495" i="2"/>
  <c r="I516" i="2"/>
  <c r="F536" i="2"/>
  <c r="F557" i="2"/>
  <c r="J473" i="2"/>
  <c r="J452" i="2"/>
  <c r="N241" i="2"/>
  <c r="M467" i="2"/>
  <c r="H246" i="2"/>
  <c r="M446" i="2"/>
  <c r="J363" i="2"/>
  <c r="J384" i="2"/>
  <c r="J496" i="2"/>
  <c r="J517" i="2"/>
  <c r="L422" i="2"/>
  <c r="L401" i="2"/>
  <c r="M192" i="2"/>
  <c r="G197" i="2"/>
  <c r="P493" i="2"/>
  <c r="K297" i="2"/>
  <c r="P514" i="2"/>
  <c r="Q292" i="2"/>
  <c r="E146" i="2"/>
  <c r="E8" i="11" s="1"/>
  <c r="I376" i="2"/>
  <c r="J142" i="2"/>
  <c r="I355" i="2"/>
  <c r="K453" i="2"/>
  <c r="K474" i="2"/>
  <c r="I4" i="11"/>
  <c r="I539" i="2"/>
  <c r="I560" i="2"/>
  <c r="F513" i="2"/>
  <c r="F492" i="2"/>
  <c r="K43" i="11"/>
  <c r="K23" i="11"/>
  <c r="F359" i="2"/>
  <c r="F380" i="2"/>
  <c r="L445" i="2"/>
  <c r="M240" i="2"/>
  <c r="G245" i="2"/>
  <c r="L466" i="2"/>
  <c r="I141" i="2"/>
  <c r="H354" i="2"/>
  <c r="D145" i="2"/>
  <c r="D7" i="11" s="1"/>
  <c r="H375" i="2"/>
  <c r="G381" i="2"/>
  <c r="G360" i="2"/>
  <c r="I295" i="2"/>
  <c r="O290" i="2"/>
  <c r="N512" i="2"/>
  <c r="N491" i="2"/>
  <c r="L191" i="2"/>
  <c r="F196" i="2"/>
  <c r="K400" i="2"/>
  <c r="K421" i="2"/>
  <c r="P243" i="2"/>
  <c r="J248" i="2"/>
  <c r="O448" i="2"/>
  <c r="O469" i="2"/>
  <c r="H450" i="2"/>
  <c r="H471" i="2"/>
  <c r="N360" i="2"/>
  <c r="J151" i="2"/>
  <c r="J13" i="11" s="1"/>
  <c r="O147" i="2"/>
  <c r="O9" i="11" s="1"/>
  <c r="N381" i="2"/>
  <c r="L7" i="11"/>
  <c r="H149" i="2"/>
  <c r="M145" i="2"/>
  <c r="L379" i="2"/>
  <c r="L358" i="2"/>
  <c r="E379" i="2"/>
  <c r="E358" i="2"/>
  <c r="K345" i="2"/>
  <c r="P537" i="2"/>
  <c r="Q340" i="2"/>
  <c r="P558" i="2"/>
  <c r="E491" i="2"/>
  <c r="E512" i="2"/>
  <c r="G426" i="2"/>
  <c r="G405" i="2"/>
  <c r="M411" i="2"/>
  <c r="M432" i="2"/>
  <c r="I442" i="2"/>
  <c r="J237" i="2"/>
  <c r="D242" i="2"/>
  <c r="I463" i="2"/>
  <c r="I451" i="2"/>
  <c r="I472" i="2"/>
  <c r="D338" i="2"/>
  <c r="I530" i="2"/>
  <c r="J333" i="2"/>
  <c r="I551" i="2"/>
  <c r="L25" i="11"/>
  <c r="L45" i="11"/>
  <c r="O10" i="11"/>
  <c r="K152" i="2"/>
  <c r="K14" i="11" s="1"/>
  <c r="K51" i="11" s="1"/>
  <c r="O361" i="2"/>
  <c r="P148" i="2"/>
  <c r="O382" i="2"/>
  <c r="Q494" i="2"/>
  <c r="L298" i="2"/>
  <c r="Q515" i="2"/>
  <c r="K497" i="2"/>
  <c r="K518" i="2"/>
  <c r="F45" i="11"/>
  <c r="F25" i="11"/>
  <c r="I247" i="2"/>
  <c r="O242" i="2"/>
  <c r="N447" i="2"/>
  <c r="N468" i="2"/>
  <c r="L346" i="2"/>
  <c r="Q538" i="2"/>
  <c r="Q559" i="2"/>
  <c r="M32" i="11"/>
  <c r="M52" i="11"/>
  <c r="E403" i="2"/>
  <c r="E424" i="2"/>
  <c r="M564" i="2"/>
  <c r="M543" i="2"/>
  <c r="E291" i="2"/>
  <c r="K286" i="2"/>
  <c r="J487" i="2"/>
  <c r="J508" i="2"/>
  <c r="J561" i="2"/>
  <c r="J540" i="2"/>
  <c r="Q30" i="11"/>
  <c r="Q50" i="11"/>
  <c r="G470" i="2"/>
  <c r="G449" i="2"/>
  <c r="D490" i="2"/>
  <c r="D511" i="2"/>
  <c r="E243" i="2"/>
  <c r="K238" i="2"/>
  <c r="J443" i="2"/>
  <c r="J464" i="2"/>
  <c r="P11" i="11"/>
  <c r="F404" i="2"/>
  <c r="F425" i="2"/>
  <c r="I11" i="11"/>
  <c r="I406" i="2"/>
  <c r="I427" i="2"/>
  <c r="K13" i="11"/>
  <c r="K364" i="2"/>
  <c r="K385" i="2"/>
  <c r="L519" i="2"/>
  <c r="L498" i="2"/>
  <c r="K249" i="2"/>
  <c r="P449" i="2"/>
  <c r="Q244" i="2"/>
  <c r="P470" i="2"/>
  <c r="F147" i="2"/>
  <c r="F9" i="11" s="1"/>
  <c r="J377" i="2"/>
  <c r="J356" i="2"/>
  <c r="K143" i="2"/>
  <c r="K409" i="2"/>
  <c r="K430" i="2"/>
  <c r="D378" i="2"/>
  <c r="D357" i="2"/>
  <c r="J5" i="11"/>
  <c r="M499" i="2"/>
  <c r="M520" i="2"/>
  <c r="E556" i="2"/>
  <c r="E535" i="2"/>
  <c r="O425" i="2"/>
  <c r="O404" i="2"/>
  <c r="J200" i="2"/>
  <c r="P195" i="2"/>
  <c r="H494" i="2"/>
  <c r="H515" i="2"/>
  <c r="M476" i="2"/>
  <c r="M455" i="2"/>
  <c r="G493" i="2"/>
  <c r="G514" i="2"/>
  <c r="Q12" i="11"/>
  <c r="L365" i="2"/>
  <c r="L386" i="2"/>
  <c r="L475" i="2"/>
  <c r="L454" i="2"/>
  <c r="I383" i="2"/>
  <c r="I362" i="2"/>
  <c r="H198" i="2"/>
  <c r="N193" i="2"/>
  <c r="M423" i="2"/>
  <c r="M402" i="2"/>
  <c r="N47" i="11"/>
  <c r="N27" i="11"/>
  <c r="M554" i="2" l="1"/>
  <c r="N336" i="2"/>
  <c r="M533" i="2"/>
  <c r="G342" i="2"/>
  <c r="H539" i="2"/>
  <c r="H560" i="2"/>
  <c r="H343" i="2"/>
  <c r="O337" i="2"/>
  <c r="N534" i="2"/>
  <c r="N555" i="2"/>
  <c r="L411" i="2"/>
  <c r="L432" i="2"/>
  <c r="L32" i="11"/>
  <c r="L52" i="11"/>
  <c r="J50" i="11"/>
  <c r="J30" i="11"/>
  <c r="D24" i="11"/>
  <c r="D44" i="11"/>
  <c r="L23" i="11"/>
  <c r="L43" i="11"/>
  <c r="K31" i="11"/>
  <c r="K30" i="11"/>
  <c r="K50" i="11"/>
  <c r="K386" i="2"/>
  <c r="K365" i="2"/>
  <c r="L44" i="11"/>
  <c r="L24" i="11"/>
  <c r="K531" i="2"/>
  <c r="L334" i="2"/>
  <c r="K552" i="2"/>
  <c r="E340" i="2"/>
  <c r="J486" i="2"/>
  <c r="J507" i="2"/>
  <c r="K285" i="2"/>
  <c r="D291" i="2"/>
  <c r="N8" i="11"/>
  <c r="N424" i="2"/>
  <c r="N403" i="2"/>
  <c r="I199" i="2"/>
  <c r="O194" i="2"/>
  <c r="F493" i="2"/>
  <c r="F514" i="2"/>
  <c r="E404" i="2"/>
  <c r="E425" i="2"/>
  <c r="J453" i="2"/>
  <c r="J474" i="2"/>
  <c r="O46" i="11"/>
  <c r="O26" i="11"/>
  <c r="L238" i="2"/>
  <c r="E244" i="2"/>
  <c r="K443" i="2"/>
  <c r="K464" i="2"/>
  <c r="J152" i="2"/>
  <c r="P147" i="2"/>
  <c r="P9" i="11" s="1"/>
  <c r="O360" i="2"/>
  <c r="O381" i="2"/>
  <c r="Q243" i="2"/>
  <c r="P448" i="2"/>
  <c r="P469" i="2"/>
  <c r="J249" i="2"/>
  <c r="O512" i="2"/>
  <c r="I296" i="2"/>
  <c r="P290" i="2"/>
  <c r="O491" i="2"/>
  <c r="J355" i="2"/>
  <c r="K142" i="2"/>
  <c r="K4" i="11" s="1"/>
  <c r="E147" i="2"/>
  <c r="E9" i="11" s="1"/>
  <c r="J376" i="2"/>
  <c r="G406" i="2"/>
  <c r="G427" i="2"/>
  <c r="F341" i="2"/>
  <c r="L532" i="2"/>
  <c r="L553" i="2"/>
  <c r="M335" i="2"/>
  <c r="I407" i="2"/>
  <c r="I12" i="11"/>
  <c r="I428" i="2"/>
  <c r="Q362" i="2"/>
  <c r="L154" i="2"/>
  <c r="L16" i="11" s="1"/>
  <c r="Q383" i="2"/>
  <c r="L455" i="2"/>
  <c r="L476" i="2"/>
  <c r="K250" i="2"/>
  <c r="Q449" i="2"/>
  <c r="Q470" i="2"/>
  <c r="L564" i="2"/>
  <c r="L543" i="2"/>
  <c r="I354" i="2"/>
  <c r="D146" i="2"/>
  <c r="D8" i="11" s="1"/>
  <c r="J141" i="2"/>
  <c r="J3" i="11" s="1"/>
  <c r="I375" i="2"/>
  <c r="N511" i="2"/>
  <c r="O289" i="2"/>
  <c r="H295" i="2"/>
  <c r="N490" i="2"/>
  <c r="K454" i="2"/>
  <c r="K475" i="2"/>
  <c r="I28" i="11"/>
  <c r="I48" i="11"/>
  <c r="E469" i="2"/>
  <c r="E448" i="2"/>
  <c r="L499" i="2"/>
  <c r="L520" i="2"/>
  <c r="D447" i="2"/>
  <c r="D468" i="2"/>
  <c r="J364" i="2"/>
  <c r="J385" i="2"/>
  <c r="I496" i="2"/>
  <c r="I517" i="2"/>
  <c r="G471" i="2"/>
  <c r="G450" i="2"/>
  <c r="N192" i="2"/>
  <c r="G198" i="2"/>
  <c r="M422" i="2"/>
  <c r="M401" i="2"/>
  <c r="H451" i="2"/>
  <c r="H472" i="2"/>
  <c r="J497" i="2"/>
  <c r="J518" i="2"/>
  <c r="I363" i="2"/>
  <c r="I384" i="2"/>
  <c r="Q11" i="11"/>
  <c r="L488" i="2"/>
  <c r="F293" i="2"/>
  <c r="M287" i="2"/>
  <c r="L509" i="2"/>
  <c r="K356" i="2"/>
  <c r="L143" i="2"/>
  <c r="L5" i="11" s="1"/>
  <c r="K377" i="2"/>
  <c r="F148" i="2"/>
  <c r="F10" i="11" s="1"/>
  <c r="E25" i="11"/>
  <c r="E45" i="11"/>
  <c r="O447" i="2"/>
  <c r="P242" i="2"/>
  <c r="I248" i="2"/>
  <c r="O468" i="2"/>
  <c r="K237" i="2"/>
  <c r="J463" i="2"/>
  <c r="D243" i="2"/>
  <c r="J442" i="2"/>
  <c r="N240" i="2"/>
  <c r="G246" i="2"/>
  <c r="M445" i="2"/>
  <c r="M466" i="2"/>
  <c r="E380" i="2"/>
  <c r="E359" i="2"/>
  <c r="J541" i="2"/>
  <c r="J562" i="2"/>
  <c r="M367" i="2"/>
  <c r="M388" i="2"/>
  <c r="J4" i="11"/>
  <c r="J345" i="2"/>
  <c r="Q339" i="2"/>
  <c r="P557" i="2"/>
  <c r="P536" i="2"/>
  <c r="F26" i="11"/>
  <c r="F46" i="11"/>
  <c r="I452" i="2"/>
  <c r="I473" i="2"/>
  <c r="D339" i="2"/>
  <c r="K333" i="2"/>
  <c r="J530" i="2"/>
  <c r="J551" i="2"/>
  <c r="F426" i="2"/>
  <c r="F405" i="2"/>
  <c r="K298" i="2"/>
  <c r="Q514" i="2"/>
  <c r="Q493" i="2"/>
  <c r="O241" i="2"/>
  <c r="N446" i="2"/>
  <c r="N467" i="2"/>
  <c r="H247" i="2"/>
  <c r="I540" i="2"/>
  <c r="I561" i="2"/>
  <c r="F449" i="2"/>
  <c r="F470" i="2"/>
  <c r="I3" i="11"/>
  <c r="G494" i="2"/>
  <c r="G515" i="2"/>
  <c r="O47" i="11"/>
  <c r="O27" i="11"/>
  <c r="K542" i="2"/>
  <c r="K563" i="2"/>
  <c r="G361" i="2"/>
  <c r="G382" i="2"/>
  <c r="N423" i="2"/>
  <c r="N402" i="2"/>
  <c r="O193" i="2"/>
  <c r="H199" i="2"/>
  <c r="P404" i="2"/>
  <c r="P425" i="2"/>
  <c r="J201" i="2"/>
  <c r="Q195" i="2"/>
  <c r="K508" i="2"/>
  <c r="E292" i="2"/>
  <c r="K487" i="2"/>
  <c r="L286" i="2"/>
  <c r="P10" i="11"/>
  <c r="Q148" i="2"/>
  <c r="P382" i="2"/>
  <c r="P361" i="2"/>
  <c r="K153" i="2"/>
  <c r="M33" i="11"/>
  <c r="M53" i="11"/>
  <c r="M7" i="11"/>
  <c r="N145" i="2"/>
  <c r="N7" i="11" s="1"/>
  <c r="H150" i="2"/>
  <c r="M379" i="2"/>
  <c r="M358" i="2"/>
  <c r="K5" i="11"/>
  <c r="I21" i="11"/>
  <c r="I41" i="11"/>
  <c r="K431" i="2"/>
  <c r="K410" i="2"/>
  <c r="H27" i="11"/>
  <c r="H47" i="11"/>
  <c r="O146" i="2"/>
  <c r="N380" i="2"/>
  <c r="N359" i="2"/>
  <c r="I151" i="2"/>
  <c r="L444" i="2"/>
  <c r="L465" i="2"/>
  <c r="F245" i="2"/>
  <c r="M239" i="2"/>
  <c r="D491" i="2"/>
  <c r="D512" i="2"/>
  <c r="D403" i="2"/>
  <c r="D424" i="2"/>
  <c r="G294" i="2"/>
  <c r="M510" i="2"/>
  <c r="N288" i="2"/>
  <c r="M489" i="2"/>
  <c r="G27" i="11"/>
  <c r="G47" i="11"/>
  <c r="P492" i="2"/>
  <c r="P513" i="2"/>
  <c r="Q291" i="2"/>
  <c r="J297" i="2"/>
  <c r="L366" i="2"/>
  <c r="L387" i="2"/>
  <c r="H428" i="2"/>
  <c r="H407" i="2"/>
  <c r="Q49" i="11"/>
  <c r="Q29" i="11"/>
  <c r="J14" i="11"/>
  <c r="J409" i="2"/>
  <c r="J430" i="2"/>
  <c r="J22" i="11"/>
  <c r="J42" i="11"/>
  <c r="F360" i="2"/>
  <c r="F381" i="2"/>
  <c r="P28" i="11"/>
  <c r="P48" i="11"/>
  <c r="E492" i="2"/>
  <c r="E513" i="2"/>
  <c r="D556" i="2"/>
  <c r="D535" i="2"/>
  <c r="K346" i="2"/>
  <c r="Q558" i="2"/>
  <c r="Q537" i="2"/>
  <c r="H11" i="11"/>
  <c r="H362" i="2"/>
  <c r="H383" i="2"/>
  <c r="F197" i="2"/>
  <c r="M191" i="2"/>
  <c r="L400" i="2"/>
  <c r="L421" i="2"/>
  <c r="D358" i="2"/>
  <c r="D379" i="2"/>
  <c r="K498" i="2"/>
  <c r="K519" i="2"/>
  <c r="L357" i="2"/>
  <c r="L378" i="2"/>
  <c r="M144" i="2"/>
  <c r="M6" i="11" s="1"/>
  <c r="G149" i="2"/>
  <c r="Q426" i="2"/>
  <c r="K202" i="2"/>
  <c r="Q405" i="2"/>
  <c r="I344" i="2"/>
  <c r="O535" i="2"/>
  <c r="O556" i="2"/>
  <c r="P338" i="2"/>
  <c r="H495" i="2"/>
  <c r="H516" i="2"/>
  <c r="E536" i="2"/>
  <c r="E557" i="2"/>
  <c r="F537" i="2"/>
  <c r="F558" i="2"/>
  <c r="D195" i="2"/>
  <c r="K189" i="2"/>
  <c r="J419" i="2"/>
  <c r="J398" i="2"/>
  <c r="M25" i="11"/>
  <c r="M45" i="11"/>
  <c r="K399" i="2"/>
  <c r="K420" i="2"/>
  <c r="E196" i="2"/>
  <c r="L190" i="2"/>
  <c r="G560" i="2" l="1"/>
  <c r="G539" i="2"/>
  <c r="N554" i="2"/>
  <c r="N533" i="2"/>
  <c r="G343" i="2"/>
  <c r="O336" i="2"/>
  <c r="H344" i="2"/>
  <c r="O534" i="2"/>
  <c r="P337" i="2"/>
  <c r="O555" i="2"/>
  <c r="H561" i="2"/>
  <c r="H540" i="2"/>
  <c r="E46" i="11"/>
  <c r="E26" i="11"/>
  <c r="N44" i="11"/>
  <c r="N24" i="11"/>
  <c r="D25" i="11"/>
  <c r="D45" i="11"/>
  <c r="K520" i="2"/>
  <c r="K499" i="2"/>
  <c r="N335" i="2"/>
  <c r="M532" i="2"/>
  <c r="F342" i="2"/>
  <c r="M553" i="2"/>
  <c r="E426" i="2"/>
  <c r="E405" i="2"/>
  <c r="K398" i="2"/>
  <c r="D196" i="2"/>
  <c r="L189" i="2"/>
  <c r="K419" i="2"/>
  <c r="P535" i="2"/>
  <c r="Q338" i="2"/>
  <c r="I345" i="2"/>
  <c r="P556" i="2"/>
  <c r="M378" i="2"/>
  <c r="M357" i="2"/>
  <c r="N144" i="2"/>
  <c r="G150" i="2"/>
  <c r="G12" i="11" s="1"/>
  <c r="I364" i="2"/>
  <c r="I385" i="2"/>
  <c r="H429" i="2"/>
  <c r="H408" i="2"/>
  <c r="G472" i="2"/>
  <c r="G451" i="2"/>
  <c r="I249" i="2"/>
  <c r="P468" i="2"/>
  <c r="P447" i="2"/>
  <c r="Q242" i="2"/>
  <c r="O192" i="2"/>
  <c r="G199" i="2"/>
  <c r="N422" i="2"/>
  <c r="N401" i="2"/>
  <c r="K355" i="2"/>
  <c r="E148" i="2"/>
  <c r="L142" i="2"/>
  <c r="L4" i="11" s="1"/>
  <c r="K376" i="2"/>
  <c r="E449" i="2"/>
  <c r="E470" i="2"/>
  <c r="D492" i="2"/>
  <c r="D513" i="2"/>
  <c r="G383" i="2"/>
  <c r="G362" i="2"/>
  <c r="E360" i="2"/>
  <c r="E381" i="2"/>
  <c r="D425" i="2"/>
  <c r="D404" i="2"/>
  <c r="L22" i="11"/>
  <c r="L42" i="11"/>
  <c r="K564" i="2"/>
  <c r="K543" i="2"/>
  <c r="E514" i="2"/>
  <c r="E493" i="2"/>
  <c r="P193" i="2"/>
  <c r="O402" i="2"/>
  <c r="H200" i="2"/>
  <c r="O423" i="2"/>
  <c r="H473" i="2"/>
  <c r="H452" i="2"/>
  <c r="O240" i="2"/>
  <c r="N445" i="2"/>
  <c r="G247" i="2"/>
  <c r="N466" i="2"/>
  <c r="J250" i="2"/>
  <c r="Q448" i="2"/>
  <c r="Q469" i="2"/>
  <c r="E245" i="2"/>
  <c r="M238" i="2"/>
  <c r="L443" i="2"/>
  <c r="L464" i="2"/>
  <c r="L285" i="2"/>
  <c r="K486" i="2"/>
  <c r="K507" i="2"/>
  <c r="D292" i="2"/>
  <c r="N45" i="11"/>
  <c r="N25" i="11"/>
  <c r="N191" i="2"/>
  <c r="F198" i="2"/>
  <c r="M400" i="2"/>
  <c r="M421" i="2"/>
  <c r="K42" i="11"/>
  <c r="K22" i="11"/>
  <c r="K15" i="11"/>
  <c r="K387" i="2"/>
  <c r="K366" i="2"/>
  <c r="F47" i="11"/>
  <c r="F27" i="11"/>
  <c r="M488" i="2"/>
  <c r="N287" i="2"/>
  <c r="M509" i="2"/>
  <c r="F294" i="2"/>
  <c r="H496" i="2"/>
  <c r="H517" i="2"/>
  <c r="L367" i="2"/>
  <c r="L388" i="2"/>
  <c r="F538" i="2"/>
  <c r="F559" i="2"/>
  <c r="J20" i="11"/>
  <c r="J40" i="11"/>
  <c r="D359" i="2"/>
  <c r="D380" i="2"/>
  <c r="I562" i="2"/>
  <c r="I541" i="2"/>
  <c r="F406" i="2"/>
  <c r="F427" i="2"/>
  <c r="P146" i="2"/>
  <c r="O359" i="2"/>
  <c r="I152" i="2"/>
  <c r="O380" i="2"/>
  <c r="P46" i="11"/>
  <c r="P26" i="11"/>
  <c r="D469" i="2"/>
  <c r="D448" i="2"/>
  <c r="F515" i="2"/>
  <c r="F494" i="2"/>
  <c r="P289" i="2"/>
  <c r="O490" i="2"/>
  <c r="O511" i="2"/>
  <c r="H296" i="2"/>
  <c r="P491" i="2"/>
  <c r="Q290" i="2"/>
  <c r="I297" i="2"/>
  <c r="P512" i="2"/>
  <c r="O424" i="2"/>
  <c r="O403" i="2"/>
  <c r="I200" i="2"/>
  <c r="P194" i="2"/>
  <c r="O8" i="11"/>
  <c r="E293" i="2"/>
  <c r="L487" i="2"/>
  <c r="M286" i="2"/>
  <c r="L508" i="2"/>
  <c r="I474" i="2"/>
  <c r="I453" i="2"/>
  <c r="L33" i="11"/>
  <c r="L53" i="11"/>
  <c r="G295" i="2"/>
  <c r="O288" i="2"/>
  <c r="N489" i="2"/>
  <c r="N510" i="2"/>
  <c r="M465" i="2"/>
  <c r="F246" i="2"/>
  <c r="M444" i="2"/>
  <c r="N239" i="2"/>
  <c r="Q425" i="2"/>
  <c r="Q404" i="2"/>
  <c r="J202" i="2"/>
  <c r="I20" i="11"/>
  <c r="I40" i="11"/>
  <c r="O446" i="2"/>
  <c r="P241" i="2"/>
  <c r="H248" i="2"/>
  <c r="O467" i="2"/>
  <c r="F361" i="2"/>
  <c r="F382" i="2"/>
  <c r="I497" i="2"/>
  <c r="I518" i="2"/>
  <c r="P360" i="2"/>
  <c r="J153" i="2"/>
  <c r="J15" i="11" s="1"/>
  <c r="P381" i="2"/>
  <c r="Q147" i="2"/>
  <c r="Q9" i="11" s="1"/>
  <c r="I408" i="2"/>
  <c r="I429" i="2"/>
  <c r="I13" i="11"/>
  <c r="E537" i="2"/>
  <c r="E558" i="2"/>
  <c r="M24" i="11"/>
  <c r="M44" i="11"/>
  <c r="M43" i="11"/>
  <c r="M23" i="11"/>
  <c r="K411" i="2"/>
  <c r="K432" i="2"/>
  <c r="J498" i="2"/>
  <c r="J519" i="2"/>
  <c r="F471" i="2"/>
  <c r="F450" i="2"/>
  <c r="H12" i="11"/>
  <c r="H384" i="2"/>
  <c r="H363" i="2"/>
  <c r="Q10" i="11"/>
  <c r="K154" i="2"/>
  <c r="Q361" i="2"/>
  <c r="Q382" i="2"/>
  <c r="J410" i="2"/>
  <c r="J431" i="2"/>
  <c r="L333" i="2"/>
  <c r="D340" i="2"/>
  <c r="K530" i="2"/>
  <c r="K551" i="2"/>
  <c r="Q536" i="2"/>
  <c r="J346" i="2"/>
  <c r="Q557" i="2"/>
  <c r="D244" i="2"/>
  <c r="L237" i="2"/>
  <c r="K463" i="2"/>
  <c r="K442" i="2"/>
  <c r="Q28" i="11"/>
  <c r="Q48" i="11"/>
  <c r="K476" i="2"/>
  <c r="K455" i="2"/>
  <c r="I29" i="11"/>
  <c r="I49" i="11"/>
  <c r="G11" i="11"/>
  <c r="J365" i="2"/>
  <c r="J386" i="2"/>
  <c r="E197" i="2"/>
  <c r="M190" i="2"/>
  <c r="L420" i="2"/>
  <c r="L399" i="2"/>
  <c r="J21" i="11"/>
  <c r="J41" i="11"/>
  <c r="K21" i="11"/>
  <c r="K41" i="11"/>
  <c r="H48" i="11"/>
  <c r="H28" i="11"/>
  <c r="J31" i="11"/>
  <c r="J51" i="11"/>
  <c r="Q492" i="2"/>
  <c r="J298" i="2"/>
  <c r="Q513" i="2"/>
  <c r="G495" i="2"/>
  <c r="G516" i="2"/>
  <c r="N379" i="2"/>
  <c r="N358" i="2"/>
  <c r="H151" i="2"/>
  <c r="O145" i="2"/>
  <c r="P47" i="11"/>
  <c r="P27" i="11"/>
  <c r="D557" i="2"/>
  <c r="D536" i="2"/>
  <c r="J563" i="2"/>
  <c r="J542" i="2"/>
  <c r="L356" i="2"/>
  <c r="F149" i="2"/>
  <c r="F11" i="11" s="1"/>
  <c r="L377" i="2"/>
  <c r="M143" i="2"/>
  <c r="G428" i="2"/>
  <c r="G407" i="2"/>
  <c r="K141" i="2"/>
  <c r="D147" i="2"/>
  <c r="D9" i="11" s="1"/>
  <c r="J354" i="2"/>
  <c r="J375" i="2"/>
  <c r="J475" i="2"/>
  <c r="J454" i="2"/>
  <c r="M334" i="2"/>
  <c r="E341" i="2"/>
  <c r="L531" i="2"/>
  <c r="L552" i="2"/>
  <c r="P336" i="2" l="1"/>
  <c r="G344" i="2"/>
  <c r="O554" i="2"/>
  <c r="O533" i="2"/>
  <c r="G561" i="2"/>
  <c r="G540" i="2"/>
  <c r="Q337" i="2"/>
  <c r="H345" i="2"/>
  <c r="P534" i="2"/>
  <c r="P555" i="2"/>
  <c r="H541" i="2"/>
  <c r="H562" i="2"/>
  <c r="Q46" i="11"/>
  <c r="Q26" i="11"/>
  <c r="F28" i="11"/>
  <c r="F48" i="11"/>
  <c r="D46" i="11"/>
  <c r="D26" i="11"/>
  <c r="I153" i="2"/>
  <c r="P359" i="2"/>
  <c r="Q146" i="2"/>
  <c r="P380" i="2"/>
  <c r="F516" i="2"/>
  <c r="F495" i="2"/>
  <c r="M552" i="2"/>
  <c r="M531" i="2"/>
  <c r="N334" i="2"/>
  <c r="E342" i="2"/>
  <c r="L141" i="2"/>
  <c r="L3" i="11" s="1"/>
  <c r="K375" i="2"/>
  <c r="D148" i="2"/>
  <c r="D10" i="11" s="1"/>
  <c r="K354" i="2"/>
  <c r="D449" i="2"/>
  <c r="D470" i="2"/>
  <c r="N286" i="2"/>
  <c r="M487" i="2"/>
  <c r="M508" i="2"/>
  <c r="E294" i="2"/>
  <c r="O191" i="2"/>
  <c r="N400" i="2"/>
  <c r="F199" i="2"/>
  <c r="N421" i="2"/>
  <c r="G429" i="2"/>
  <c r="G408" i="2"/>
  <c r="O466" i="2"/>
  <c r="P240" i="2"/>
  <c r="G248" i="2"/>
  <c r="O445" i="2"/>
  <c r="N190" i="2"/>
  <c r="M399" i="2"/>
  <c r="E198" i="2"/>
  <c r="M420" i="2"/>
  <c r="J32" i="11"/>
  <c r="J52" i="11"/>
  <c r="H453" i="2"/>
  <c r="H474" i="2"/>
  <c r="G496" i="2"/>
  <c r="G517" i="2"/>
  <c r="E515" i="2"/>
  <c r="E494" i="2"/>
  <c r="Q491" i="2"/>
  <c r="I298" i="2"/>
  <c r="Q512" i="2"/>
  <c r="E450" i="2"/>
  <c r="E471" i="2"/>
  <c r="E149" i="2"/>
  <c r="E11" i="11" s="1"/>
  <c r="L355" i="2"/>
  <c r="M142" i="2"/>
  <c r="L376" i="2"/>
  <c r="Q468" i="2"/>
  <c r="Q447" i="2"/>
  <c r="I250" i="2"/>
  <c r="I346" i="2"/>
  <c r="Q535" i="2"/>
  <c r="Q556" i="2"/>
  <c r="E559" i="2"/>
  <c r="E538" i="2"/>
  <c r="H49" i="11"/>
  <c r="H29" i="11"/>
  <c r="G29" i="11"/>
  <c r="G49" i="11"/>
  <c r="E427" i="2"/>
  <c r="E406" i="2"/>
  <c r="J366" i="2"/>
  <c r="J387" i="2"/>
  <c r="P467" i="2"/>
  <c r="P446" i="2"/>
  <c r="H249" i="2"/>
  <c r="Q241" i="2"/>
  <c r="O239" i="2"/>
  <c r="N444" i="2"/>
  <c r="F247" i="2"/>
  <c r="N465" i="2"/>
  <c r="O45" i="11"/>
  <c r="O25" i="11"/>
  <c r="O287" i="2"/>
  <c r="N509" i="2"/>
  <c r="N488" i="2"/>
  <c r="F295" i="2"/>
  <c r="D493" i="2"/>
  <c r="D514" i="2"/>
  <c r="E382" i="2"/>
  <c r="E361" i="2"/>
  <c r="E10" i="11"/>
  <c r="K52" i="11"/>
  <c r="K32" i="11"/>
  <c r="J564" i="2"/>
  <c r="J543" i="2"/>
  <c r="F150" i="2"/>
  <c r="F12" i="11" s="1"/>
  <c r="M377" i="2"/>
  <c r="N143" i="2"/>
  <c r="N5" i="11" s="1"/>
  <c r="M356" i="2"/>
  <c r="P424" i="2"/>
  <c r="I201" i="2"/>
  <c r="Q194" i="2"/>
  <c r="P8" i="11"/>
  <c r="P403" i="2"/>
  <c r="H497" i="2"/>
  <c r="H518" i="2"/>
  <c r="G363" i="2"/>
  <c r="G384" i="2"/>
  <c r="L21" i="11"/>
  <c r="L41" i="11"/>
  <c r="O489" i="2"/>
  <c r="G296" i="2"/>
  <c r="P288" i="2"/>
  <c r="O510" i="2"/>
  <c r="M464" i="2"/>
  <c r="E246" i="2"/>
  <c r="M443" i="2"/>
  <c r="N238" i="2"/>
  <c r="I542" i="2"/>
  <c r="I563" i="2"/>
  <c r="J499" i="2"/>
  <c r="J520" i="2"/>
  <c r="K16" i="11"/>
  <c r="K388" i="2"/>
  <c r="K367" i="2"/>
  <c r="F451" i="2"/>
  <c r="F472" i="2"/>
  <c r="I14" i="11"/>
  <c r="I430" i="2"/>
  <c r="I409" i="2"/>
  <c r="J455" i="2"/>
  <c r="J476" i="2"/>
  <c r="H409" i="2"/>
  <c r="H430" i="2"/>
  <c r="I475" i="2"/>
  <c r="I454" i="2"/>
  <c r="O144" i="2"/>
  <c r="O6" i="11" s="1"/>
  <c r="G151" i="2"/>
  <c r="N378" i="2"/>
  <c r="N357" i="2"/>
  <c r="K3" i="11"/>
  <c r="F539" i="2"/>
  <c r="F560" i="2"/>
  <c r="F362" i="2"/>
  <c r="F383" i="2"/>
  <c r="O7" i="11"/>
  <c r="P145" i="2"/>
  <c r="O358" i="2"/>
  <c r="H152" i="2"/>
  <c r="O379" i="2"/>
  <c r="G48" i="11"/>
  <c r="G28" i="11"/>
  <c r="D537" i="2"/>
  <c r="D558" i="2"/>
  <c r="Q47" i="11"/>
  <c r="Q27" i="11"/>
  <c r="I50" i="11"/>
  <c r="I30" i="11"/>
  <c r="F428" i="2"/>
  <c r="F407" i="2"/>
  <c r="L507" i="2"/>
  <c r="L486" i="2"/>
  <c r="D293" i="2"/>
  <c r="M285" i="2"/>
  <c r="L419" i="2"/>
  <c r="L398" i="2"/>
  <c r="D197" i="2"/>
  <c r="M189" i="2"/>
  <c r="Q381" i="2"/>
  <c r="J154" i="2"/>
  <c r="J16" i="11" s="1"/>
  <c r="Q360" i="2"/>
  <c r="I498" i="2"/>
  <c r="I519" i="2"/>
  <c r="P192" i="2"/>
  <c r="G200" i="2"/>
  <c r="O401" i="2"/>
  <c r="O422" i="2"/>
  <c r="D360" i="2"/>
  <c r="D381" i="2"/>
  <c r="H364" i="2"/>
  <c r="H385" i="2"/>
  <c r="H13" i="11"/>
  <c r="L463" i="2"/>
  <c r="L442" i="2"/>
  <c r="D245" i="2"/>
  <c r="M237" i="2"/>
  <c r="L530" i="2"/>
  <c r="M333" i="2"/>
  <c r="L551" i="2"/>
  <c r="D341" i="2"/>
  <c r="J411" i="2"/>
  <c r="J432" i="2"/>
  <c r="Q289" i="2"/>
  <c r="P490" i="2"/>
  <c r="P511" i="2"/>
  <c r="H297" i="2"/>
  <c r="I365" i="2"/>
  <c r="I386" i="2"/>
  <c r="M5" i="11"/>
  <c r="G452" i="2"/>
  <c r="G473" i="2"/>
  <c r="P423" i="2"/>
  <c r="P402" i="2"/>
  <c r="H201" i="2"/>
  <c r="Q193" i="2"/>
  <c r="N6" i="11"/>
  <c r="D426" i="2"/>
  <c r="D405" i="2"/>
  <c r="O335" i="2"/>
  <c r="F343" i="2"/>
  <c r="N553" i="2"/>
  <c r="N532" i="2"/>
  <c r="G541" i="2" l="1"/>
  <c r="G562" i="2"/>
  <c r="P554" i="2"/>
  <c r="Q336" i="2"/>
  <c r="P533" i="2"/>
  <c r="G345" i="2"/>
  <c r="H563" i="2"/>
  <c r="H542" i="2"/>
  <c r="Q555" i="2"/>
  <c r="Q534" i="2"/>
  <c r="H346" i="2"/>
  <c r="N22" i="11"/>
  <c r="N42" i="11"/>
  <c r="N23" i="11"/>
  <c r="N43" i="11"/>
  <c r="D27" i="11"/>
  <c r="D47" i="11"/>
  <c r="M22" i="11"/>
  <c r="M42" i="11"/>
  <c r="J33" i="11"/>
  <c r="J53" i="11"/>
  <c r="Q145" i="2"/>
  <c r="P7" i="11"/>
  <c r="H153" i="2"/>
  <c r="P379" i="2"/>
  <c r="P358" i="2"/>
  <c r="K33" i="11"/>
  <c r="K53" i="11"/>
  <c r="E47" i="11"/>
  <c r="E27" i="11"/>
  <c r="O509" i="2"/>
  <c r="P287" i="2"/>
  <c r="F296" i="2"/>
  <c r="O488" i="2"/>
  <c r="H454" i="2"/>
  <c r="H475" i="2"/>
  <c r="I543" i="2"/>
  <c r="I564" i="2"/>
  <c r="E539" i="2"/>
  <c r="E560" i="2"/>
  <c r="N531" i="2"/>
  <c r="N552" i="2"/>
  <c r="O334" i="2"/>
  <c r="E343" i="2"/>
  <c r="Q402" i="2"/>
  <c r="H202" i="2"/>
  <c r="Q423" i="2"/>
  <c r="D538" i="2"/>
  <c r="D559" i="2"/>
  <c r="H30" i="11"/>
  <c r="H50" i="11"/>
  <c r="G409" i="2"/>
  <c r="G430" i="2"/>
  <c r="D406" i="2"/>
  <c r="D427" i="2"/>
  <c r="O357" i="2"/>
  <c r="P144" i="2"/>
  <c r="O378" i="2"/>
  <c r="G152" i="2"/>
  <c r="G14" i="11" s="1"/>
  <c r="P489" i="2"/>
  <c r="Q288" i="2"/>
  <c r="G297" i="2"/>
  <c r="P510" i="2"/>
  <c r="O44" i="11"/>
  <c r="O24" i="11"/>
  <c r="O190" i="2"/>
  <c r="E199" i="2"/>
  <c r="N420" i="2"/>
  <c r="N399" i="2"/>
  <c r="I387" i="2"/>
  <c r="I366" i="2"/>
  <c r="H431" i="2"/>
  <c r="H410" i="2"/>
  <c r="H519" i="2"/>
  <c r="H498" i="2"/>
  <c r="Q192" i="2"/>
  <c r="P401" i="2"/>
  <c r="P422" i="2"/>
  <c r="G201" i="2"/>
  <c r="L20" i="11"/>
  <c r="L40" i="11"/>
  <c r="F29" i="11"/>
  <c r="F49" i="11"/>
  <c r="I51" i="11"/>
  <c r="I31" i="11"/>
  <c r="G497" i="2"/>
  <c r="G518" i="2"/>
  <c r="F363" i="2"/>
  <c r="F384" i="2"/>
  <c r="I520" i="2"/>
  <c r="I499" i="2"/>
  <c r="G453" i="2"/>
  <c r="G474" i="2"/>
  <c r="F429" i="2"/>
  <c r="F408" i="2"/>
  <c r="G364" i="2"/>
  <c r="G385" i="2"/>
  <c r="F561" i="2"/>
  <c r="F540" i="2"/>
  <c r="M530" i="2"/>
  <c r="D342" i="2"/>
  <c r="N333" i="2"/>
  <c r="M551" i="2"/>
  <c r="P45" i="11"/>
  <c r="P25" i="11"/>
  <c r="F452" i="2"/>
  <c r="F473" i="2"/>
  <c r="Q240" i="2"/>
  <c r="P445" i="2"/>
  <c r="G249" i="2"/>
  <c r="P466" i="2"/>
  <c r="O23" i="11"/>
  <c r="O43" i="11"/>
  <c r="N356" i="2"/>
  <c r="O143" i="2"/>
  <c r="F151" i="2"/>
  <c r="F13" i="11" s="1"/>
  <c r="N377" i="2"/>
  <c r="I455" i="2"/>
  <c r="I476" i="2"/>
  <c r="E295" i="2"/>
  <c r="N487" i="2"/>
  <c r="N508" i="2"/>
  <c r="O286" i="2"/>
  <c r="P335" i="2"/>
  <c r="O532" i="2"/>
  <c r="F344" i="2"/>
  <c r="O553" i="2"/>
  <c r="N443" i="2"/>
  <c r="N464" i="2"/>
  <c r="E247" i="2"/>
  <c r="O238" i="2"/>
  <c r="Q8" i="11"/>
  <c r="Q424" i="2"/>
  <c r="Q403" i="2"/>
  <c r="I202" i="2"/>
  <c r="F496" i="2"/>
  <c r="F517" i="2"/>
  <c r="E150" i="2"/>
  <c r="E12" i="11" s="1"/>
  <c r="N142" i="2"/>
  <c r="M376" i="2"/>
  <c r="M355" i="2"/>
  <c r="O421" i="2"/>
  <c r="F200" i="2"/>
  <c r="P191" i="2"/>
  <c r="O400" i="2"/>
  <c r="D361" i="2"/>
  <c r="D382" i="2"/>
  <c r="Q490" i="2"/>
  <c r="H298" i="2"/>
  <c r="Q511" i="2"/>
  <c r="M442" i="2"/>
  <c r="N237" i="2"/>
  <c r="M463" i="2"/>
  <c r="D246" i="2"/>
  <c r="D294" i="2"/>
  <c r="M486" i="2"/>
  <c r="M507" i="2"/>
  <c r="N285" i="2"/>
  <c r="H14" i="11"/>
  <c r="H365" i="2"/>
  <c r="H386" i="2"/>
  <c r="K20" i="11"/>
  <c r="K40" i="11"/>
  <c r="I431" i="2"/>
  <c r="I15" i="11"/>
  <c r="I410" i="2"/>
  <c r="F248" i="2"/>
  <c r="O444" i="2"/>
  <c r="P239" i="2"/>
  <c r="O465" i="2"/>
  <c r="M4" i="11"/>
  <c r="E495" i="2"/>
  <c r="E516" i="2"/>
  <c r="M398" i="2"/>
  <c r="N189" i="2"/>
  <c r="D198" i="2"/>
  <c r="M419" i="2"/>
  <c r="D471" i="2"/>
  <c r="D450" i="2"/>
  <c r="J367" i="2"/>
  <c r="J388" i="2"/>
  <c r="D494" i="2"/>
  <c r="D515" i="2"/>
  <c r="E451" i="2"/>
  <c r="E472" i="2"/>
  <c r="Q467" i="2"/>
  <c r="Q446" i="2"/>
  <c r="H250" i="2"/>
  <c r="E48" i="11"/>
  <c r="E28" i="11"/>
  <c r="E362" i="2"/>
  <c r="E383" i="2"/>
  <c r="E407" i="2"/>
  <c r="E428" i="2"/>
  <c r="G13" i="11"/>
  <c r="M141" i="2"/>
  <c r="M3" i="11" s="1"/>
  <c r="D149" i="2"/>
  <c r="D11" i="11" s="1"/>
  <c r="L354" i="2"/>
  <c r="L375" i="2"/>
  <c r="Q380" i="2"/>
  <c r="Q359" i="2"/>
  <c r="I154" i="2"/>
  <c r="G542" i="2" l="1"/>
  <c r="G563" i="2"/>
  <c r="Q554" i="2"/>
  <c r="Q533" i="2"/>
  <c r="G346" i="2"/>
  <c r="H543" i="2"/>
  <c r="H564" i="2"/>
  <c r="F30" i="11"/>
  <c r="F50" i="11"/>
  <c r="D28" i="11"/>
  <c r="D48" i="11"/>
  <c r="G50" i="11"/>
  <c r="G30" i="11"/>
  <c r="H476" i="2"/>
  <c r="H455" i="2"/>
  <c r="I52" i="11"/>
  <c r="I32" i="11"/>
  <c r="H499" i="2"/>
  <c r="H520" i="2"/>
  <c r="F541" i="2"/>
  <c r="F562" i="2"/>
  <c r="G454" i="2"/>
  <c r="G475" i="2"/>
  <c r="D343" i="2"/>
  <c r="N530" i="2"/>
  <c r="O333" i="2"/>
  <c r="N551" i="2"/>
  <c r="G431" i="2"/>
  <c r="G410" i="2"/>
  <c r="P357" i="2"/>
  <c r="G153" i="2"/>
  <c r="G15" i="11" s="1"/>
  <c r="Q144" i="2"/>
  <c r="Q6" i="11" s="1"/>
  <c r="P378" i="2"/>
  <c r="P334" i="2"/>
  <c r="E344" i="2"/>
  <c r="O531" i="2"/>
  <c r="O552" i="2"/>
  <c r="I367" i="2"/>
  <c r="I388" i="2"/>
  <c r="Q25" i="11"/>
  <c r="Q45" i="11"/>
  <c r="Q335" i="2"/>
  <c r="P532" i="2"/>
  <c r="F345" i="2"/>
  <c r="P553" i="2"/>
  <c r="F364" i="2"/>
  <c r="F385" i="2"/>
  <c r="Q445" i="2"/>
  <c r="Q466" i="2"/>
  <c r="G250" i="2"/>
  <c r="F518" i="2"/>
  <c r="F497" i="2"/>
  <c r="D451" i="2"/>
  <c r="D472" i="2"/>
  <c r="E151" i="2"/>
  <c r="E13" i="11" s="1"/>
  <c r="O142" i="2"/>
  <c r="O4" i="11" s="1"/>
  <c r="N355" i="2"/>
  <c r="N376" i="2"/>
  <c r="O464" i="2"/>
  <c r="P238" i="2"/>
  <c r="O443" i="2"/>
  <c r="E248" i="2"/>
  <c r="E296" i="2"/>
  <c r="P286" i="2"/>
  <c r="O487" i="2"/>
  <c r="O508" i="2"/>
  <c r="P143" i="2"/>
  <c r="P5" i="11" s="1"/>
  <c r="O356" i="2"/>
  <c r="F152" i="2"/>
  <c r="F14" i="11" s="1"/>
  <c r="O377" i="2"/>
  <c r="P6" i="11"/>
  <c r="G519" i="2"/>
  <c r="G498" i="2"/>
  <c r="F297" i="2"/>
  <c r="Q287" i="2"/>
  <c r="P488" i="2"/>
  <c r="P509" i="2"/>
  <c r="H366" i="2"/>
  <c r="H387" i="2"/>
  <c r="H15" i="11"/>
  <c r="E49" i="11"/>
  <c r="E29" i="11"/>
  <c r="D560" i="2"/>
  <c r="D539" i="2"/>
  <c r="M41" i="11"/>
  <c r="M21" i="11"/>
  <c r="D428" i="2"/>
  <c r="D407" i="2"/>
  <c r="P465" i="2"/>
  <c r="P444" i="2"/>
  <c r="F249" i="2"/>
  <c r="Q239" i="2"/>
  <c r="E363" i="2"/>
  <c r="E384" i="2"/>
  <c r="E473" i="2"/>
  <c r="E452" i="2"/>
  <c r="Q401" i="2"/>
  <c r="G202" i="2"/>
  <c r="Q422" i="2"/>
  <c r="Q489" i="2"/>
  <c r="G298" i="2"/>
  <c r="Q510" i="2"/>
  <c r="P24" i="11"/>
  <c r="P44" i="11"/>
  <c r="M20" i="11"/>
  <c r="M40" i="11"/>
  <c r="N463" i="2"/>
  <c r="O237" i="2"/>
  <c r="N442" i="2"/>
  <c r="D247" i="2"/>
  <c r="P421" i="2"/>
  <c r="F201" i="2"/>
  <c r="Q191" i="2"/>
  <c r="P400" i="2"/>
  <c r="N4" i="11"/>
  <c r="G31" i="11"/>
  <c r="G51" i="11"/>
  <c r="H411" i="2"/>
  <c r="H432" i="2"/>
  <c r="Q7" i="11"/>
  <c r="H154" i="2"/>
  <c r="Q358" i="2"/>
  <c r="Q379" i="2"/>
  <c r="D495" i="2"/>
  <c r="D516" i="2"/>
  <c r="D362" i="2"/>
  <c r="D383" i="2"/>
  <c r="D199" i="2"/>
  <c r="O189" i="2"/>
  <c r="N398" i="2"/>
  <c r="N419" i="2"/>
  <c r="F453" i="2"/>
  <c r="F474" i="2"/>
  <c r="H31" i="11"/>
  <c r="H51" i="11"/>
  <c r="O5" i="11"/>
  <c r="E496" i="2"/>
  <c r="E517" i="2"/>
  <c r="E408" i="2"/>
  <c r="E429" i="2"/>
  <c r="G386" i="2"/>
  <c r="G365" i="2"/>
  <c r="M354" i="2"/>
  <c r="D150" i="2"/>
  <c r="N141" i="2"/>
  <c r="N3" i="11" s="1"/>
  <c r="M375" i="2"/>
  <c r="O285" i="2"/>
  <c r="D295" i="2"/>
  <c r="N486" i="2"/>
  <c r="N507" i="2"/>
  <c r="F430" i="2"/>
  <c r="F409" i="2"/>
  <c r="I16" i="11"/>
  <c r="I432" i="2"/>
  <c r="I411" i="2"/>
  <c r="E200" i="2"/>
  <c r="P190" i="2"/>
  <c r="O420" i="2"/>
  <c r="O399" i="2"/>
  <c r="E540" i="2"/>
  <c r="E561" i="2"/>
  <c r="G564" i="2" l="1"/>
  <c r="G543" i="2"/>
  <c r="F51" i="11"/>
  <c r="F31" i="11"/>
  <c r="D363" i="2"/>
  <c r="D384" i="2"/>
  <c r="N354" i="2"/>
  <c r="O141" i="2"/>
  <c r="N375" i="2"/>
  <c r="D151" i="2"/>
  <c r="D13" i="11" s="1"/>
  <c r="N41" i="11"/>
  <c r="N21" i="11"/>
  <c r="D248" i="2"/>
  <c r="O442" i="2"/>
  <c r="O463" i="2"/>
  <c r="P237" i="2"/>
  <c r="E453" i="2"/>
  <c r="E474" i="2"/>
  <c r="O22" i="11"/>
  <c r="O42" i="11"/>
  <c r="D200" i="2"/>
  <c r="O398" i="2"/>
  <c r="O419" i="2"/>
  <c r="P189" i="2"/>
  <c r="H16" i="11"/>
  <c r="H388" i="2"/>
  <c r="H367" i="2"/>
  <c r="Q421" i="2"/>
  <c r="Q400" i="2"/>
  <c r="F202" i="2"/>
  <c r="G411" i="2"/>
  <c r="G432" i="2"/>
  <c r="F454" i="2"/>
  <c r="F475" i="2"/>
  <c r="E249" i="2"/>
  <c r="P443" i="2"/>
  <c r="Q238" i="2"/>
  <c r="P464" i="2"/>
  <c r="F542" i="2"/>
  <c r="F563" i="2"/>
  <c r="G52" i="11"/>
  <c r="G32" i="11"/>
  <c r="F250" i="2"/>
  <c r="Q465" i="2"/>
  <c r="Q444" i="2"/>
  <c r="P399" i="2"/>
  <c r="E201" i="2"/>
  <c r="Q190" i="2"/>
  <c r="P420" i="2"/>
  <c r="D408" i="2"/>
  <c r="D429" i="2"/>
  <c r="Q24" i="11"/>
  <c r="Q44" i="11"/>
  <c r="F410" i="2"/>
  <c r="F431" i="2"/>
  <c r="Q23" i="11"/>
  <c r="Q43" i="11"/>
  <c r="Q509" i="2"/>
  <c r="Q488" i="2"/>
  <c r="F298" i="2"/>
  <c r="Q143" i="2"/>
  <c r="Q5" i="11" s="1"/>
  <c r="P377" i="2"/>
  <c r="P356" i="2"/>
  <c r="F153" i="2"/>
  <c r="E562" i="2"/>
  <c r="E541" i="2"/>
  <c r="E430" i="2"/>
  <c r="E409" i="2"/>
  <c r="P22" i="11"/>
  <c r="P42" i="11"/>
  <c r="F498" i="2"/>
  <c r="F519" i="2"/>
  <c r="G455" i="2"/>
  <c r="G476" i="2"/>
  <c r="Q532" i="2"/>
  <c r="Q553" i="2"/>
  <c r="F346" i="2"/>
  <c r="E345" i="2"/>
  <c r="P531" i="2"/>
  <c r="P552" i="2"/>
  <c r="Q334" i="2"/>
  <c r="N40" i="11"/>
  <c r="N20" i="11"/>
  <c r="F386" i="2"/>
  <c r="F365" i="2"/>
  <c r="D517" i="2"/>
  <c r="D496" i="2"/>
  <c r="O530" i="2"/>
  <c r="O551" i="2"/>
  <c r="P333" i="2"/>
  <c r="D344" i="2"/>
  <c r="O41" i="11"/>
  <c r="O21" i="11"/>
  <c r="E30" i="11"/>
  <c r="E50" i="11"/>
  <c r="D452" i="2"/>
  <c r="D473" i="2"/>
  <c r="H32" i="11"/>
  <c r="H52" i="11"/>
  <c r="P508" i="2"/>
  <c r="P487" i="2"/>
  <c r="Q286" i="2"/>
  <c r="E297" i="2"/>
  <c r="P142" i="2"/>
  <c r="P4" i="11" s="1"/>
  <c r="E152" i="2"/>
  <c r="E14" i="11" s="1"/>
  <c r="O355" i="2"/>
  <c r="O376" i="2"/>
  <c r="Q357" i="2"/>
  <c r="G154" i="2"/>
  <c r="G16" i="11" s="1"/>
  <c r="Q378" i="2"/>
  <c r="P285" i="2"/>
  <c r="O486" i="2"/>
  <c r="D296" i="2"/>
  <c r="O507" i="2"/>
  <c r="I33" i="11"/>
  <c r="I53" i="11"/>
  <c r="G499" i="2"/>
  <c r="G520" i="2"/>
  <c r="D12" i="11"/>
  <c r="P23" i="11"/>
  <c r="P43" i="11"/>
  <c r="E497" i="2"/>
  <c r="E518" i="2"/>
  <c r="E364" i="2"/>
  <c r="E385" i="2"/>
  <c r="G366" i="2"/>
  <c r="G387" i="2"/>
  <c r="D561" i="2"/>
  <c r="D540" i="2"/>
  <c r="P21" i="11" l="1"/>
  <c r="P41" i="11"/>
  <c r="D50" i="11"/>
  <c r="D30" i="11"/>
  <c r="E51" i="11"/>
  <c r="E31" i="11"/>
  <c r="G53" i="11"/>
  <c r="G33" i="11"/>
  <c r="F499" i="2"/>
  <c r="F520" i="2"/>
  <c r="D345" i="2"/>
  <c r="P530" i="2"/>
  <c r="Q333" i="2"/>
  <c r="P551" i="2"/>
  <c r="Q189" i="2"/>
  <c r="D201" i="2"/>
  <c r="P398" i="2"/>
  <c r="P419" i="2"/>
  <c r="E250" i="2"/>
  <c r="Q443" i="2"/>
  <c r="Q464" i="2"/>
  <c r="F411" i="2"/>
  <c r="F432" i="2"/>
  <c r="P442" i="2"/>
  <c r="D249" i="2"/>
  <c r="P463" i="2"/>
  <c r="Q237" i="2"/>
  <c r="D152" i="2"/>
  <c r="P141" i="2"/>
  <c r="O354" i="2"/>
  <c r="O375" i="2"/>
  <c r="P355" i="2"/>
  <c r="E153" i="2"/>
  <c r="E15" i="11" s="1"/>
  <c r="P376" i="2"/>
  <c r="Q142" i="2"/>
  <c r="Q22" i="11"/>
  <c r="Q42" i="11"/>
  <c r="E346" i="2"/>
  <c r="Q552" i="2"/>
  <c r="Q531" i="2"/>
  <c r="D29" i="11"/>
  <c r="D49" i="11"/>
  <c r="P486" i="2"/>
  <c r="Q285" i="2"/>
  <c r="D297" i="2"/>
  <c r="P507" i="2"/>
  <c r="E498" i="2"/>
  <c r="E519" i="2"/>
  <c r="F366" i="2"/>
  <c r="F387" i="2"/>
  <c r="F476" i="2"/>
  <c r="F455" i="2"/>
  <c r="E454" i="2"/>
  <c r="E475" i="2"/>
  <c r="O3" i="11"/>
  <c r="H53" i="11"/>
  <c r="H33" i="11"/>
  <c r="Q487" i="2"/>
  <c r="E298" i="2"/>
  <c r="Q508" i="2"/>
  <c r="E542" i="2"/>
  <c r="E563" i="2"/>
  <c r="D409" i="2"/>
  <c r="D430" i="2"/>
  <c r="D474" i="2"/>
  <c r="D453" i="2"/>
  <c r="D541" i="2"/>
  <c r="D562" i="2"/>
  <c r="D364" i="2"/>
  <c r="D385" i="2"/>
  <c r="D497" i="2"/>
  <c r="D518" i="2"/>
  <c r="G367" i="2"/>
  <c r="G388" i="2"/>
  <c r="F543" i="2"/>
  <c r="F564" i="2"/>
  <c r="E202" i="2"/>
  <c r="Q399" i="2"/>
  <c r="Q420" i="2"/>
  <c r="E386" i="2"/>
  <c r="E365" i="2"/>
  <c r="F154" i="2"/>
  <c r="F16" i="11" s="1"/>
  <c r="Q377" i="2"/>
  <c r="Q356" i="2"/>
  <c r="F15" i="11"/>
  <c r="E410" i="2"/>
  <c r="E431" i="2"/>
  <c r="F33" i="11" l="1"/>
  <c r="F53" i="11"/>
  <c r="D519" i="2"/>
  <c r="D498" i="2"/>
  <c r="P354" i="2"/>
  <c r="P375" i="2"/>
  <c r="Q141" i="2"/>
  <c r="D153" i="2"/>
  <c r="Q398" i="2"/>
  <c r="Q419" i="2"/>
  <c r="D202" i="2"/>
  <c r="D298" i="2"/>
  <c r="Q507" i="2"/>
  <c r="Q486" i="2"/>
  <c r="D365" i="2"/>
  <c r="D386" i="2"/>
  <c r="Q355" i="2"/>
  <c r="Q376" i="2"/>
  <c r="E154" i="2"/>
  <c r="E16" i="11" s="1"/>
  <c r="Q463" i="2"/>
  <c r="Q442" i="2"/>
  <c r="D250" i="2"/>
  <c r="D346" i="2"/>
  <c r="Q530" i="2"/>
  <c r="Q551" i="2"/>
  <c r="E411" i="2"/>
  <c r="E432" i="2"/>
  <c r="E499" i="2"/>
  <c r="E520" i="2"/>
  <c r="E476" i="2"/>
  <c r="E455" i="2"/>
  <c r="D410" i="2"/>
  <c r="D431" i="2"/>
  <c r="F367" i="2"/>
  <c r="F388" i="2"/>
  <c r="E366" i="2"/>
  <c r="E387" i="2"/>
  <c r="D454" i="2"/>
  <c r="D475" i="2"/>
  <c r="D563" i="2"/>
  <c r="D542" i="2"/>
  <c r="E32" i="11"/>
  <c r="E52" i="11"/>
  <c r="E564" i="2"/>
  <c r="E543" i="2"/>
  <c r="F32" i="11"/>
  <c r="F52" i="11"/>
  <c r="Q4" i="11"/>
  <c r="D14" i="11"/>
  <c r="O20" i="11"/>
  <c r="O40" i="11"/>
  <c r="P3" i="11"/>
  <c r="D543" i="2" l="1"/>
  <c r="C545" i="2" s="1"/>
  <c r="D564" i="2"/>
  <c r="C566" i="2" s="1"/>
  <c r="D387" i="2"/>
  <c r="D366" i="2"/>
  <c r="D15" i="11"/>
  <c r="P20" i="11"/>
  <c r="P40" i="11"/>
  <c r="D476" i="2"/>
  <c r="C478" i="2" s="1"/>
  <c r="D455" i="2"/>
  <c r="C457" i="2" s="1"/>
  <c r="D154" i="2"/>
  <c r="D16" i="11" s="1"/>
  <c r="Q375" i="2"/>
  <c r="Q354" i="2"/>
  <c r="D520" i="2"/>
  <c r="C522" i="2" s="1"/>
  <c r="D499" i="2"/>
  <c r="C501" i="2" s="1"/>
  <c r="D51" i="11"/>
  <c r="D31" i="11"/>
  <c r="E33" i="11"/>
  <c r="E53" i="11"/>
  <c r="E367" i="2"/>
  <c r="E388" i="2"/>
  <c r="D432" i="2"/>
  <c r="C434" i="2" s="1"/>
  <c r="D411" i="2"/>
  <c r="C413" i="2" s="1"/>
  <c r="Q21" i="11"/>
  <c r="Q41" i="11"/>
  <c r="Q3" i="11"/>
  <c r="BY613" i="2" l="1"/>
  <c r="CK615" i="2"/>
  <c r="BJ615" i="2"/>
  <c r="CJ615" i="2"/>
  <c r="AW615" i="2"/>
  <c r="AI613" i="2"/>
  <c r="AM615" i="2"/>
  <c r="D615" i="2"/>
  <c r="AP615" i="2"/>
  <c r="AC613" i="2"/>
  <c r="CI613" i="2"/>
  <c r="CC613" i="2"/>
  <c r="BY615" i="2"/>
  <c r="L613" i="2"/>
  <c r="CD613" i="2"/>
  <c r="BB615" i="2"/>
  <c r="CJ613" i="2"/>
  <c r="BT613" i="2"/>
  <c r="BK613" i="2"/>
  <c r="AP613" i="2"/>
  <c r="CF613" i="2"/>
  <c r="BI613" i="2"/>
  <c r="BP615" i="2"/>
  <c r="R613" i="2"/>
  <c r="G613" i="2"/>
  <c r="CC615" i="2"/>
  <c r="AF615" i="2"/>
  <c r="AY615" i="2"/>
  <c r="BV615" i="2"/>
  <c r="AF613" i="2"/>
  <c r="AX615" i="2"/>
  <c r="AH615" i="2"/>
  <c r="BE615" i="2"/>
  <c r="N613" i="2"/>
  <c r="AK613" i="2"/>
  <c r="Y613" i="2"/>
  <c r="BL613" i="2"/>
  <c r="W615" i="2"/>
  <c r="AX613" i="2"/>
  <c r="Z615" i="2"/>
  <c r="Q615" i="2"/>
  <c r="BS613" i="2"/>
  <c r="CE613" i="2"/>
  <c r="CM613" i="2"/>
  <c r="BN613" i="2"/>
  <c r="K615" i="2"/>
  <c r="BA613" i="2"/>
  <c r="CK613" i="2"/>
  <c r="CP615" i="2"/>
  <c r="BC613" i="2"/>
  <c r="CD615" i="2"/>
  <c r="AR613" i="2"/>
  <c r="U613" i="2"/>
  <c r="BL615" i="2"/>
  <c r="BM615" i="2"/>
  <c r="BF615" i="2"/>
  <c r="AE613" i="2"/>
  <c r="CG613" i="2"/>
  <c r="M613" i="2"/>
  <c r="T613" i="2"/>
  <c r="BD615" i="2"/>
  <c r="F613" i="2"/>
  <c r="S613" i="2"/>
  <c r="AS615" i="2"/>
  <c r="CA613" i="2"/>
  <c r="AT615" i="2"/>
  <c r="E613" i="2"/>
  <c r="P615" i="2"/>
  <c r="BU613" i="2"/>
  <c r="AQ613" i="2"/>
  <c r="CO613" i="2"/>
  <c r="BH613" i="2"/>
  <c r="CH613" i="2"/>
  <c r="BQ615" i="2"/>
  <c r="AK615" i="2"/>
  <c r="BZ613" i="2"/>
  <c r="BR615" i="2"/>
  <c r="BV613" i="2"/>
  <c r="AN615" i="2"/>
  <c r="AD615" i="2"/>
  <c r="AR615" i="2"/>
  <c r="J613" i="2"/>
  <c r="AA615" i="2"/>
  <c r="BI615" i="2"/>
  <c r="P613" i="2"/>
  <c r="J615" i="2"/>
  <c r="N615" i="2"/>
  <c r="F615" i="2"/>
  <c r="U615" i="2"/>
  <c r="AB613" i="2"/>
  <c r="AS613" i="2"/>
  <c r="BF613" i="2"/>
  <c r="BM613" i="2"/>
  <c r="AC615" i="2"/>
  <c r="BC615" i="2"/>
  <c r="AZ613" i="2"/>
  <c r="AJ615" i="2"/>
  <c r="V613" i="2"/>
  <c r="CP613" i="2"/>
  <c r="AU613" i="2"/>
  <c r="X613" i="2"/>
  <c r="CG615" i="2"/>
  <c r="BK615" i="2"/>
  <c r="AB615" i="2"/>
  <c r="CM615" i="2"/>
  <c r="L615" i="2"/>
  <c r="H615" i="2"/>
  <c r="E615" i="2"/>
  <c r="AN613" i="2"/>
  <c r="G615" i="2"/>
  <c r="AG615" i="2"/>
  <c r="X615" i="2"/>
  <c r="BT615" i="2"/>
  <c r="O613" i="2"/>
  <c r="AI615" i="2"/>
  <c r="AM613" i="2"/>
  <c r="AQ615" i="2"/>
  <c r="BA615" i="2"/>
  <c r="AG613" i="2"/>
  <c r="BW613" i="2"/>
  <c r="AY613" i="2"/>
  <c r="CB615" i="2"/>
  <c r="BO613" i="2"/>
  <c r="AU615" i="2"/>
  <c r="BG615" i="2"/>
  <c r="R615" i="2"/>
  <c r="D613" i="2"/>
  <c r="H613" i="2"/>
  <c r="C480" i="2"/>
  <c r="CF615" i="2"/>
  <c r="BX615" i="2"/>
  <c r="BB613" i="2"/>
  <c r="AV613" i="2"/>
  <c r="CN613" i="2"/>
  <c r="M615" i="2"/>
  <c r="AL613" i="2"/>
  <c r="BX613" i="2"/>
  <c r="T615" i="2"/>
  <c r="Z613" i="2"/>
  <c r="BE613" i="2"/>
  <c r="BN615" i="2"/>
  <c r="W613" i="2"/>
  <c r="CL615" i="2"/>
  <c r="AO613" i="2"/>
  <c r="I615" i="2"/>
  <c r="BS615" i="2"/>
  <c r="BJ613" i="2"/>
  <c r="CI615" i="2"/>
  <c r="AV615" i="2"/>
  <c r="BG613" i="2"/>
  <c r="K613" i="2"/>
  <c r="BW615" i="2"/>
  <c r="I613" i="2"/>
  <c r="AL615" i="2"/>
  <c r="BQ613" i="2"/>
  <c r="AH613" i="2"/>
  <c r="BU615" i="2"/>
  <c r="AT613" i="2"/>
  <c r="BH615" i="2"/>
  <c r="CN615" i="2"/>
  <c r="O615" i="2"/>
  <c r="CB613" i="2"/>
  <c r="BP613" i="2"/>
  <c r="S615" i="2"/>
  <c r="Q613" i="2"/>
  <c r="CH615" i="2"/>
  <c r="V615" i="2"/>
  <c r="CL613" i="2"/>
  <c r="CO615" i="2"/>
  <c r="AJ613" i="2"/>
  <c r="AZ615" i="2"/>
  <c r="AD613" i="2"/>
  <c r="Y615" i="2"/>
  <c r="BZ615" i="2"/>
  <c r="AW613" i="2"/>
  <c r="BD613" i="2"/>
  <c r="BR613" i="2"/>
  <c r="AO615" i="2"/>
  <c r="AA613" i="2"/>
  <c r="CA615" i="2"/>
  <c r="CE615" i="2"/>
  <c r="BO615" i="2"/>
  <c r="AE615" i="2"/>
  <c r="K622" i="2"/>
  <c r="AW624" i="2"/>
  <c r="AZ622" i="2"/>
  <c r="AG624" i="2"/>
  <c r="BO624" i="2"/>
  <c r="T622" i="2"/>
  <c r="Q622" i="2"/>
  <c r="L622" i="2"/>
  <c r="CP622" i="2"/>
  <c r="BZ624" i="2"/>
  <c r="D622" i="2"/>
  <c r="BE622" i="2"/>
  <c r="AS624" i="2"/>
  <c r="CL624" i="2"/>
  <c r="O624" i="2"/>
  <c r="S624" i="2"/>
  <c r="BL622" i="2"/>
  <c r="BB622" i="2"/>
  <c r="AJ622" i="2"/>
  <c r="AY622" i="2"/>
  <c r="CD624" i="2"/>
  <c r="BG622" i="2"/>
  <c r="AL622" i="2"/>
  <c r="V624" i="2"/>
  <c r="CB624" i="2"/>
  <c r="H622" i="2"/>
  <c r="AQ622" i="2"/>
  <c r="AP622" i="2"/>
  <c r="AM622" i="2"/>
  <c r="AA624" i="2"/>
  <c r="BH624" i="2"/>
  <c r="CP624" i="2"/>
  <c r="R624" i="2"/>
  <c r="AV622" i="2"/>
  <c r="AC622" i="2"/>
  <c r="CG622" i="2"/>
  <c r="BI624" i="2"/>
  <c r="BR622" i="2"/>
  <c r="O622" i="2"/>
  <c r="BT622" i="2"/>
  <c r="BA622" i="2"/>
  <c r="AU624" i="2"/>
  <c r="BK624" i="2"/>
  <c r="AX624" i="2"/>
  <c r="CK622" i="2"/>
  <c r="CC624" i="2"/>
  <c r="AA622" i="2"/>
  <c r="BP622" i="2"/>
  <c r="W622" i="2"/>
  <c r="AF622" i="2"/>
  <c r="CB622" i="2"/>
  <c r="M622" i="2"/>
  <c r="BV622" i="2"/>
  <c r="E624" i="2"/>
  <c r="AO622" i="2"/>
  <c r="BA624" i="2"/>
  <c r="CF622" i="2"/>
  <c r="BN622" i="2"/>
  <c r="BJ624" i="2"/>
  <c r="J622" i="2"/>
  <c r="BM624" i="2"/>
  <c r="CA622" i="2"/>
  <c r="AV624" i="2"/>
  <c r="AP624" i="2"/>
  <c r="L624" i="2"/>
  <c r="CO624" i="2"/>
  <c r="BU624" i="2"/>
  <c r="AN624" i="2"/>
  <c r="V622" i="2"/>
  <c r="E622" i="2"/>
  <c r="BP624" i="2"/>
  <c r="X624" i="2"/>
  <c r="F622" i="2"/>
  <c r="I624" i="2"/>
  <c r="AW622" i="2"/>
  <c r="CH624" i="2"/>
  <c r="CE624" i="2"/>
  <c r="AQ624" i="2"/>
  <c r="BV624" i="2"/>
  <c r="BW622" i="2"/>
  <c r="BW624" i="2"/>
  <c r="I622" i="2"/>
  <c r="AT624" i="2"/>
  <c r="D624" i="2"/>
  <c r="BI622" i="2"/>
  <c r="J624" i="2"/>
  <c r="AU622" i="2"/>
  <c r="AM624" i="2"/>
  <c r="U624" i="2"/>
  <c r="AD624" i="2"/>
  <c r="AF624" i="2"/>
  <c r="AH622" i="2"/>
  <c r="F624" i="2"/>
  <c r="BF622" i="2"/>
  <c r="AD622" i="2"/>
  <c r="BZ622" i="2"/>
  <c r="CI624" i="2"/>
  <c r="BL624" i="2"/>
  <c r="AH624" i="2"/>
  <c r="BE624" i="2"/>
  <c r="BO622" i="2"/>
  <c r="AG622" i="2"/>
  <c r="CC622" i="2"/>
  <c r="AJ624" i="2"/>
  <c r="Z622" i="2"/>
  <c r="AK622" i="2"/>
  <c r="AK624" i="2"/>
  <c r="G624" i="2"/>
  <c r="CH622" i="2"/>
  <c r="AX622" i="2"/>
  <c r="W624" i="2"/>
  <c r="AO624" i="2"/>
  <c r="Y624" i="2"/>
  <c r="AR622" i="2"/>
  <c r="BQ624" i="2"/>
  <c r="BY624" i="2"/>
  <c r="K624" i="2"/>
  <c r="BU622" i="2"/>
  <c r="BM622" i="2"/>
  <c r="BK622" i="2"/>
  <c r="CE622" i="2"/>
  <c r="CN622" i="2"/>
  <c r="BF624" i="2"/>
  <c r="AY624" i="2"/>
  <c r="C524" i="2"/>
  <c r="CC623" i="2" s="1"/>
  <c r="AI622" i="2"/>
  <c r="Q624" i="2"/>
  <c r="P622" i="2"/>
  <c r="N624" i="2"/>
  <c r="CD622" i="2"/>
  <c r="AE622" i="2"/>
  <c r="X622" i="2"/>
  <c r="CA624" i="2"/>
  <c r="CG624" i="2"/>
  <c r="CJ624" i="2"/>
  <c r="Y622" i="2"/>
  <c r="U622" i="2"/>
  <c r="AR624" i="2"/>
  <c r="BG624" i="2"/>
  <c r="BS624" i="2"/>
  <c r="S622" i="2"/>
  <c r="AL624" i="2"/>
  <c r="CI622" i="2"/>
  <c r="BC624" i="2"/>
  <c r="T624" i="2"/>
  <c r="CF624" i="2"/>
  <c r="BT624" i="2"/>
  <c r="BQ622" i="2"/>
  <c r="CJ622" i="2"/>
  <c r="AT622" i="2"/>
  <c r="BB624" i="2"/>
  <c r="AI624" i="2"/>
  <c r="BC622" i="2"/>
  <c r="BD624" i="2"/>
  <c r="AS622" i="2"/>
  <c r="AN622" i="2"/>
  <c r="BY622" i="2"/>
  <c r="H624" i="2"/>
  <c r="BX624" i="2"/>
  <c r="BS622" i="2"/>
  <c r="CM624" i="2"/>
  <c r="Z624" i="2"/>
  <c r="CL622" i="2"/>
  <c r="AE624" i="2"/>
  <c r="CM622" i="2"/>
  <c r="AB622" i="2"/>
  <c r="AC624" i="2"/>
  <c r="BH622" i="2"/>
  <c r="BR624" i="2"/>
  <c r="AB624" i="2"/>
  <c r="AZ624" i="2"/>
  <c r="CK624" i="2"/>
  <c r="G622" i="2"/>
  <c r="M624" i="2"/>
  <c r="CN624" i="2"/>
  <c r="CO622" i="2"/>
  <c r="BX622" i="2"/>
  <c r="BJ622" i="2"/>
  <c r="BD622" i="2"/>
  <c r="BN624" i="2"/>
  <c r="P624" i="2"/>
  <c r="N622" i="2"/>
  <c r="R622" i="2"/>
  <c r="D32" i="11"/>
  <c r="D52" i="11"/>
  <c r="D33" i="11"/>
  <c r="D53" i="11"/>
  <c r="Q40" i="11"/>
  <c r="Q20" i="11"/>
  <c r="AG606" i="2"/>
  <c r="BG604" i="2"/>
  <c r="U606" i="2"/>
  <c r="G606" i="2"/>
  <c r="V604" i="2"/>
  <c r="CM606" i="2"/>
  <c r="BV604" i="2"/>
  <c r="BN604" i="2"/>
  <c r="BD604" i="2"/>
  <c r="CC604" i="2"/>
  <c r="T604" i="2"/>
  <c r="S604" i="2"/>
  <c r="G604" i="2"/>
  <c r="BA604" i="2"/>
  <c r="CJ606" i="2"/>
  <c r="AX606" i="2"/>
  <c r="CP604" i="2"/>
  <c r="AN606" i="2"/>
  <c r="CA606" i="2"/>
  <c r="AJ604" i="2"/>
  <c r="AT606" i="2"/>
  <c r="AM604" i="2"/>
  <c r="H606" i="2"/>
  <c r="D604" i="2"/>
  <c r="AV606" i="2"/>
  <c r="AR604" i="2"/>
  <c r="CG604" i="2"/>
  <c r="J606" i="2"/>
  <c r="CI606" i="2"/>
  <c r="CA604" i="2"/>
  <c r="BH606" i="2"/>
  <c r="CE606" i="2"/>
  <c r="AE606" i="2"/>
  <c r="CB604" i="2"/>
  <c r="BS604" i="2"/>
  <c r="AN604" i="2"/>
  <c r="X606" i="2"/>
  <c r="AK606" i="2"/>
  <c r="BI606" i="2"/>
  <c r="T606" i="2"/>
  <c r="P606" i="2"/>
  <c r="BZ604" i="2"/>
  <c r="Z606" i="2"/>
  <c r="AD604" i="2"/>
  <c r="AJ606" i="2"/>
  <c r="M604" i="2"/>
  <c r="BI604" i="2"/>
  <c r="CD606" i="2"/>
  <c r="CE604" i="2"/>
  <c r="BX606" i="2"/>
  <c r="Y606" i="2"/>
  <c r="M606" i="2"/>
  <c r="AA604" i="2"/>
  <c r="CC606" i="2"/>
  <c r="R606" i="2"/>
  <c r="AG604" i="2"/>
  <c r="BB606" i="2"/>
  <c r="AT604" i="2"/>
  <c r="AI606" i="2"/>
  <c r="AC606" i="2"/>
  <c r="AZ604" i="2"/>
  <c r="BU604" i="2"/>
  <c r="AW606" i="2"/>
  <c r="CJ604" i="2"/>
  <c r="R604" i="2"/>
  <c r="AU604" i="2"/>
  <c r="BH604" i="2"/>
  <c r="AS606" i="2"/>
  <c r="I606" i="2"/>
  <c r="AR606" i="2"/>
  <c r="BT604" i="2"/>
  <c r="BB604" i="2"/>
  <c r="O606" i="2"/>
  <c r="CN604" i="2"/>
  <c r="CK606" i="2"/>
  <c r="BY604" i="2"/>
  <c r="S606" i="2"/>
  <c r="AC604" i="2"/>
  <c r="BE606" i="2"/>
  <c r="AU606" i="2"/>
  <c r="AY606" i="2"/>
  <c r="CN606" i="2"/>
  <c r="CL604" i="2"/>
  <c r="AF606" i="2"/>
  <c r="CL606" i="2"/>
  <c r="Q604" i="2"/>
  <c r="CK604" i="2"/>
  <c r="Y604" i="2"/>
  <c r="K606" i="2"/>
  <c r="Z604" i="2"/>
  <c r="BQ606" i="2"/>
  <c r="AP604" i="2"/>
  <c r="BE604" i="2"/>
  <c r="AI604" i="2"/>
  <c r="O604" i="2"/>
  <c r="N606" i="2"/>
  <c r="CD604" i="2"/>
  <c r="W604" i="2"/>
  <c r="BV606" i="2"/>
  <c r="D606" i="2"/>
  <c r="U604" i="2"/>
  <c r="W606" i="2"/>
  <c r="X604" i="2"/>
  <c r="E606" i="2"/>
  <c r="BD606" i="2"/>
  <c r="BO606" i="2"/>
  <c r="CH604" i="2"/>
  <c r="BZ606" i="2"/>
  <c r="AP606" i="2"/>
  <c r="CB606" i="2"/>
  <c r="AD606" i="2"/>
  <c r="AE604" i="2"/>
  <c r="BU606" i="2"/>
  <c r="CF606" i="2"/>
  <c r="AY604" i="2"/>
  <c r="CO606" i="2"/>
  <c r="AQ604" i="2"/>
  <c r="BS606" i="2"/>
  <c r="F604" i="2"/>
  <c r="BW604" i="2"/>
  <c r="BL604" i="2"/>
  <c r="AW604" i="2"/>
  <c r="BR606" i="2"/>
  <c r="BT606" i="2"/>
  <c r="BM606" i="2"/>
  <c r="BA606" i="2"/>
  <c r="CI604" i="2"/>
  <c r="BM604" i="2"/>
  <c r="N604" i="2"/>
  <c r="F606" i="2"/>
  <c r="BK606" i="2"/>
  <c r="BQ604" i="2"/>
  <c r="AB604" i="2"/>
  <c r="J604" i="2"/>
  <c r="AZ606" i="2"/>
  <c r="BO604" i="2"/>
  <c r="BN606" i="2"/>
  <c r="BF606" i="2"/>
  <c r="CP606" i="2"/>
  <c r="BK604" i="2"/>
  <c r="CG606" i="2"/>
  <c r="BR604" i="2"/>
  <c r="AO604" i="2"/>
  <c r="BL606" i="2"/>
  <c r="BW606" i="2"/>
  <c r="AV604" i="2"/>
  <c r="AL604" i="2"/>
  <c r="BJ604" i="2"/>
  <c r="CO604" i="2"/>
  <c r="E604" i="2"/>
  <c r="L604" i="2"/>
  <c r="AQ606" i="2"/>
  <c r="AX604" i="2"/>
  <c r="AA606" i="2"/>
  <c r="AB606" i="2"/>
  <c r="AF604" i="2"/>
  <c r="AK604" i="2"/>
  <c r="AL606" i="2"/>
  <c r="AS604" i="2"/>
  <c r="BX604" i="2"/>
  <c r="H604" i="2"/>
  <c r="BC604" i="2"/>
  <c r="BG606" i="2"/>
  <c r="BY606" i="2"/>
  <c r="AM606" i="2"/>
  <c r="C436" i="2"/>
  <c r="BE605" i="2" s="1"/>
  <c r="L606" i="2"/>
  <c r="BF604" i="2"/>
  <c r="CH606" i="2"/>
  <c r="V606" i="2"/>
  <c r="K604" i="2"/>
  <c r="BC606" i="2"/>
  <c r="P604" i="2"/>
  <c r="AH604" i="2"/>
  <c r="I604" i="2"/>
  <c r="Q606" i="2"/>
  <c r="BP604" i="2"/>
  <c r="AO606" i="2"/>
  <c r="AH606" i="2"/>
  <c r="CF604" i="2"/>
  <c r="CM604" i="2"/>
  <c r="BJ606" i="2"/>
  <c r="BP606" i="2"/>
  <c r="CK621" i="2"/>
  <c r="AZ621" i="2"/>
  <c r="AM621" i="2"/>
  <c r="U621" i="2"/>
  <c r="AA621" i="2"/>
  <c r="AK621" i="2"/>
  <c r="CM621" i="2"/>
  <c r="BQ621" i="2"/>
  <c r="AY621" i="2"/>
  <c r="BS621" i="2"/>
  <c r="BG621" i="2"/>
  <c r="BU621" i="2"/>
  <c r="AJ621" i="2"/>
  <c r="CD621" i="2"/>
  <c r="CN621" i="2"/>
  <c r="W621" i="2"/>
  <c r="Q621" i="2"/>
  <c r="CI621" i="2"/>
  <c r="AW621" i="2"/>
  <c r="AE621" i="2"/>
  <c r="BR621" i="2"/>
  <c r="BA621" i="2"/>
  <c r="CP621" i="2"/>
  <c r="BE621" i="2"/>
  <c r="T621" i="2"/>
  <c r="BF621" i="2"/>
  <c r="BT621" i="2"/>
  <c r="BV621" i="2"/>
  <c r="CJ621" i="2"/>
  <c r="G621" i="2"/>
  <c r="AC621" i="2"/>
  <c r="AQ621" i="2"/>
  <c r="BY621" i="2"/>
  <c r="BH621" i="2"/>
  <c r="BP621" i="2"/>
  <c r="AS621" i="2"/>
  <c r="BI621" i="2"/>
  <c r="CO621" i="2"/>
  <c r="P621" i="2"/>
  <c r="BZ621" i="2"/>
  <c r="AO621" i="2"/>
  <c r="D621" i="2"/>
  <c r="AL621" i="2"/>
  <c r="AV621" i="2"/>
  <c r="BB621" i="2"/>
  <c r="BL621" i="2"/>
  <c r="CH621" i="2"/>
  <c r="E621" i="2"/>
  <c r="BC621" i="2"/>
  <c r="CB621" i="2"/>
  <c r="AX621" i="2"/>
  <c r="BJ621" i="2"/>
  <c r="Y621" i="2"/>
  <c r="AI621" i="2"/>
  <c r="R621" i="2"/>
  <c r="AB621" i="2"/>
  <c r="AH621" i="2"/>
  <c r="AR621" i="2"/>
  <c r="BN621" i="2"/>
  <c r="BX621" i="2"/>
  <c r="CL621" i="2"/>
  <c r="BO621" i="2"/>
  <c r="AT621" i="2"/>
  <c r="I621" i="2"/>
  <c r="AU621" i="2"/>
  <c r="CG621" i="2"/>
  <c r="H621" i="2"/>
  <c r="J621" i="2"/>
  <c r="X621" i="2"/>
  <c r="AP621" i="2"/>
  <c r="BD621" i="2"/>
  <c r="F621" i="2"/>
  <c r="Z621" i="2"/>
  <c r="N621" i="2"/>
  <c r="K621" i="2"/>
  <c r="O621" i="2"/>
  <c r="CA621" i="2"/>
  <c r="L621" i="2"/>
  <c r="AN621" i="2"/>
  <c r="AD621" i="2"/>
  <c r="CF621" i="2"/>
  <c r="BW621" i="2"/>
  <c r="BM621" i="2"/>
  <c r="S621" i="2"/>
  <c r="CC621" i="2"/>
  <c r="CE621" i="2"/>
  <c r="V621" i="2"/>
  <c r="AF621" i="2"/>
  <c r="M621" i="2"/>
  <c r="AG621" i="2"/>
  <c r="BK621" i="2"/>
  <c r="D388" i="2"/>
  <c r="C390" i="2" s="1"/>
  <c r="D367" i="2"/>
  <c r="C369" i="2" s="1"/>
  <c r="AF631" i="2"/>
  <c r="P631" i="2"/>
  <c r="CO633" i="2"/>
  <c r="CI633" i="2"/>
  <c r="V633" i="2"/>
  <c r="BL631" i="2"/>
  <c r="AI633" i="2"/>
  <c r="AX633" i="2"/>
  <c r="AH631" i="2"/>
  <c r="BT633" i="2"/>
  <c r="D633" i="2"/>
  <c r="BA633" i="2"/>
  <c r="CH633" i="2"/>
  <c r="BN631" i="2"/>
  <c r="Z633" i="2"/>
  <c r="T633" i="2"/>
  <c r="S633" i="2"/>
  <c r="BM631" i="2"/>
  <c r="BD631" i="2"/>
  <c r="CK633" i="2"/>
  <c r="BV633" i="2"/>
  <c r="AP631" i="2"/>
  <c r="BC633" i="2"/>
  <c r="AA633" i="2"/>
  <c r="AU631" i="2"/>
  <c r="CE631" i="2"/>
  <c r="BI631" i="2"/>
  <c r="E631" i="2"/>
  <c r="J631" i="2"/>
  <c r="BX631" i="2"/>
  <c r="BH633" i="2"/>
  <c r="AO631" i="2"/>
  <c r="W631" i="2"/>
  <c r="BZ633" i="2"/>
  <c r="BW633" i="2"/>
  <c r="CM631" i="2"/>
  <c r="BG631" i="2"/>
  <c r="Q631" i="2"/>
  <c r="I631" i="2"/>
  <c r="M633" i="2"/>
  <c r="AB633" i="2"/>
  <c r="AS631" i="2"/>
  <c r="N633" i="2"/>
  <c r="AR631" i="2"/>
  <c r="AZ631" i="2"/>
  <c r="AN633" i="2"/>
  <c r="P633" i="2"/>
  <c r="BS633" i="2"/>
  <c r="CP633" i="2"/>
  <c r="CB631" i="2"/>
  <c r="O631" i="2"/>
  <c r="AM631" i="2"/>
  <c r="CH631" i="2"/>
  <c r="AC631" i="2"/>
  <c r="N631" i="2"/>
  <c r="CF631" i="2"/>
  <c r="AU633" i="2"/>
  <c r="AJ631" i="2"/>
  <c r="CP631" i="2"/>
  <c r="AF633" i="2"/>
  <c r="AK633" i="2"/>
  <c r="F631" i="2"/>
  <c r="CL631" i="2"/>
  <c r="BL633" i="2"/>
  <c r="BP631" i="2"/>
  <c r="BF631" i="2"/>
  <c r="BA631" i="2"/>
  <c r="AY633" i="2"/>
  <c r="AW631" i="2"/>
  <c r="BR631" i="2"/>
  <c r="AT631" i="2"/>
  <c r="J633" i="2"/>
  <c r="C568" i="2"/>
  <c r="AP632" i="2" s="1"/>
  <c r="BZ631" i="2"/>
  <c r="AR633" i="2"/>
  <c r="CJ631" i="2"/>
  <c r="CM633" i="2"/>
  <c r="W633" i="2"/>
  <c r="K633" i="2"/>
  <c r="BR633" i="2"/>
  <c r="U633" i="2"/>
  <c r="M631" i="2"/>
  <c r="CK631" i="2"/>
  <c r="CF633" i="2"/>
  <c r="BO633" i="2"/>
  <c r="AH633" i="2"/>
  <c r="BK633" i="2"/>
  <c r="CJ633" i="2"/>
  <c r="CI631" i="2"/>
  <c r="BY631" i="2"/>
  <c r="CA633" i="2"/>
  <c r="U631" i="2"/>
  <c r="BG633" i="2"/>
  <c r="CC633" i="2"/>
  <c r="CG631" i="2"/>
  <c r="S631" i="2"/>
  <c r="AK631" i="2"/>
  <c r="CD633" i="2"/>
  <c r="BN633" i="2"/>
  <c r="BU631" i="2"/>
  <c r="AL633" i="2"/>
  <c r="BO631" i="2"/>
  <c r="AN631" i="2"/>
  <c r="H633" i="2"/>
  <c r="BU633" i="2"/>
  <c r="BJ631" i="2"/>
  <c r="AV633" i="2"/>
  <c r="AW633" i="2"/>
  <c r="AJ633" i="2"/>
  <c r="Q633" i="2"/>
  <c r="AX631" i="2"/>
  <c r="BB631" i="2"/>
  <c r="CN631" i="2"/>
  <c r="CD631" i="2"/>
  <c r="BK631" i="2"/>
  <c r="CO631" i="2"/>
  <c r="CL633" i="2"/>
  <c r="AL631" i="2"/>
  <c r="BB633" i="2"/>
  <c r="BJ633" i="2"/>
  <c r="X631" i="2"/>
  <c r="AA631" i="2"/>
  <c r="CA631" i="2"/>
  <c r="O633" i="2"/>
  <c r="BE631" i="2"/>
  <c r="BF633" i="2"/>
  <c r="AT633" i="2"/>
  <c r="AQ633" i="2"/>
  <c r="AE631" i="2"/>
  <c r="V631" i="2"/>
  <c r="F633" i="2"/>
  <c r="BM633" i="2"/>
  <c r="CE633" i="2"/>
  <c r="BI633" i="2"/>
  <c r="BX633" i="2"/>
  <c r="AG631" i="2"/>
  <c r="Z631" i="2"/>
  <c r="R633" i="2"/>
  <c r="BQ633" i="2"/>
  <c r="BT631" i="2"/>
  <c r="BV631" i="2"/>
  <c r="AB631" i="2"/>
  <c r="BH631" i="2"/>
  <c r="AC633" i="2"/>
  <c r="AY631" i="2"/>
  <c r="X633" i="2"/>
  <c r="BQ631" i="2"/>
  <c r="CC631" i="2"/>
  <c r="CB633" i="2"/>
  <c r="AD631" i="2"/>
  <c r="I633" i="2"/>
  <c r="AM633" i="2"/>
  <c r="BC631" i="2"/>
  <c r="G633" i="2"/>
  <c r="AO633" i="2"/>
  <c r="T631" i="2"/>
  <c r="CG633" i="2"/>
  <c r="AG633" i="2"/>
  <c r="BE633" i="2"/>
  <c r="BW631" i="2"/>
  <c r="CN633" i="2"/>
  <c r="BP633" i="2"/>
  <c r="AQ631" i="2"/>
  <c r="D631" i="2"/>
  <c r="BS631" i="2"/>
  <c r="R631" i="2"/>
  <c r="AS633" i="2"/>
  <c r="K631" i="2"/>
  <c r="E633" i="2"/>
  <c r="Y631" i="2"/>
  <c r="AV631" i="2"/>
  <c r="AE633" i="2"/>
  <c r="G631" i="2"/>
  <c r="BD633" i="2"/>
  <c r="H631" i="2"/>
  <c r="AD633" i="2"/>
  <c r="BY633" i="2"/>
  <c r="AP633" i="2"/>
  <c r="Y633" i="2"/>
  <c r="AI631" i="2"/>
  <c r="L633" i="2"/>
  <c r="AZ633" i="2"/>
  <c r="L631" i="2"/>
  <c r="AC603" i="2"/>
  <c r="J603" i="2"/>
  <c r="I603" i="2"/>
  <c r="BV603" i="2"/>
  <c r="AZ603" i="2"/>
  <c r="AD603" i="2"/>
  <c r="AY603" i="2"/>
  <c r="BR603" i="2"/>
  <c r="K603" i="2"/>
  <c r="BL603" i="2"/>
  <c r="S603" i="2"/>
  <c r="CI603" i="2"/>
  <c r="Z603" i="2"/>
  <c r="CF603" i="2"/>
  <c r="P603" i="2"/>
  <c r="BM603" i="2"/>
  <c r="BX603" i="2"/>
  <c r="AN603" i="2"/>
  <c r="BA603" i="2"/>
  <c r="CN603" i="2"/>
  <c r="BW603" i="2"/>
  <c r="BN603" i="2"/>
  <c r="AX603" i="2"/>
  <c r="W603" i="2"/>
  <c r="AW603" i="2"/>
  <c r="CC603" i="2"/>
  <c r="Y603" i="2"/>
  <c r="CA603" i="2"/>
  <c r="T603" i="2"/>
  <c r="BF603" i="2"/>
  <c r="BH603" i="2"/>
  <c r="G603" i="2"/>
  <c r="AR603" i="2"/>
  <c r="AU603" i="2"/>
  <c r="CL603" i="2"/>
  <c r="AJ603" i="2"/>
  <c r="AQ603" i="2"/>
  <c r="CE603" i="2"/>
  <c r="BD603" i="2"/>
  <c r="X603" i="2"/>
  <c r="AS603" i="2"/>
  <c r="AP603" i="2"/>
  <c r="N603" i="2"/>
  <c r="BJ603" i="2"/>
  <c r="BC603" i="2"/>
  <c r="CM603" i="2"/>
  <c r="AM603" i="2"/>
  <c r="AO603" i="2"/>
  <c r="BP603" i="2"/>
  <c r="BE603" i="2"/>
  <c r="AK603" i="2"/>
  <c r="CJ603" i="2"/>
  <c r="AI603" i="2"/>
  <c r="R603" i="2"/>
  <c r="AB603" i="2"/>
  <c r="L603" i="2"/>
  <c r="CD603" i="2"/>
  <c r="AT603" i="2"/>
  <c r="H603" i="2"/>
  <c r="D603" i="2"/>
  <c r="BO603" i="2"/>
  <c r="CB603" i="2"/>
  <c r="AE603" i="2"/>
  <c r="U603" i="2"/>
  <c r="BZ603" i="2"/>
  <c r="AV603" i="2"/>
  <c r="BI603" i="2"/>
  <c r="BG603" i="2"/>
  <c r="AL603" i="2"/>
  <c r="F603" i="2"/>
  <c r="O603" i="2"/>
  <c r="AH603" i="2"/>
  <c r="V603" i="2"/>
  <c r="CO603" i="2"/>
  <c r="CH603" i="2"/>
  <c r="M603" i="2"/>
  <c r="CK603" i="2"/>
  <c r="E603" i="2"/>
  <c r="CG603" i="2"/>
  <c r="AG603" i="2"/>
  <c r="BQ603" i="2"/>
  <c r="AA603" i="2"/>
  <c r="BK603" i="2"/>
  <c r="AF603" i="2"/>
  <c r="BT603" i="2"/>
  <c r="BY603" i="2"/>
  <c r="Q603" i="2"/>
  <c r="BS603" i="2"/>
  <c r="CP603" i="2"/>
  <c r="BU603" i="2"/>
  <c r="BB603" i="2"/>
  <c r="BX612" i="2"/>
  <c r="CD612" i="2"/>
  <c r="AD612" i="2"/>
  <c r="L612" i="2"/>
  <c r="AS612" i="2"/>
  <c r="AN612" i="2"/>
  <c r="AO612" i="2"/>
  <c r="P612" i="2"/>
  <c r="V612" i="2"/>
  <c r="AG612" i="2"/>
  <c r="AY612" i="2"/>
  <c r="BD612" i="2"/>
  <c r="AX612" i="2"/>
  <c r="BS612" i="2"/>
  <c r="AK612" i="2"/>
  <c r="AB612" i="2"/>
  <c r="BK612" i="2"/>
  <c r="U612" i="2"/>
  <c r="BZ612" i="2"/>
  <c r="AI612" i="2"/>
  <c r="CF612" i="2"/>
  <c r="H612" i="2"/>
  <c r="AA612" i="2"/>
  <c r="BG612" i="2"/>
  <c r="BY612" i="2"/>
  <c r="BE612" i="2"/>
  <c r="CL612" i="2"/>
  <c r="BU612" i="2"/>
  <c r="AQ612" i="2"/>
  <c r="BA612" i="2"/>
  <c r="BL612" i="2"/>
  <c r="M612" i="2"/>
  <c r="CO612" i="2"/>
  <c r="AR612" i="2"/>
  <c r="AF612" i="2"/>
  <c r="O612" i="2"/>
  <c r="G612" i="2"/>
  <c r="N612" i="2"/>
  <c r="CP612" i="2"/>
  <c r="T612" i="2"/>
  <c r="CJ612" i="2"/>
  <c r="AE612" i="2"/>
  <c r="AT612" i="2"/>
  <c r="BP612" i="2"/>
  <c r="CH612" i="2"/>
  <c r="AV612" i="2"/>
  <c r="W612" i="2"/>
  <c r="AM612" i="2"/>
  <c r="BT612" i="2"/>
  <c r="CM612" i="2"/>
  <c r="D612" i="2"/>
  <c r="BQ612" i="2"/>
  <c r="CB612" i="2"/>
  <c r="R612" i="2"/>
  <c r="Q612" i="2"/>
  <c r="CG612" i="2"/>
  <c r="BB612" i="2"/>
  <c r="J612" i="2"/>
  <c r="AL612" i="2"/>
  <c r="CK612" i="2"/>
  <c r="S612" i="2"/>
  <c r="BI612" i="2"/>
  <c r="X612" i="2"/>
  <c r="BR612" i="2"/>
  <c r="AP612" i="2"/>
  <c r="E612" i="2"/>
  <c r="Y612" i="2"/>
  <c r="BM612" i="2"/>
  <c r="BO612" i="2"/>
  <c r="Z612" i="2"/>
  <c r="CA612" i="2"/>
  <c r="AC612" i="2"/>
  <c r="AW612" i="2"/>
  <c r="BW612" i="2"/>
  <c r="AH612" i="2"/>
  <c r="AU612" i="2"/>
  <c r="K612" i="2"/>
  <c r="CE612" i="2"/>
  <c r="I612" i="2"/>
  <c r="CN612" i="2"/>
  <c r="BJ612" i="2"/>
  <c r="AZ612" i="2"/>
  <c r="BV612" i="2"/>
  <c r="CC612" i="2"/>
  <c r="BN612" i="2"/>
  <c r="BH612" i="2"/>
  <c r="AJ612" i="2"/>
  <c r="CI612" i="2"/>
  <c r="BC612" i="2"/>
  <c r="F612" i="2"/>
  <c r="BF612" i="2"/>
  <c r="AO630" i="2"/>
  <c r="CL630" i="2"/>
  <c r="BN630" i="2"/>
  <c r="BU630" i="2"/>
  <c r="BO630" i="2"/>
  <c r="O630" i="2"/>
  <c r="AV630" i="2"/>
  <c r="BH630" i="2"/>
  <c r="AY630" i="2"/>
  <c r="K630" i="2"/>
  <c r="AA630" i="2"/>
  <c r="L630" i="2"/>
  <c r="CM630" i="2"/>
  <c r="D630" i="2"/>
  <c r="BD630" i="2"/>
  <c r="CC630" i="2"/>
  <c r="BJ630" i="2"/>
  <c r="AK630" i="2"/>
  <c r="AD630" i="2"/>
  <c r="AR630" i="2"/>
  <c r="BC630" i="2"/>
  <c r="BT630" i="2"/>
  <c r="CE630" i="2"/>
  <c r="AX630" i="2"/>
  <c r="CN630" i="2"/>
  <c r="BA630" i="2"/>
  <c r="BI630" i="2"/>
  <c r="BQ630" i="2"/>
  <c r="CF630" i="2"/>
  <c r="BK630" i="2"/>
  <c r="BS630" i="2"/>
  <c r="BG630" i="2"/>
  <c r="AB630" i="2"/>
  <c r="AP630" i="2"/>
  <c r="AE630" i="2"/>
  <c r="H630" i="2"/>
  <c r="BV630" i="2"/>
  <c r="I630" i="2"/>
  <c r="CK630" i="2"/>
  <c r="AS630" i="2"/>
  <c r="CG630" i="2"/>
  <c r="CJ630" i="2"/>
  <c r="E630" i="2"/>
  <c r="CB630" i="2"/>
  <c r="CI630" i="2"/>
  <c r="X630" i="2"/>
  <c r="CO630" i="2"/>
  <c r="V630" i="2"/>
  <c r="W630" i="2"/>
  <c r="BE630" i="2"/>
  <c r="BR630" i="2"/>
  <c r="M630" i="2"/>
  <c r="AN630" i="2"/>
  <c r="CH630" i="2"/>
  <c r="Y630" i="2"/>
  <c r="AJ630" i="2"/>
  <c r="AW630" i="2"/>
  <c r="BL630" i="2"/>
  <c r="BF630" i="2"/>
  <c r="Z630" i="2"/>
  <c r="AM630" i="2"/>
  <c r="BX630" i="2"/>
  <c r="Q630" i="2"/>
  <c r="BW630" i="2"/>
  <c r="G630" i="2"/>
  <c r="J630" i="2"/>
  <c r="AT630" i="2"/>
  <c r="CD630" i="2"/>
  <c r="BP630" i="2"/>
  <c r="AZ630" i="2"/>
  <c r="AF630" i="2"/>
  <c r="AQ630" i="2"/>
  <c r="AL630" i="2"/>
  <c r="CA630" i="2"/>
  <c r="CP630" i="2"/>
  <c r="AH630" i="2"/>
  <c r="BY630" i="2"/>
  <c r="BB630" i="2"/>
  <c r="BZ630" i="2"/>
  <c r="AG630" i="2"/>
  <c r="AU630" i="2"/>
  <c r="F630" i="2"/>
  <c r="N630" i="2"/>
  <c r="R630" i="2"/>
  <c r="AC630" i="2"/>
  <c r="BM630" i="2"/>
  <c r="P630" i="2"/>
  <c r="U630" i="2"/>
  <c r="AI630" i="2"/>
  <c r="T630" i="2"/>
  <c r="S630" i="2"/>
  <c r="BN623" i="2" l="1"/>
  <c r="T623" i="2"/>
  <c r="CK623" i="2"/>
  <c r="BR623" i="2"/>
  <c r="M623" i="2"/>
  <c r="M625" i="2" s="1"/>
  <c r="CP623" i="2"/>
  <c r="CP625" i="2" s="1"/>
  <c r="BA623" i="2"/>
  <c r="BA625" i="2" s="1"/>
  <c r="BA660" i="2" s="1"/>
  <c r="CO623" i="2"/>
  <c r="CO625" i="2" s="1"/>
  <c r="R623" i="2"/>
  <c r="R625" i="2" s="1"/>
  <c r="BO623" i="2"/>
  <c r="BO625" i="2" s="1"/>
  <c r="BO660" i="2" s="1"/>
  <c r="BS623" i="2"/>
  <c r="BS625" i="2" s="1"/>
  <c r="BS660" i="2" s="1"/>
  <c r="AP623" i="2"/>
  <c r="AP625" i="2" s="1"/>
  <c r="AP660" i="2" s="1"/>
  <c r="AA623" i="2"/>
  <c r="AA625" i="2" s="1"/>
  <c r="AA660" i="2" s="1"/>
  <c r="AG623" i="2"/>
  <c r="CL623" i="2"/>
  <c r="CL625" i="2" s="1"/>
  <c r="BW623" i="2"/>
  <c r="BW625" i="2" s="1"/>
  <c r="BW660" i="2" s="1"/>
  <c r="AL623" i="2"/>
  <c r="AL625" i="2" s="1"/>
  <c r="AL660" i="2" s="1"/>
  <c r="X623" i="2"/>
  <c r="AN623" i="2"/>
  <c r="AN625" i="2" s="1"/>
  <c r="AN660" i="2" s="1"/>
  <c r="AC623" i="2"/>
  <c r="AC625" i="2" s="1"/>
  <c r="AC660" i="2" s="1"/>
  <c r="AS623" i="2"/>
  <c r="AS625" i="2" s="1"/>
  <c r="AS660" i="2" s="1"/>
  <c r="BK623" i="2"/>
  <c r="BK625" i="2" s="1"/>
  <c r="BK660" i="2" s="1"/>
  <c r="BZ623" i="2"/>
  <c r="BZ625" i="2" s="1"/>
  <c r="BZ660" i="2" s="1"/>
  <c r="BU623" i="2"/>
  <c r="BU625" i="2" s="1"/>
  <c r="BU660" i="2" s="1"/>
  <c r="AF623" i="2"/>
  <c r="AF625" i="2" s="1"/>
  <c r="AF660" i="2" s="1"/>
  <c r="U623" i="2"/>
  <c r="BB623" i="2"/>
  <c r="BB625" i="2" s="1"/>
  <c r="BB660" i="2" s="1"/>
  <c r="AX623" i="2"/>
  <c r="AX625" i="2" s="1"/>
  <c r="AX660" i="2" s="1"/>
  <c r="AK623" i="2"/>
  <c r="CN623" i="2"/>
  <c r="CN625" i="2" s="1"/>
  <c r="CH623" i="2"/>
  <c r="CH625" i="2" s="1"/>
  <c r="P623" i="2"/>
  <c r="P625" i="2" s="1"/>
  <c r="AM623" i="2"/>
  <c r="AM625" i="2" s="1"/>
  <c r="AM660" i="2" s="1"/>
  <c r="Y623" i="2"/>
  <c r="Y625" i="2" s="1"/>
  <c r="Y660" i="2" s="1"/>
  <c r="CG623" i="2"/>
  <c r="CG625" i="2" s="1"/>
  <c r="CM623" i="2"/>
  <c r="CM625" i="2" s="1"/>
  <c r="BZ632" i="2"/>
  <c r="BZ634" i="2" s="1"/>
  <c r="BZ661" i="2" s="1"/>
  <c r="CF623" i="2"/>
  <c r="CF625" i="2" s="1"/>
  <c r="BJ623" i="2"/>
  <c r="BJ625" i="2" s="1"/>
  <c r="BJ660" i="2" s="1"/>
  <c r="D623" i="2"/>
  <c r="D625" i="2" s="1"/>
  <c r="BP623" i="2"/>
  <c r="BP625" i="2" s="1"/>
  <c r="BP660" i="2" s="1"/>
  <c r="O623" i="2"/>
  <c r="O625" i="2" s="1"/>
  <c r="CA623" i="2"/>
  <c r="CA625" i="2" s="1"/>
  <c r="Z623" i="2"/>
  <c r="Z625" i="2" s="1"/>
  <c r="Z660" i="2" s="1"/>
  <c r="G623" i="2"/>
  <c r="G625" i="2" s="1"/>
  <c r="BL623" i="2"/>
  <c r="BL625" i="2" s="1"/>
  <c r="BL660" i="2" s="1"/>
  <c r="F623" i="2"/>
  <c r="F625" i="2" s="1"/>
  <c r="CE623" i="2"/>
  <c r="CE625" i="2" s="1"/>
  <c r="AY623" i="2"/>
  <c r="AY625" i="2" s="1"/>
  <c r="AY660" i="2" s="1"/>
  <c r="J623" i="2"/>
  <c r="J625" i="2" s="1"/>
  <c r="BT623" i="2"/>
  <c r="BT625" i="2" s="1"/>
  <c r="BT660" i="2" s="1"/>
  <c r="H623" i="2"/>
  <c r="H625" i="2" s="1"/>
  <c r="BM623" i="2"/>
  <c r="BM625" i="2" s="1"/>
  <c r="BM660" i="2" s="1"/>
  <c r="BE623" i="2"/>
  <c r="BE625" i="2" s="1"/>
  <c r="BE660" i="2" s="1"/>
  <c r="Q623" i="2"/>
  <c r="Q625" i="2" s="1"/>
  <c r="AE623" i="2"/>
  <c r="AE625" i="2" s="1"/>
  <c r="AE660" i="2" s="1"/>
  <c r="AJ623" i="2"/>
  <c r="AJ625" i="2" s="1"/>
  <c r="AJ660" i="2" s="1"/>
  <c r="CB623" i="2"/>
  <c r="CB625" i="2" s="1"/>
  <c r="BD623" i="2"/>
  <c r="BD625" i="2" s="1"/>
  <c r="BD660" i="2" s="1"/>
  <c r="AO623" i="2"/>
  <c r="AO625" i="2" s="1"/>
  <c r="AO660" i="2" s="1"/>
  <c r="CJ623" i="2"/>
  <c r="CJ625" i="2" s="1"/>
  <c r="AD623" i="2"/>
  <c r="BI623" i="2"/>
  <c r="BI625" i="2" s="1"/>
  <c r="BI660" i="2" s="1"/>
  <c r="AI623" i="2"/>
  <c r="AI625" i="2" s="1"/>
  <c r="AI660" i="2" s="1"/>
  <c r="BQ623" i="2"/>
  <c r="BQ625" i="2" s="1"/>
  <c r="BQ660" i="2" s="1"/>
  <c r="V623" i="2"/>
  <c r="V625" i="2" s="1"/>
  <c r="V660" i="2" s="1"/>
  <c r="BC623" i="2"/>
  <c r="BC625" i="2" s="1"/>
  <c r="BC660" i="2" s="1"/>
  <c r="L623" i="2"/>
  <c r="L625" i="2" s="1"/>
  <c r="AT623" i="2"/>
  <c r="AT625" i="2" s="1"/>
  <c r="AT660" i="2" s="1"/>
  <c r="AU623" i="2"/>
  <c r="AU625" i="2" s="1"/>
  <c r="AU660" i="2" s="1"/>
  <c r="E623" i="2"/>
  <c r="E625" i="2" s="1"/>
  <c r="BV623" i="2"/>
  <c r="BV625" i="2" s="1"/>
  <c r="BV660" i="2" s="1"/>
  <c r="N623" i="2"/>
  <c r="N625" i="2" s="1"/>
  <c r="CG605" i="2"/>
  <c r="CG607" i="2" s="1"/>
  <c r="AV605" i="2"/>
  <c r="AV607" i="2" s="1"/>
  <c r="AV658" i="2" s="1"/>
  <c r="BL605" i="2"/>
  <c r="BL607" i="2" s="1"/>
  <c r="BL658" i="2" s="1"/>
  <c r="AI605" i="2"/>
  <c r="AI607" i="2" s="1"/>
  <c r="AI658" i="2" s="1"/>
  <c r="AM605" i="2"/>
  <c r="AM607" i="2" s="1"/>
  <c r="AM658" i="2" s="1"/>
  <c r="CJ632" i="2"/>
  <c r="CJ634" i="2" s="1"/>
  <c r="E632" i="2"/>
  <c r="E634" i="2" s="1"/>
  <c r="D632" i="2"/>
  <c r="D634" i="2" s="1"/>
  <c r="AJ632" i="2"/>
  <c r="AJ634" i="2" s="1"/>
  <c r="AJ661" i="2" s="1"/>
  <c r="BU632" i="2"/>
  <c r="BU634" i="2" s="1"/>
  <c r="BU661" i="2" s="1"/>
  <c r="AD632" i="2"/>
  <c r="AD634" i="2" s="1"/>
  <c r="AD661" i="2" s="1"/>
  <c r="Z632" i="2"/>
  <c r="Z634" i="2" s="1"/>
  <c r="Z661" i="2" s="1"/>
  <c r="BW632" i="2"/>
  <c r="BW634" i="2" s="1"/>
  <c r="BW661" i="2" s="1"/>
  <c r="AI632" i="2"/>
  <c r="AI634" i="2" s="1"/>
  <c r="AI661" i="2" s="1"/>
  <c r="CH632" i="2"/>
  <c r="CH634" i="2" s="1"/>
  <c r="BY632" i="2"/>
  <c r="BY634" i="2" s="1"/>
  <c r="BY661" i="2" s="1"/>
  <c r="W632" i="2"/>
  <c r="W634" i="2" s="1"/>
  <c r="W661" i="2" s="1"/>
  <c r="Q632" i="2"/>
  <c r="Q634" i="2" s="1"/>
  <c r="N632" i="2"/>
  <c r="N634" i="2" s="1"/>
  <c r="AN632" i="2"/>
  <c r="AN634" i="2" s="1"/>
  <c r="AN661" i="2" s="1"/>
  <c r="BS632" i="2"/>
  <c r="BS634" i="2" s="1"/>
  <c r="BS661" i="2" s="1"/>
  <c r="CG632" i="2"/>
  <c r="CG634" i="2" s="1"/>
  <c r="AK632" i="2"/>
  <c r="AK634" i="2" s="1"/>
  <c r="AK661" i="2" s="1"/>
  <c r="AA632" i="2"/>
  <c r="AA634" i="2" s="1"/>
  <c r="AA661" i="2" s="1"/>
  <c r="BA632" i="2"/>
  <c r="BA634" i="2" s="1"/>
  <c r="BA661" i="2" s="1"/>
  <c r="AE632" i="2"/>
  <c r="AE634" i="2" s="1"/>
  <c r="AE661" i="2" s="1"/>
  <c r="U632" i="2"/>
  <c r="U634" i="2" s="1"/>
  <c r="U661" i="2" s="1"/>
  <c r="BF632" i="2"/>
  <c r="BF634" i="2" s="1"/>
  <c r="BF661" i="2" s="1"/>
  <c r="L632" i="2"/>
  <c r="L634" i="2" s="1"/>
  <c r="F632" i="2"/>
  <c r="F634" i="2" s="1"/>
  <c r="CO632" i="2"/>
  <c r="CO634" i="2" s="1"/>
  <c r="AH632" i="2"/>
  <c r="AH634" i="2" s="1"/>
  <c r="AH661" i="2" s="1"/>
  <c r="Y632" i="2"/>
  <c r="Y634" i="2" s="1"/>
  <c r="Y661" i="2" s="1"/>
  <c r="P632" i="2"/>
  <c r="P634" i="2" s="1"/>
  <c r="CM632" i="2"/>
  <c r="CM634" i="2" s="1"/>
  <c r="BM632" i="2"/>
  <c r="BM634" i="2" s="1"/>
  <c r="BM661" i="2" s="1"/>
  <c r="V632" i="2"/>
  <c r="T632" i="2"/>
  <c r="T634" i="2" s="1"/>
  <c r="T661" i="2" s="1"/>
  <c r="CI632" i="2"/>
  <c r="CI634" i="2" s="1"/>
  <c r="AQ632" i="2"/>
  <c r="AQ634" i="2" s="1"/>
  <c r="AQ661" i="2" s="1"/>
  <c r="BQ632" i="2"/>
  <c r="BQ634" i="2" s="1"/>
  <c r="BQ661" i="2" s="1"/>
  <c r="AG632" i="2"/>
  <c r="AG634" i="2" s="1"/>
  <c r="AG661" i="2" s="1"/>
  <c r="CB632" i="2"/>
  <c r="CB634" i="2" s="1"/>
  <c r="CF632" i="2"/>
  <c r="CF634" i="2" s="1"/>
  <c r="CL632" i="2"/>
  <c r="CL634" i="2" s="1"/>
  <c r="G632" i="2"/>
  <c r="G634" i="2" s="1"/>
  <c r="H632" i="2"/>
  <c r="H634" i="2" s="1"/>
  <c r="AC632" i="2"/>
  <c r="AC634" i="2" s="1"/>
  <c r="AC661" i="2" s="1"/>
  <c r="BR632" i="2"/>
  <c r="BR634" i="2" s="1"/>
  <c r="BR661" i="2" s="1"/>
  <c r="BT632" i="2"/>
  <c r="BT634" i="2" s="1"/>
  <c r="BT661" i="2" s="1"/>
  <c r="BB632" i="2"/>
  <c r="BB634" i="2" s="1"/>
  <c r="BB661" i="2" s="1"/>
  <c r="M632" i="2"/>
  <c r="M634" i="2" s="1"/>
  <c r="R632" i="2"/>
  <c r="R634" i="2" s="1"/>
  <c r="AO632" i="2"/>
  <c r="AO634" i="2" s="1"/>
  <c r="AO661" i="2" s="1"/>
  <c r="AZ632" i="2"/>
  <c r="AZ634" i="2" s="1"/>
  <c r="AZ661" i="2" s="1"/>
  <c r="CA632" i="2"/>
  <c r="CA634" i="2" s="1"/>
  <c r="O632" i="2"/>
  <c r="O634" i="2" s="1"/>
  <c r="BJ632" i="2"/>
  <c r="BJ634" i="2" s="1"/>
  <c r="BJ661" i="2" s="1"/>
  <c r="BH632" i="2"/>
  <c r="BH634" i="2" s="1"/>
  <c r="BH661" i="2" s="1"/>
  <c r="X632" i="2"/>
  <c r="X634" i="2" s="1"/>
  <c r="X661" i="2" s="1"/>
  <c r="AL632" i="2"/>
  <c r="AL634" i="2" s="1"/>
  <c r="AL661" i="2" s="1"/>
  <c r="BX632" i="2"/>
  <c r="BX634" i="2" s="1"/>
  <c r="BX661" i="2" s="1"/>
  <c r="AR632" i="2"/>
  <c r="AR634" i="2" s="1"/>
  <c r="AR661" i="2" s="1"/>
  <c r="BL632" i="2"/>
  <c r="BL634" i="2" s="1"/>
  <c r="BL661" i="2" s="1"/>
  <c r="CC632" i="2"/>
  <c r="CC634" i="2" s="1"/>
  <c r="AM632" i="2"/>
  <c r="AM634" i="2" s="1"/>
  <c r="AM661" i="2" s="1"/>
  <c r="AF632" i="2"/>
  <c r="AF634" i="2" s="1"/>
  <c r="AF661" i="2" s="1"/>
  <c r="AW632" i="2"/>
  <c r="AW634" i="2" s="1"/>
  <c r="AW661" i="2" s="1"/>
  <c r="AY632" i="2"/>
  <c r="AY634" i="2" s="1"/>
  <c r="AY661" i="2" s="1"/>
  <c r="BP632" i="2"/>
  <c r="BP634" i="2" s="1"/>
  <c r="BP661" i="2" s="1"/>
  <c r="BG632" i="2"/>
  <c r="BG634" i="2" s="1"/>
  <c r="BG661" i="2" s="1"/>
  <c r="BN632" i="2"/>
  <c r="BN634" i="2" s="1"/>
  <c r="BN661" i="2" s="1"/>
  <c r="AS632" i="2"/>
  <c r="AS634" i="2" s="1"/>
  <c r="AS661" i="2" s="1"/>
  <c r="AX632" i="2"/>
  <c r="AX634" i="2" s="1"/>
  <c r="AX661" i="2" s="1"/>
  <c r="AB632" i="2"/>
  <c r="AB634" i="2" s="1"/>
  <c r="AB661" i="2" s="1"/>
  <c r="I632" i="2"/>
  <c r="I634" i="2" s="1"/>
  <c r="J632" i="2"/>
  <c r="J634" i="2" s="1"/>
  <c r="BI632" i="2"/>
  <c r="BI634" i="2" s="1"/>
  <c r="BI661" i="2" s="1"/>
  <c r="CE632" i="2"/>
  <c r="CE634" i="2" s="1"/>
  <c r="K632" i="2"/>
  <c r="K634" i="2" s="1"/>
  <c r="CN632" i="2"/>
  <c r="CN634" i="2" s="1"/>
  <c r="AT632" i="2"/>
  <c r="AT634" i="2" s="1"/>
  <c r="AT661" i="2" s="1"/>
  <c r="AU632" i="2"/>
  <c r="AU634" i="2" s="1"/>
  <c r="AU661" i="2" s="1"/>
  <c r="CK632" i="2"/>
  <c r="CK634" i="2" s="1"/>
  <c r="BV632" i="2"/>
  <c r="BV634" i="2" s="1"/>
  <c r="BV661" i="2" s="1"/>
  <c r="S632" i="2"/>
  <c r="S634" i="2" s="1"/>
  <c r="S661" i="2" s="1"/>
  <c r="BK632" i="2"/>
  <c r="BK634" i="2" s="1"/>
  <c r="BK661" i="2" s="1"/>
  <c r="CP632" i="2"/>
  <c r="CP634" i="2" s="1"/>
  <c r="BC632" i="2"/>
  <c r="BC634" i="2" s="1"/>
  <c r="BC661" i="2" s="1"/>
  <c r="BO632" i="2"/>
  <c r="BO634" i="2" s="1"/>
  <c r="BO661" i="2" s="1"/>
  <c r="CD632" i="2"/>
  <c r="CD634" i="2" s="1"/>
  <c r="BE632" i="2"/>
  <c r="BE634" i="2" s="1"/>
  <c r="BE661" i="2" s="1"/>
  <c r="AV632" i="2"/>
  <c r="AV634" i="2" s="1"/>
  <c r="AV661" i="2" s="1"/>
  <c r="BD632" i="2"/>
  <c r="BD634" i="2" s="1"/>
  <c r="BD661" i="2" s="1"/>
  <c r="CI623" i="2"/>
  <c r="CI625" i="2" s="1"/>
  <c r="BF623" i="2"/>
  <c r="BF625" i="2" s="1"/>
  <c r="BF660" i="2" s="1"/>
  <c r="BG623" i="2"/>
  <c r="BG625" i="2" s="1"/>
  <c r="BG660" i="2" s="1"/>
  <c r="CD623" i="2"/>
  <c r="CD625" i="2" s="1"/>
  <c r="BE607" i="2"/>
  <c r="BE658" i="2" s="1"/>
  <c r="BD605" i="2"/>
  <c r="BD607" i="2" s="1"/>
  <c r="BD658" i="2" s="1"/>
  <c r="BS605" i="2"/>
  <c r="BS607" i="2" s="1"/>
  <c r="BS658" i="2" s="1"/>
  <c r="L605" i="2"/>
  <c r="L607" i="2" s="1"/>
  <c r="CE605" i="2"/>
  <c r="CE607" i="2" s="1"/>
  <c r="AN605" i="2"/>
  <c r="AN607" i="2" s="1"/>
  <c r="AN658" i="2" s="1"/>
  <c r="X625" i="2"/>
  <c r="X660" i="2" s="1"/>
  <c r="V605" i="2"/>
  <c r="V607" i="2" s="1"/>
  <c r="V658" i="2" s="1"/>
  <c r="D605" i="2"/>
  <c r="D607" i="2" s="1"/>
  <c r="AD605" i="2"/>
  <c r="AD607" i="2" s="1"/>
  <c r="AD658" i="2" s="1"/>
  <c r="BQ605" i="2"/>
  <c r="BQ607" i="2" s="1"/>
  <c r="BQ658" i="2" s="1"/>
  <c r="BX605" i="2"/>
  <c r="BX607" i="2" s="1"/>
  <c r="BX658" i="2" s="1"/>
  <c r="BP605" i="2"/>
  <c r="BP607" i="2" s="1"/>
  <c r="BP658" i="2" s="1"/>
  <c r="AP605" i="2"/>
  <c r="AP607" i="2" s="1"/>
  <c r="AP658" i="2" s="1"/>
  <c r="U605" i="2"/>
  <c r="U607" i="2" s="1"/>
  <c r="U658" i="2" s="1"/>
  <c r="BJ605" i="2"/>
  <c r="BJ607" i="2" s="1"/>
  <c r="BJ658" i="2" s="1"/>
  <c r="BR605" i="2"/>
  <c r="BR607" i="2" s="1"/>
  <c r="BR658" i="2" s="1"/>
  <c r="CA605" i="2"/>
  <c r="CA607" i="2" s="1"/>
  <c r="AX605" i="2"/>
  <c r="AX607" i="2" s="1"/>
  <c r="AX658" i="2" s="1"/>
  <c r="M605" i="2"/>
  <c r="M607" i="2" s="1"/>
  <c r="BZ605" i="2"/>
  <c r="BZ607" i="2" s="1"/>
  <c r="BZ658" i="2" s="1"/>
  <c r="E605" i="2"/>
  <c r="E607" i="2" s="1"/>
  <c r="Z605" i="2"/>
  <c r="Z607" i="2" s="1"/>
  <c r="Z658" i="2" s="1"/>
  <c r="F605" i="2"/>
  <c r="F607" i="2" s="1"/>
  <c r="AL605" i="2"/>
  <c r="AL607" i="2" s="1"/>
  <c r="AL658" i="2" s="1"/>
  <c r="BC605" i="2"/>
  <c r="BC607" i="2" s="1"/>
  <c r="BC658" i="2" s="1"/>
  <c r="CP605" i="2"/>
  <c r="CP607" i="2" s="1"/>
  <c r="BV605" i="2"/>
  <c r="BV607" i="2" s="1"/>
  <c r="BV658" i="2" s="1"/>
  <c r="BT605" i="2"/>
  <c r="BT607" i="2" s="1"/>
  <c r="BT658" i="2" s="1"/>
  <c r="AY605" i="2"/>
  <c r="AY607" i="2" s="1"/>
  <c r="AY658" i="2" s="1"/>
  <c r="AQ605" i="2"/>
  <c r="AQ607" i="2" s="1"/>
  <c r="AQ658" i="2" s="1"/>
  <c r="CK605" i="2"/>
  <c r="CK607" i="2" s="1"/>
  <c r="BY605" i="2"/>
  <c r="BY607" i="2" s="1"/>
  <c r="BY658" i="2" s="1"/>
  <c r="CM605" i="2"/>
  <c r="CM607" i="2" s="1"/>
  <c r="AF605" i="2"/>
  <c r="AF607" i="2" s="1"/>
  <c r="AF658" i="2" s="1"/>
  <c r="U625" i="2"/>
  <c r="U660" i="2" s="1"/>
  <c r="AG625" i="2"/>
  <c r="AG660" i="2" s="1"/>
  <c r="AU605" i="2"/>
  <c r="AU607" i="2" s="1"/>
  <c r="AU658" i="2" s="1"/>
  <c r="BB605" i="2"/>
  <c r="BB607" i="2" s="1"/>
  <c r="BB658" i="2" s="1"/>
  <c r="AQ623" i="2"/>
  <c r="AQ625" i="2" s="1"/>
  <c r="AQ660" i="2" s="1"/>
  <c r="AA594" i="2"/>
  <c r="BL594" i="2"/>
  <c r="J594" i="2"/>
  <c r="BK594" i="2"/>
  <c r="AW594" i="2"/>
  <c r="AU594" i="2"/>
  <c r="AG594" i="2"/>
  <c r="O594" i="2"/>
  <c r="CN594" i="2"/>
  <c r="CD594" i="2"/>
  <c r="CC594" i="2"/>
  <c r="AE594" i="2"/>
  <c r="AQ594" i="2"/>
  <c r="CB594" i="2"/>
  <c r="Z594" i="2"/>
  <c r="CE594" i="2"/>
  <c r="BU594" i="2"/>
  <c r="BO594" i="2"/>
  <c r="BE594" i="2"/>
  <c r="AI594" i="2"/>
  <c r="Y594" i="2"/>
  <c r="BS594" i="2"/>
  <c r="BZ594" i="2"/>
  <c r="N594" i="2"/>
  <c r="BG594" i="2"/>
  <c r="E594" i="2"/>
  <c r="AP594" i="2"/>
  <c r="L594" i="2"/>
  <c r="CO594" i="2"/>
  <c r="CI594" i="2"/>
  <c r="BY594" i="2"/>
  <c r="BC594" i="2"/>
  <c r="AS594" i="2"/>
  <c r="BP594" i="2"/>
  <c r="AY594" i="2"/>
  <c r="BH594" i="2"/>
  <c r="G594" i="2"/>
  <c r="K594" i="2"/>
  <c r="CG594" i="2"/>
  <c r="AC594" i="2"/>
  <c r="M594" i="2"/>
  <c r="BT594" i="2"/>
  <c r="Q594" i="2"/>
  <c r="BW594" i="2"/>
  <c r="U594" i="2"/>
  <c r="BF594" i="2"/>
  <c r="AJ594" i="2"/>
  <c r="V594" i="2"/>
  <c r="T594" i="2"/>
  <c r="F594" i="2"/>
  <c r="CA594" i="2"/>
  <c r="BM594" i="2"/>
  <c r="BI594" i="2"/>
  <c r="AR594" i="2"/>
  <c r="P594" i="2"/>
  <c r="BN594" i="2"/>
  <c r="AB594" i="2"/>
  <c r="AH594" i="2"/>
  <c r="CM594" i="2"/>
  <c r="AK594" i="2"/>
  <c r="BV594" i="2"/>
  <c r="BD594" i="2"/>
  <c r="AT594" i="2"/>
  <c r="AN594" i="2"/>
  <c r="AD594" i="2"/>
  <c r="H594" i="2"/>
  <c r="CK594" i="2"/>
  <c r="BB594" i="2"/>
  <c r="AO594" i="2"/>
  <c r="BA594" i="2"/>
  <c r="CL594" i="2"/>
  <c r="BX594" i="2"/>
  <c r="AX594" i="2"/>
  <c r="R594" i="2"/>
  <c r="AV594" i="2"/>
  <c r="AM594" i="2"/>
  <c r="W594" i="2"/>
  <c r="CP594" i="2"/>
  <c r="BJ594" i="2"/>
  <c r="CJ594" i="2"/>
  <c r="AF594" i="2"/>
  <c r="BQ594" i="2"/>
  <c r="S594" i="2"/>
  <c r="I594" i="2"/>
  <c r="CH594" i="2"/>
  <c r="CF594" i="2"/>
  <c r="BR594" i="2"/>
  <c r="AZ594" i="2"/>
  <c r="AL594" i="2"/>
  <c r="D594" i="2"/>
  <c r="X594" i="2"/>
  <c r="T625" i="2"/>
  <c r="T660" i="2" s="1"/>
  <c r="BR625" i="2"/>
  <c r="BR660" i="2" s="1"/>
  <c r="CK625" i="2"/>
  <c r="CN605" i="2"/>
  <c r="CN607" i="2" s="1"/>
  <c r="AZ623" i="2"/>
  <c r="AZ625" i="2" s="1"/>
  <c r="AZ660" i="2" s="1"/>
  <c r="AP634" i="2"/>
  <c r="AP661" i="2" s="1"/>
  <c r="V595" i="2"/>
  <c r="AS597" i="2"/>
  <c r="CD595" i="2"/>
  <c r="BT597" i="2"/>
  <c r="BA597" i="2"/>
  <c r="CJ595" i="2"/>
  <c r="AF597" i="2"/>
  <c r="U597" i="2"/>
  <c r="X595" i="2"/>
  <c r="BB595" i="2"/>
  <c r="AP595" i="2"/>
  <c r="CP597" i="2"/>
  <c r="AX595" i="2"/>
  <c r="BI597" i="2"/>
  <c r="AW595" i="2"/>
  <c r="CL595" i="2"/>
  <c r="E597" i="2"/>
  <c r="CB595" i="2"/>
  <c r="L595" i="2"/>
  <c r="CA595" i="2"/>
  <c r="P595" i="2"/>
  <c r="AR597" i="2"/>
  <c r="BU595" i="2"/>
  <c r="BZ595" i="2"/>
  <c r="J597" i="2"/>
  <c r="AR595" i="2"/>
  <c r="Q595" i="2"/>
  <c r="CE597" i="2"/>
  <c r="W595" i="2"/>
  <c r="J595" i="2"/>
  <c r="CH597" i="2"/>
  <c r="BV595" i="2"/>
  <c r="F597" i="2"/>
  <c r="AQ597" i="2"/>
  <c r="AI597" i="2"/>
  <c r="AQ595" i="2"/>
  <c r="BM595" i="2"/>
  <c r="BN595" i="2"/>
  <c r="AL595" i="2"/>
  <c r="CO595" i="2"/>
  <c r="AK595" i="2"/>
  <c r="BL597" i="2"/>
  <c r="AS595" i="2"/>
  <c r="CB597" i="2"/>
  <c r="BX595" i="2"/>
  <c r="Y595" i="2"/>
  <c r="G597" i="2"/>
  <c r="BI595" i="2"/>
  <c r="AD597" i="2"/>
  <c r="AA597" i="2"/>
  <c r="CH595" i="2"/>
  <c r="Z595" i="2"/>
  <c r="BD597" i="2"/>
  <c r="BS595" i="2"/>
  <c r="AA595" i="2"/>
  <c r="BO597" i="2"/>
  <c r="CA597" i="2"/>
  <c r="K597" i="2"/>
  <c r="BW595" i="2"/>
  <c r="H595" i="2"/>
  <c r="CE595" i="2"/>
  <c r="AO597" i="2"/>
  <c r="CC597" i="2"/>
  <c r="L597" i="2"/>
  <c r="Y597" i="2"/>
  <c r="K595" i="2"/>
  <c r="CG597" i="2"/>
  <c r="AZ597" i="2"/>
  <c r="AH597" i="2"/>
  <c r="AY597" i="2"/>
  <c r="S595" i="2"/>
  <c r="CD597" i="2"/>
  <c r="D595" i="2"/>
  <c r="CG595" i="2"/>
  <c r="Q597" i="2"/>
  <c r="BF595" i="2"/>
  <c r="AK597" i="2"/>
  <c r="AU597" i="2"/>
  <c r="BC597" i="2"/>
  <c r="AN595" i="2"/>
  <c r="F595" i="2"/>
  <c r="CJ597" i="2"/>
  <c r="BC595" i="2"/>
  <c r="BU597" i="2"/>
  <c r="S597" i="2"/>
  <c r="BX597" i="2"/>
  <c r="M597" i="2"/>
  <c r="AV595" i="2"/>
  <c r="AC595" i="2"/>
  <c r="BG597" i="2"/>
  <c r="Z597" i="2"/>
  <c r="AW597" i="2"/>
  <c r="CF595" i="2"/>
  <c r="BP597" i="2"/>
  <c r="AJ597" i="2"/>
  <c r="BR595" i="2"/>
  <c r="BV597" i="2"/>
  <c r="CN597" i="2"/>
  <c r="BS597" i="2"/>
  <c r="AJ595" i="2"/>
  <c r="BH597" i="2"/>
  <c r="AP597" i="2"/>
  <c r="BK597" i="2"/>
  <c r="BN597" i="2"/>
  <c r="AE595" i="2"/>
  <c r="CI597" i="2"/>
  <c r="BT595" i="2"/>
  <c r="O597" i="2"/>
  <c r="AX597" i="2"/>
  <c r="CF597" i="2"/>
  <c r="BP595" i="2"/>
  <c r="CK597" i="2"/>
  <c r="BW597" i="2"/>
  <c r="CK595" i="2"/>
  <c r="AT597" i="2"/>
  <c r="AG597" i="2"/>
  <c r="AT595" i="2"/>
  <c r="BK595" i="2"/>
  <c r="AZ595" i="2"/>
  <c r="CI595" i="2"/>
  <c r="BO595" i="2"/>
  <c r="BJ597" i="2"/>
  <c r="BH595" i="2"/>
  <c r="AM595" i="2"/>
  <c r="I595" i="2"/>
  <c r="T595" i="2"/>
  <c r="CC595" i="2"/>
  <c r="AF595" i="2"/>
  <c r="C392" i="2"/>
  <c r="BK596" i="2" s="1"/>
  <c r="AD595" i="2"/>
  <c r="BZ597" i="2"/>
  <c r="AI595" i="2"/>
  <c r="AN597" i="2"/>
  <c r="M595" i="2"/>
  <c r="BG595" i="2"/>
  <c r="T597" i="2"/>
  <c r="N597" i="2"/>
  <c r="AO595" i="2"/>
  <c r="AY595" i="2"/>
  <c r="BB597" i="2"/>
  <c r="BY595" i="2"/>
  <c r="AE597" i="2"/>
  <c r="AH595" i="2"/>
  <c r="AB597" i="2"/>
  <c r="U595" i="2"/>
  <c r="BQ595" i="2"/>
  <c r="BR597" i="2"/>
  <c r="AG595" i="2"/>
  <c r="AC597" i="2"/>
  <c r="R597" i="2"/>
  <c r="V597" i="2"/>
  <c r="R595" i="2"/>
  <c r="E595" i="2"/>
  <c r="AL597" i="2"/>
  <c r="CN595" i="2"/>
  <c r="N595" i="2"/>
  <c r="AV597" i="2"/>
  <c r="BE595" i="2"/>
  <c r="AM597" i="2"/>
  <c r="I597" i="2"/>
  <c r="BD595" i="2"/>
  <c r="AB595" i="2"/>
  <c r="CP595" i="2"/>
  <c r="BE597" i="2"/>
  <c r="O595" i="2"/>
  <c r="BL595" i="2"/>
  <c r="G595" i="2"/>
  <c r="P597" i="2"/>
  <c r="CM597" i="2"/>
  <c r="AU595" i="2"/>
  <c r="H597" i="2"/>
  <c r="BY597" i="2"/>
  <c r="BF597" i="2"/>
  <c r="D597" i="2"/>
  <c r="W597" i="2"/>
  <c r="BA595" i="2"/>
  <c r="BJ595" i="2"/>
  <c r="CM595" i="2"/>
  <c r="CO597" i="2"/>
  <c r="BM597" i="2"/>
  <c r="BQ597" i="2"/>
  <c r="CL597" i="2"/>
  <c r="X597" i="2"/>
  <c r="C55" i="11"/>
  <c r="BH605" i="2"/>
  <c r="BH607" i="2" s="1"/>
  <c r="BH658" i="2" s="1"/>
  <c r="Q605" i="2"/>
  <c r="Q607" i="2" s="1"/>
  <c r="AR605" i="2"/>
  <c r="AR607" i="2" s="1"/>
  <c r="AR658" i="2" s="1"/>
  <c r="BI605" i="2"/>
  <c r="BI607" i="2" s="1"/>
  <c r="BI658" i="2" s="1"/>
  <c r="BA605" i="2"/>
  <c r="BA607" i="2" s="1"/>
  <c r="BA658" i="2" s="1"/>
  <c r="AJ605" i="2"/>
  <c r="AJ607" i="2" s="1"/>
  <c r="AJ658" i="2" s="1"/>
  <c r="W605" i="2"/>
  <c r="W607" i="2" s="1"/>
  <c r="W658" i="2" s="1"/>
  <c r="AB605" i="2"/>
  <c r="AB607" i="2" s="1"/>
  <c r="AB658" i="2" s="1"/>
  <c r="AW605" i="2"/>
  <c r="AW607" i="2" s="1"/>
  <c r="AW658" i="2" s="1"/>
  <c r="CD605" i="2"/>
  <c r="CD607" i="2" s="1"/>
  <c r="AK605" i="2"/>
  <c r="AK607" i="2" s="1"/>
  <c r="AK658" i="2" s="1"/>
  <c r="AG605" i="2"/>
  <c r="AG607" i="2" s="1"/>
  <c r="AG658" i="2" s="1"/>
  <c r="BO605" i="2"/>
  <c r="BO607" i="2" s="1"/>
  <c r="BO658" i="2" s="1"/>
  <c r="O605" i="2"/>
  <c r="O607" i="2" s="1"/>
  <c r="I605" i="2"/>
  <c r="I607" i="2" s="1"/>
  <c r="AZ605" i="2"/>
  <c r="AZ607" i="2" s="1"/>
  <c r="AZ658" i="2" s="1"/>
  <c r="N605" i="2"/>
  <c r="N607" i="2" s="1"/>
  <c r="Y605" i="2"/>
  <c r="Y607" i="2" s="1"/>
  <c r="Y658" i="2" s="1"/>
  <c r="CI605" i="2"/>
  <c r="CI607" i="2" s="1"/>
  <c r="AC605" i="2"/>
  <c r="AC607" i="2" s="1"/>
  <c r="AC658" i="2" s="1"/>
  <c r="AH605" i="2"/>
  <c r="AH607" i="2" s="1"/>
  <c r="AH658" i="2" s="1"/>
  <c r="CF605" i="2"/>
  <c r="CF607" i="2" s="1"/>
  <c r="BU605" i="2"/>
  <c r="BU607" i="2" s="1"/>
  <c r="BU658" i="2" s="1"/>
  <c r="BK605" i="2"/>
  <c r="BK607" i="2" s="1"/>
  <c r="BK658" i="2" s="1"/>
  <c r="BN605" i="2"/>
  <c r="BN607" i="2" s="1"/>
  <c r="BN658" i="2" s="1"/>
  <c r="BM605" i="2"/>
  <c r="BM607" i="2" s="1"/>
  <c r="BM658" i="2" s="1"/>
  <c r="H605" i="2"/>
  <c r="H607" i="2" s="1"/>
  <c r="T605" i="2"/>
  <c r="T607" i="2" s="1"/>
  <c r="T658" i="2" s="1"/>
  <c r="S605" i="2"/>
  <c r="S607" i="2" s="1"/>
  <c r="S658" i="2" s="1"/>
  <c r="R605" i="2"/>
  <c r="R607" i="2" s="1"/>
  <c r="CC605" i="2"/>
  <c r="CC607" i="2" s="1"/>
  <c r="BW605" i="2"/>
  <c r="BW607" i="2" s="1"/>
  <c r="BW658" i="2" s="1"/>
  <c r="CH605" i="2"/>
  <c r="CH607" i="2" s="1"/>
  <c r="J605" i="2"/>
  <c r="J607" i="2" s="1"/>
  <c r="BF605" i="2"/>
  <c r="BF607" i="2" s="1"/>
  <c r="BF658" i="2" s="1"/>
  <c r="CJ605" i="2"/>
  <c r="CJ607" i="2" s="1"/>
  <c r="AE605" i="2"/>
  <c r="AE607" i="2" s="1"/>
  <c r="AE658" i="2" s="1"/>
  <c r="AS605" i="2"/>
  <c r="AS607" i="2" s="1"/>
  <c r="AS658" i="2" s="1"/>
  <c r="X605" i="2"/>
  <c r="X607" i="2" s="1"/>
  <c r="X658" i="2" s="1"/>
  <c r="G605" i="2"/>
  <c r="G607" i="2" s="1"/>
  <c r="K605" i="2"/>
  <c r="K607" i="2" s="1"/>
  <c r="BG605" i="2"/>
  <c r="BG607" i="2" s="1"/>
  <c r="BG658" i="2" s="1"/>
  <c r="AO605" i="2"/>
  <c r="AO607" i="2" s="1"/>
  <c r="AO658" i="2" s="1"/>
  <c r="C35" i="11"/>
  <c r="BH623" i="2"/>
  <c r="BH625" i="2" s="1"/>
  <c r="BH660" i="2" s="1"/>
  <c r="AV623" i="2"/>
  <c r="AV625" i="2" s="1"/>
  <c r="AV660" i="2" s="1"/>
  <c r="W623" i="2"/>
  <c r="W625" i="2" s="1"/>
  <c r="W660" i="2" s="1"/>
  <c r="BY623" i="2"/>
  <c r="BY625" i="2" s="1"/>
  <c r="BY660" i="2" s="1"/>
  <c r="K623" i="2"/>
  <c r="K625" i="2" s="1"/>
  <c r="AB623" i="2"/>
  <c r="AB625" i="2" s="1"/>
  <c r="AB660" i="2" s="1"/>
  <c r="BX623" i="2"/>
  <c r="BX625" i="2" s="1"/>
  <c r="BX660" i="2" s="1"/>
  <c r="I623" i="2"/>
  <c r="I625" i="2" s="1"/>
  <c r="AH623" i="2"/>
  <c r="AH625" i="2" s="1"/>
  <c r="AH660" i="2" s="1"/>
  <c r="BR614" i="2"/>
  <c r="BR616" i="2" s="1"/>
  <c r="BR659" i="2" s="1"/>
  <c r="T614" i="2"/>
  <c r="T616" i="2" s="1"/>
  <c r="T659" i="2" s="1"/>
  <c r="BH614" i="2"/>
  <c r="BH616" i="2" s="1"/>
  <c r="BH659" i="2" s="1"/>
  <c r="M614" i="2"/>
  <c r="M616" i="2" s="1"/>
  <c r="AB614" i="2"/>
  <c r="AB616" i="2" s="1"/>
  <c r="AB659" i="2" s="1"/>
  <c r="AQ614" i="2"/>
  <c r="AQ616" i="2" s="1"/>
  <c r="AQ659" i="2" s="1"/>
  <c r="AZ614" i="2"/>
  <c r="AZ616" i="2" s="1"/>
  <c r="AZ659" i="2" s="1"/>
  <c r="CN614" i="2"/>
  <c r="CN616" i="2" s="1"/>
  <c r="CG614" i="2"/>
  <c r="CG616" i="2" s="1"/>
  <c r="I614" i="2"/>
  <c r="I616" i="2" s="1"/>
  <c r="S614" i="2"/>
  <c r="S616" i="2" s="1"/>
  <c r="S659" i="2" s="1"/>
  <c r="AI614" i="2"/>
  <c r="AI616" i="2" s="1"/>
  <c r="AI659" i="2" s="1"/>
  <c r="BD614" i="2"/>
  <c r="BD616" i="2" s="1"/>
  <c r="BD659" i="2" s="1"/>
  <c r="BQ614" i="2"/>
  <c r="BQ616" i="2" s="1"/>
  <c r="BQ659" i="2" s="1"/>
  <c r="AU614" i="2"/>
  <c r="AU616" i="2" s="1"/>
  <c r="AU659" i="2" s="1"/>
  <c r="E614" i="2"/>
  <c r="E616" i="2" s="1"/>
  <c r="AD614" i="2"/>
  <c r="AD616" i="2" s="1"/>
  <c r="AD659" i="2" s="1"/>
  <c r="AF614" i="2"/>
  <c r="AF616" i="2" s="1"/>
  <c r="AF659" i="2" s="1"/>
  <c r="AK614" i="2"/>
  <c r="AK616" i="2" s="1"/>
  <c r="AK659" i="2" s="1"/>
  <c r="AE614" i="2"/>
  <c r="AE616" i="2" s="1"/>
  <c r="AE659" i="2" s="1"/>
  <c r="Q614" i="2"/>
  <c r="Q616" i="2" s="1"/>
  <c r="BL614" i="2"/>
  <c r="BL616" i="2" s="1"/>
  <c r="BL659" i="2" s="1"/>
  <c r="CO614" i="2"/>
  <c r="CO616" i="2" s="1"/>
  <c r="CM614" i="2"/>
  <c r="CM616" i="2" s="1"/>
  <c r="CF614" i="2"/>
  <c r="CF616" i="2" s="1"/>
  <c r="AT614" i="2"/>
  <c r="AT616" i="2" s="1"/>
  <c r="AT659" i="2" s="1"/>
  <c r="AY614" i="2"/>
  <c r="AY616" i="2" s="1"/>
  <c r="AY659" i="2" s="1"/>
  <c r="CE614" i="2"/>
  <c r="CE616" i="2" s="1"/>
  <c r="BC614" i="2"/>
  <c r="BC616" i="2" s="1"/>
  <c r="BC659" i="2" s="1"/>
  <c r="BM614" i="2"/>
  <c r="BM616" i="2" s="1"/>
  <c r="BM659" i="2" s="1"/>
  <c r="AL614" i="2"/>
  <c r="AL616" i="2" s="1"/>
  <c r="AL659" i="2" s="1"/>
  <c r="BV614" i="2"/>
  <c r="BV616" i="2" s="1"/>
  <c r="BV659" i="2" s="1"/>
  <c r="AG614" i="2"/>
  <c r="AG616" i="2" s="1"/>
  <c r="AG659" i="2" s="1"/>
  <c r="BY614" i="2"/>
  <c r="BY616" i="2" s="1"/>
  <c r="BY659" i="2" s="1"/>
  <c r="BT614" i="2"/>
  <c r="BT616" i="2" s="1"/>
  <c r="BT659" i="2" s="1"/>
  <c r="CP614" i="2"/>
  <c r="CP616" i="2" s="1"/>
  <c r="BA614" i="2"/>
  <c r="BA616" i="2" s="1"/>
  <c r="BA659" i="2" s="1"/>
  <c r="Z614" i="2"/>
  <c r="Z616" i="2" s="1"/>
  <c r="Z659" i="2" s="1"/>
  <c r="CD614" i="2"/>
  <c r="CD616" i="2" s="1"/>
  <c r="U614" i="2"/>
  <c r="U616" i="2" s="1"/>
  <c r="U659" i="2" s="1"/>
  <c r="BG614" i="2"/>
  <c r="BG616" i="2" s="1"/>
  <c r="BG659" i="2" s="1"/>
  <c r="CJ614" i="2"/>
  <c r="CJ616" i="2" s="1"/>
  <c r="P614" i="2"/>
  <c r="P616" i="2" s="1"/>
  <c r="H614" i="2"/>
  <c r="H616" i="2" s="1"/>
  <c r="F614" i="2"/>
  <c r="F616" i="2" s="1"/>
  <c r="G614" i="2"/>
  <c r="G616" i="2" s="1"/>
  <c r="AO614" i="2"/>
  <c r="AO616" i="2" s="1"/>
  <c r="AO659" i="2" s="1"/>
  <c r="K614" i="2"/>
  <c r="K616" i="2" s="1"/>
  <c r="R614" i="2"/>
  <c r="R616" i="2" s="1"/>
  <c r="BK614" i="2"/>
  <c r="BK616" i="2" s="1"/>
  <c r="BK659" i="2" s="1"/>
  <c r="CA614" i="2"/>
  <c r="CA616" i="2" s="1"/>
  <c r="AS614" i="2"/>
  <c r="AS616" i="2" s="1"/>
  <c r="AS659" i="2" s="1"/>
  <c r="CH614" i="2"/>
  <c r="CH616" i="2" s="1"/>
  <c r="BW614" i="2"/>
  <c r="BW616" i="2" s="1"/>
  <c r="BW659" i="2" s="1"/>
  <c r="AR614" i="2"/>
  <c r="AR616" i="2" s="1"/>
  <c r="AR659" i="2" s="1"/>
  <c r="J614" i="2"/>
  <c r="J616" i="2" s="1"/>
  <c r="BP614" i="2"/>
  <c r="BP616" i="2" s="1"/>
  <c r="BP659" i="2" s="1"/>
  <c r="AJ614" i="2"/>
  <c r="AJ616" i="2" s="1"/>
  <c r="AJ659" i="2" s="1"/>
  <c r="CK614" i="2"/>
  <c r="CK616" i="2" s="1"/>
  <c r="N614" i="2"/>
  <c r="N616" i="2" s="1"/>
  <c r="V614" i="2"/>
  <c r="V616" i="2" s="1"/>
  <c r="V659" i="2" s="1"/>
  <c r="AN614" i="2"/>
  <c r="AN616" i="2" s="1"/>
  <c r="AN659" i="2" s="1"/>
  <c r="BF614" i="2"/>
  <c r="BF616" i="2" s="1"/>
  <c r="BF659" i="2" s="1"/>
  <c r="BX614" i="2"/>
  <c r="BX616" i="2" s="1"/>
  <c r="BX659" i="2" s="1"/>
  <c r="Y614" i="2"/>
  <c r="Y616" i="2" s="1"/>
  <c r="Y659" i="2" s="1"/>
  <c r="AH614" i="2"/>
  <c r="AH616" i="2" s="1"/>
  <c r="AH659" i="2" s="1"/>
  <c r="BI614" i="2"/>
  <c r="BI616" i="2" s="1"/>
  <c r="BI659" i="2" s="1"/>
  <c r="CC614" i="2"/>
  <c r="CC616" i="2" s="1"/>
  <c r="BS614" i="2"/>
  <c r="BS616" i="2" s="1"/>
  <c r="BS659" i="2" s="1"/>
  <c r="BE614" i="2"/>
  <c r="BE616" i="2" s="1"/>
  <c r="BE659" i="2" s="1"/>
  <c r="BN614" i="2"/>
  <c r="BN616" i="2" s="1"/>
  <c r="BN659" i="2" s="1"/>
  <c r="AX614" i="2"/>
  <c r="AX616" i="2" s="1"/>
  <c r="AX659" i="2" s="1"/>
  <c r="AA614" i="2"/>
  <c r="AA616" i="2" s="1"/>
  <c r="AA659" i="2" s="1"/>
  <c r="AP614" i="2"/>
  <c r="AP616" i="2" s="1"/>
  <c r="AP659" i="2" s="1"/>
  <c r="D614" i="2"/>
  <c r="D616" i="2" s="1"/>
  <c r="CI614" i="2"/>
  <c r="CI616" i="2" s="1"/>
  <c r="L614" i="2"/>
  <c r="L616" i="2" s="1"/>
  <c r="BO614" i="2"/>
  <c r="BO616" i="2" s="1"/>
  <c r="BO659" i="2" s="1"/>
  <c r="O614" i="2"/>
  <c r="O616" i="2" s="1"/>
  <c r="CB614" i="2"/>
  <c r="CB616" i="2" s="1"/>
  <c r="BB614" i="2"/>
  <c r="BB616" i="2" s="1"/>
  <c r="BB659" i="2" s="1"/>
  <c r="AW614" i="2"/>
  <c r="AW616" i="2" s="1"/>
  <c r="AW659" i="2" s="1"/>
  <c r="BU614" i="2"/>
  <c r="BU616" i="2" s="1"/>
  <c r="BU659" i="2" s="1"/>
  <c r="BZ614" i="2"/>
  <c r="BZ616" i="2" s="1"/>
  <c r="BZ659" i="2" s="1"/>
  <c r="BJ614" i="2"/>
  <c r="BJ616" i="2" s="1"/>
  <c r="BJ659" i="2" s="1"/>
  <c r="AV614" i="2"/>
  <c r="AV616" i="2" s="1"/>
  <c r="AV659" i="2" s="1"/>
  <c r="CL614" i="2"/>
  <c r="CL616" i="2" s="1"/>
  <c r="AM614" i="2"/>
  <c r="AM616" i="2" s="1"/>
  <c r="AM659" i="2" s="1"/>
  <c r="W614" i="2"/>
  <c r="W616" i="2" s="1"/>
  <c r="W659" i="2" s="1"/>
  <c r="AC614" i="2"/>
  <c r="AC616" i="2" s="1"/>
  <c r="AC659" i="2" s="1"/>
  <c r="X614" i="2"/>
  <c r="X616" i="2" s="1"/>
  <c r="X659" i="2" s="1"/>
  <c r="V634" i="2"/>
  <c r="V661" i="2" s="1"/>
  <c r="AD625" i="2"/>
  <c r="AD660" i="2" s="1"/>
  <c r="BN625" i="2"/>
  <c r="BN660" i="2" s="1"/>
  <c r="AK625" i="2"/>
  <c r="AK660" i="2" s="1"/>
  <c r="P605" i="2"/>
  <c r="P607" i="2" s="1"/>
  <c r="CL605" i="2"/>
  <c r="CL607" i="2" s="1"/>
  <c r="S623" i="2"/>
  <c r="S625" i="2" s="1"/>
  <c r="S660" i="2" s="1"/>
  <c r="AR623" i="2"/>
  <c r="AR625" i="2" s="1"/>
  <c r="AR660" i="2" s="1"/>
  <c r="CC625" i="2"/>
  <c r="CB605" i="2"/>
  <c r="CB607" i="2" s="1"/>
  <c r="CO605" i="2"/>
  <c r="CO607" i="2" s="1"/>
  <c r="AT605" i="2"/>
  <c r="AT607" i="2" s="1"/>
  <c r="AT658" i="2" s="1"/>
  <c r="AW623" i="2"/>
  <c r="AW625" i="2" s="1"/>
  <c r="AW660" i="2" s="1"/>
  <c r="AA605" i="2"/>
  <c r="AA607" i="2" s="1"/>
  <c r="AA658" i="2" s="1"/>
  <c r="G673" i="2" l="1"/>
  <c r="G709" i="2" s="1"/>
  <c r="I673" i="2"/>
  <c r="I709" i="2" s="1"/>
  <c r="H672" i="2"/>
  <c r="H708" i="2" s="1"/>
  <c r="I672" i="2"/>
  <c r="I708" i="2" s="1"/>
  <c r="G675" i="2"/>
  <c r="G711" i="2" s="1"/>
  <c r="E674" i="2"/>
  <c r="E710" i="2" s="1"/>
  <c r="F674" i="2"/>
  <c r="F710" i="2" s="1"/>
  <c r="N674" i="2"/>
  <c r="N710" i="2" s="1"/>
  <c r="I674" i="2"/>
  <c r="I710" i="2" s="1"/>
  <c r="H675" i="2"/>
  <c r="H711" i="2" s="1"/>
  <c r="F673" i="2"/>
  <c r="F709" i="2" s="1"/>
  <c r="CP672" i="2"/>
  <c r="CP708" i="2" s="1"/>
  <c r="CP675" i="2"/>
  <c r="CP711" i="2" s="1"/>
  <c r="N672" i="2"/>
  <c r="N708" i="2" s="1"/>
  <c r="L672" i="2"/>
  <c r="L708" i="2" s="1"/>
  <c r="K675" i="2"/>
  <c r="K711" i="2" s="1"/>
  <c r="D675" i="2"/>
  <c r="D711" i="2" s="1"/>
  <c r="G674" i="2"/>
  <c r="G710" i="2" s="1"/>
  <c r="G672" i="2"/>
  <c r="G708" i="2" s="1"/>
  <c r="F675" i="2"/>
  <c r="F711" i="2" s="1"/>
  <c r="CP673" i="2"/>
  <c r="CP709" i="2" s="1"/>
  <c r="F672" i="2"/>
  <c r="F708" i="2" s="1"/>
  <c r="N675" i="2"/>
  <c r="N711" i="2" s="1"/>
  <c r="E675" i="2"/>
  <c r="E711" i="2" s="1"/>
  <c r="L674" i="2"/>
  <c r="L710" i="2" s="1"/>
  <c r="K673" i="2"/>
  <c r="K709" i="2" s="1"/>
  <c r="J673" i="2"/>
  <c r="J709" i="2" s="1"/>
  <c r="K672" i="2"/>
  <c r="K708" i="2" s="1"/>
  <c r="H673" i="2"/>
  <c r="H709" i="2" s="1"/>
  <c r="L673" i="2"/>
  <c r="L709" i="2" s="1"/>
  <c r="J672" i="2"/>
  <c r="J708" i="2" s="1"/>
  <c r="M674" i="2"/>
  <c r="M710" i="2" s="1"/>
  <c r="E672" i="2"/>
  <c r="E708" i="2" s="1"/>
  <c r="J675" i="2"/>
  <c r="J711" i="2" s="1"/>
  <c r="L675" i="2"/>
  <c r="L711" i="2" s="1"/>
  <c r="CP674" i="2"/>
  <c r="CP710" i="2" s="1"/>
  <c r="N673" i="2"/>
  <c r="N709" i="2" s="1"/>
  <c r="K674" i="2"/>
  <c r="K710" i="2" s="1"/>
  <c r="E673" i="2"/>
  <c r="E709" i="2" s="1"/>
  <c r="M673" i="2"/>
  <c r="M709" i="2" s="1"/>
  <c r="I675" i="2"/>
  <c r="I711" i="2" s="1"/>
  <c r="M675" i="2"/>
  <c r="M711" i="2" s="1"/>
  <c r="D673" i="2"/>
  <c r="D709" i="2" s="1"/>
  <c r="M672" i="2"/>
  <c r="M708" i="2" s="1"/>
  <c r="H674" i="2"/>
  <c r="H710" i="2" s="1"/>
  <c r="D674" i="2"/>
  <c r="D710" i="2" s="1"/>
  <c r="D672" i="2"/>
  <c r="D708" i="2" s="1"/>
  <c r="J674" i="2"/>
  <c r="J710" i="2" s="1"/>
  <c r="BC596" i="2"/>
  <c r="BC598" i="2" s="1"/>
  <c r="BC657" i="2" s="1"/>
  <c r="BG596" i="2"/>
  <c r="BG598" i="2" s="1"/>
  <c r="BG657" i="2" s="1"/>
  <c r="AN596" i="2"/>
  <c r="AN598" i="2" s="1"/>
  <c r="AN657" i="2" s="1"/>
  <c r="AD596" i="2"/>
  <c r="AD598" i="2" s="1"/>
  <c r="AD657" i="2" s="1"/>
  <c r="E596" i="2"/>
  <c r="E598" i="2" s="1"/>
  <c r="AG596" i="2"/>
  <c r="AG598" i="2" s="1"/>
  <c r="AG657" i="2" s="1"/>
  <c r="Y596" i="2"/>
  <c r="Y598" i="2" s="1"/>
  <c r="Y657" i="2" s="1"/>
  <c r="BI596" i="2"/>
  <c r="BI598" i="2" s="1"/>
  <c r="BI657" i="2" s="1"/>
  <c r="AC596" i="2"/>
  <c r="AC598" i="2" s="1"/>
  <c r="AC657" i="2" s="1"/>
  <c r="CN596" i="2"/>
  <c r="CN598" i="2" s="1"/>
  <c r="BJ596" i="2"/>
  <c r="BJ598" i="2" s="1"/>
  <c r="BJ657" i="2" s="1"/>
  <c r="AK596" i="2"/>
  <c r="AK598" i="2" s="1"/>
  <c r="AK657" i="2" s="1"/>
  <c r="BN596" i="2"/>
  <c r="BN598" i="2" s="1"/>
  <c r="BN657" i="2" s="1"/>
  <c r="V596" i="2"/>
  <c r="V598" i="2" s="1"/>
  <c r="V657" i="2" s="1"/>
  <c r="AT596" i="2"/>
  <c r="AT598" i="2" s="1"/>
  <c r="AT657" i="2" s="1"/>
  <c r="S596" i="2"/>
  <c r="S598" i="2" s="1"/>
  <c r="S657" i="2" s="1"/>
  <c r="CA596" i="2"/>
  <c r="CA598" i="2" s="1"/>
  <c r="BT596" i="2"/>
  <c r="BT598" i="2" s="1"/>
  <c r="BT657" i="2" s="1"/>
  <c r="CF596" i="2"/>
  <c r="CF598" i="2" s="1"/>
  <c r="CJ596" i="2"/>
  <c r="CJ598" i="2" s="1"/>
  <c r="N596" i="2"/>
  <c r="N598" i="2" s="1"/>
  <c r="CH596" i="2"/>
  <c r="CH598" i="2" s="1"/>
  <c r="CC596" i="2"/>
  <c r="CC598" i="2" s="1"/>
  <c r="BE596" i="2"/>
  <c r="BE598" i="2" s="1"/>
  <c r="BE657" i="2" s="1"/>
  <c r="CL596" i="2"/>
  <c r="CL598" i="2" s="1"/>
  <c r="AX596" i="2"/>
  <c r="AX598" i="2" s="1"/>
  <c r="AX657" i="2" s="1"/>
  <c r="BF596" i="2"/>
  <c r="BF598" i="2" s="1"/>
  <c r="BF657" i="2" s="1"/>
  <c r="R596" i="2"/>
  <c r="R598" i="2" s="1"/>
  <c r="AO596" i="2"/>
  <c r="AO598" i="2" s="1"/>
  <c r="AO657" i="2" s="1"/>
  <c r="BV596" i="2"/>
  <c r="BV598" i="2" s="1"/>
  <c r="BV657" i="2" s="1"/>
  <c r="CM596" i="2"/>
  <c r="CM598" i="2" s="1"/>
  <c r="Q596" i="2"/>
  <c r="Q598" i="2" s="1"/>
  <c r="BH596" i="2"/>
  <c r="BH598" i="2" s="1"/>
  <c r="BH657" i="2" s="1"/>
  <c r="AY596" i="2"/>
  <c r="AY598" i="2" s="1"/>
  <c r="AY657" i="2" s="1"/>
  <c r="BK598" i="2"/>
  <c r="BK657" i="2" s="1"/>
  <c r="G596" i="2"/>
  <c r="G598" i="2" s="1"/>
  <c r="D596" i="2"/>
  <c r="D598" i="2" s="1"/>
  <c r="I596" i="2"/>
  <c r="I598" i="2" s="1"/>
  <c r="BA596" i="2"/>
  <c r="BA598" i="2" s="1"/>
  <c r="BA657" i="2" s="1"/>
  <c r="AI596" i="2"/>
  <c r="AI598" i="2" s="1"/>
  <c r="AI657" i="2" s="1"/>
  <c r="CB596" i="2"/>
  <c r="CB598" i="2" s="1"/>
  <c r="BX596" i="2"/>
  <c r="BX598" i="2" s="1"/>
  <c r="BX657" i="2" s="1"/>
  <c r="BP596" i="2"/>
  <c r="BP598" i="2" s="1"/>
  <c r="BP657" i="2" s="1"/>
  <c r="CP596" i="2"/>
  <c r="CP598" i="2" s="1"/>
  <c r="CI596" i="2"/>
  <c r="CI598" i="2" s="1"/>
  <c r="CG596" i="2"/>
  <c r="CG598" i="2" s="1"/>
  <c r="AM596" i="2"/>
  <c r="AM598" i="2" s="1"/>
  <c r="AM657" i="2" s="1"/>
  <c r="CD596" i="2"/>
  <c r="CD598" i="2" s="1"/>
  <c r="AJ596" i="2"/>
  <c r="AJ598" i="2" s="1"/>
  <c r="AJ657" i="2" s="1"/>
  <c r="AA596" i="2"/>
  <c r="AA598" i="2" s="1"/>
  <c r="AA657" i="2" s="1"/>
  <c r="BO596" i="2"/>
  <c r="BO598" i="2" s="1"/>
  <c r="BO657" i="2" s="1"/>
  <c r="H596" i="2"/>
  <c r="H598" i="2" s="1"/>
  <c r="AV596" i="2"/>
  <c r="AV598" i="2" s="1"/>
  <c r="AV657" i="2" s="1"/>
  <c r="BS596" i="2"/>
  <c r="BS598" i="2" s="1"/>
  <c r="BS657" i="2" s="1"/>
  <c r="AS596" i="2"/>
  <c r="AS598" i="2" s="1"/>
  <c r="AS657" i="2" s="1"/>
  <c r="AZ596" i="2"/>
  <c r="AZ598" i="2" s="1"/>
  <c r="AZ657" i="2" s="1"/>
  <c r="AQ596" i="2"/>
  <c r="AQ598" i="2" s="1"/>
  <c r="AQ657" i="2" s="1"/>
  <c r="C57" i="11"/>
  <c r="BU596" i="2"/>
  <c r="BU598" i="2" s="1"/>
  <c r="BU657" i="2" s="1"/>
  <c r="AH596" i="2"/>
  <c r="AH598" i="2" s="1"/>
  <c r="AH657" i="2" s="1"/>
  <c r="U596" i="2"/>
  <c r="U598" i="2" s="1"/>
  <c r="U657" i="2" s="1"/>
  <c r="X596" i="2"/>
  <c r="X598" i="2" s="1"/>
  <c r="X657" i="2" s="1"/>
  <c r="BR596" i="2"/>
  <c r="BR598" i="2" s="1"/>
  <c r="BR657" i="2" s="1"/>
  <c r="P596" i="2"/>
  <c r="P598" i="2" s="1"/>
  <c r="AE596" i="2"/>
  <c r="AE598" i="2" s="1"/>
  <c r="AE657" i="2" s="1"/>
  <c r="BB596" i="2"/>
  <c r="BB598" i="2" s="1"/>
  <c r="BB657" i="2" s="1"/>
  <c r="AL596" i="2"/>
  <c r="AL598" i="2" s="1"/>
  <c r="AL657" i="2" s="1"/>
  <c r="BL596" i="2"/>
  <c r="BL598" i="2" s="1"/>
  <c r="BL657" i="2" s="1"/>
  <c r="L596" i="2"/>
  <c r="L598" i="2" s="1"/>
  <c r="AF596" i="2"/>
  <c r="AF598" i="2" s="1"/>
  <c r="AF657" i="2" s="1"/>
  <c r="CK596" i="2"/>
  <c r="CK598" i="2" s="1"/>
  <c r="AU596" i="2"/>
  <c r="AU598" i="2" s="1"/>
  <c r="AU657" i="2" s="1"/>
  <c r="M596" i="2"/>
  <c r="M598" i="2" s="1"/>
  <c r="W596" i="2"/>
  <c r="W598" i="2" s="1"/>
  <c r="W657" i="2" s="1"/>
  <c r="BW596" i="2"/>
  <c r="BW598" i="2" s="1"/>
  <c r="BW657" i="2" s="1"/>
  <c r="F596" i="2"/>
  <c r="F598" i="2" s="1"/>
  <c r="T596" i="2"/>
  <c r="T598" i="2" s="1"/>
  <c r="T657" i="2" s="1"/>
  <c r="CE596" i="2"/>
  <c r="CE598" i="2" s="1"/>
  <c r="J596" i="2"/>
  <c r="J598" i="2" s="1"/>
  <c r="BZ596" i="2"/>
  <c r="BZ598" i="2" s="1"/>
  <c r="BZ657" i="2" s="1"/>
  <c r="BM596" i="2"/>
  <c r="BM598" i="2" s="1"/>
  <c r="BM657" i="2" s="1"/>
  <c r="CO596" i="2"/>
  <c r="CO598" i="2" s="1"/>
  <c r="AB596" i="2"/>
  <c r="AB598" i="2" s="1"/>
  <c r="AB657" i="2" s="1"/>
  <c r="AR596" i="2"/>
  <c r="AR598" i="2" s="1"/>
  <c r="AR657" i="2" s="1"/>
  <c r="BD596" i="2"/>
  <c r="BD598" i="2" s="1"/>
  <c r="BD657" i="2" s="1"/>
  <c r="K596" i="2"/>
  <c r="K598" i="2" s="1"/>
  <c r="BQ596" i="2"/>
  <c r="BQ598" i="2" s="1"/>
  <c r="BQ657" i="2" s="1"/>
  <c r="BY596" i="2"/>
  <c r="BY598" i="2" s="1"/>
  <c r="BY657" i="2" s="1"/>
  <c r="O596" i="2"/>
  <c r="O598" i="2" s="1"/>
  <c r="AW596" i="2"/>
  <c r="AW598" i="2" s="1"/>
  <c r="AW657" i="2" s="1"/>
  <c r="AP596" i="2"/>
  <c r="AP598" i="2" s="1"/>
  <c r="AP657" i="2" s="1"/>
  <c r="Z596" i="2"/>
  <c r="Z598" i="2" s="1"/>
  <c r="Z657" i="2" s="1"/>
  <c r="V675" i="2" l="1"/>
  <c r="V711" i="2" s="1"/>
  <c r="R672" i="2"/>
  <c r="R708" i="2" s="1"/>
  <c r="BD673" i="2"/>
  <c r="BD709" i="2" s="1"/>
  <c r="CC672" i="2"/>
  <c r="CC708" i="2" s="1"/>
  <c r="AW672" i="2"/>
  <c r="AW708" i="2" s="1"/>
  <c r="AM672" i="2"/>
  <c r="AM708" i="2" s="1"/>
  <c r="AI672" i="2"/>
  <c r="AI708" i="2" s="1"/>
  <c r="BA673" i="2"/>
  <c r="BA709" i="2" s="1"/>
  <c r="AO672" i="2"/>
  <c r="AO708" i="2" s="1"/>
  <c r="AQ672" i="2"/>
  <c r="AQ708" i="2" s="1"/>
  <c r="AH672" i="2"/>
  <c r="AH708" i="2" s="1"/>
  <c r="AO673" i="2"/>
  <c r="AO709" i="2" s="1"/>
  <c r="Y672" i="2"/>
  <c r="Y708" i="2" s="1"/>
  <c r="AL673" i="2"/>
  <c r="AL709" i="2" s="1"/>
  <c r="R673" i="2"/>
  <c r="R709" i="2" s="1"/>
  <c r="T673" i="2"/>
  <c r="T709" i="2" s="1"/>
  <c r="BB672" i="2"/>
  <c r="BB708" i="2" s="1"/>
  <c r="AX672" i="2"/>
  <c r="AX708" i="2" s="1"/>
  <c r="AD672" i="2"/>
  <c r="AD708" i="2" s="1"/>
  <c r="V673" i="2"/>
  <c r="V709" i="2" s="1"/>
  <c r="Z673" i="2"/>
  <c r="Z709" i="2" s="1"/>
  <c r="AB672" i="2"/>
  <c r="AB708" i="2" s="1"/>
  <c r="W672" i="2"/>
  <c r="W708" i="2" s="1"/>
  <c r="AA672" i="2"/>
  <c r="AA708" i="2" s="1"/>
  <c r="AN673" i="2"/>
  <c r="AN709" i="2" s="1"/>
  <c r="AC672" i="2"/>
  <c r="AC708" i="2" s="1"/>
  <c r="CE673" i="2"/>
  <c r="CE709" i="2" s="1"/>
  <c r="AI673" i="2"/>
  <c r="AI709" i="2" s="1"/>
  <c r="AP673" i="2"/>
  <c r="AP709" i="2" s="1"/>
  <c r="U673" i="2"/>
  <c r="U709" i="2" s="1"/>
  <c r="BG672" i="2"/>
  <c r="BG708" i="2" s="1"/>
  <c r="AV672" i="2"/>
  <c r="AV708" i="2" s="1"/>
  <c r="P672" i="2"/>
  <c r="P708" i="2" s="1"/>
  <c r="CL672" i="2"/>
  <c r="CL708" i="2" s="1"/>
  <c r="AS673" i="2"/>
  <c r="AS709" i="2" s="1"/>
  <c r="BG673" i="2"/>
  <c r="BG709" i="2" s="1"/>
  <c r="U672" i="2"/>
  <c r="U708" i="2" s="1"/>
  <c r="V672" i="2"/>
  <c r="V708" i="2" s="1"/>
  <c r="CN673" i="2"/>
  <c r="CN709" i="2" s="1"/>
  <c r="AE672" i="2"/>
  <c r="AE708" i="2" s="1"/>
  <c r="Y673" i="2"/>
  <c r="Y709" i="2" s="1"/>
  <c r="AL672" i="2"/>
  <c r="AL708" i="2" s="1"/>
  <c r="AU672" i="2"/>
  <c r="AU708" i="2" s="1"/>
  <c r="BT673" i="2"/>
  <c r="BT709" i="2" s="1"/>
  <c r="CI672" i="2"/>
  <c r="CI708" i="2" s="1"/>
  <c r="AJ672" i="2"/>
  <c r="AJ708" i="2" s="1"/>
  <c r="AY672" i="2"/>
  <c r="AY708" i="2" s="1"/>
  <c r="S673" i="2"/>
  <c r="S709" i="2" s="1"/>
  <c r="AK673" i="2"/>
  <c r="AK709" i="2" s="1"/>
  <c r="BR673" i="2"/>
  <c r="BR709" i="2" s="1"/>
  <c r="AV673" i="2"/>
  <c r="AV709" i="2" s="1"/>
  <c r="BV672" i="2"/>
  <c r="BV708" i="2" s="1"/>
  <c r="P673" i="2"/>
  <c r="P709" i="2" s="1"/>
  <c r="CM672" i="2"/>
  <c r="CM708" i="2" s="1"/>
  <c r="CM673" i="2"/>
  <c r="CM709" i="2" s="1"/>
  <c r="AU673" i="2"/>
  <c r="AU709" i="2" s="1"/>
  <c r="AM673" i="2"/>
  <c r="AM709" i="2" s="1"/>
  <c r="Z672" i="2"/>
  <c r="Z708" i="2" s="1"/>
  <c r="O672" i="2"/>
  <c r="O708" i="2" s="1"/>
  <c r="AA673" i="2"/>
  <c r="AA709" i="2" s="1"/>
  <c r="AY673" i="2"/>
  <c r="AY709" i="2" s="1"/>
  <c r="BE672" i="2"/>
  <c r="BE708" i="2" s="1"/>
  <c r="BX672" i="2"/>
  <c r="BX708" i="2" s="1"/>
  <c r="AK672" i="2"/>
  <c r="AK708" i="2" s="1"/>
  <c r="BM672" i="2"/>
  <c r="BM708" i="2" s="1"/>
  <c r="CG672" i="2"/>
  <c r="CG708" i="2" s="1"/>
  <c r="BJ673" i="2"/>
  <c r="BJ709" i="2" s="1"/>
  <c r="BQ673" i="2"/>
  <c r="BQ709" i="2" s="1"/>
  <c r="CD673" i="2"/>
  <c r="CD709" i="2" s="1"/>
  <c r="CK672" i="2"/>
  <c r="CK708" i="2" s="1"/>
  <c r="AF673" i="2"/>
  <c r="AF709" i="2" s="1"/>
  <c r="AP672" i="2"/>
  <c r="AP708" i="2" s="1"/>
  <c r="AS672" i="2"/>
  <c r="AS708" i="2" s="1"/>
  <c r="X672" i="2"/>
  <c r="X708" i="2" s="1"/>
  <c r="AT673" i="2"/>
  <c r="AT709" i="2" s="1"/>
  <c r="CA673" i="2"/>
  <c r="CA709" i="2" s="1"/>
  <c r="CC673" i="2"/>
  <c r="CC709" i="2" s="1"/>
  <c r="AH673" i="2"/>
  <c r="AH709" i="2" s="1"/>
  <c r="AZ672" i="2"/>
  <c r="AZ708" i="2" s="1"/>
  <c r="AC673" i="2"/>
  <c r="AC709" i="2" s="1"/>
  <c r="AG672" i="2"/>
  <c r="AG708" i="2" s="1"/>
  <c r="BK673" i="2"/>
  <c r="BK709" i="2" s="1"/>
  <c r="BL672" i="2"/>
  <c r="BL708" i="2" s="1"/>
  <c r="CH672" i="2"/>
  <c r="CH708" i="2" s="1"/>
  <c r="AB673" i="2"/>
  <c r="AB709" i="2" s="1"/>
  <c r="AZ673" i="2"/>
  <c r="AZ709" i="2" s="1"/>
  <c r="CO672" i="2"/>
  <c r="CO708" i="2" s="1"/>
  <c r="F671" i="2"/>
  <c r="F707" i="2" s="1"/>
  <c r="AC674" i="2"/>
  <c r="AC710" i="2" s="1"/>
  <c r="BN675" i="2"/>
  <c r="BN711" i="2" s="1"/>
  <c r="AP675" i="2"/>
  <c r="AP711" i="2" s="1"/>
  <c r="K671" i="2"/>
  <c r="K707" i="2" s="1"/>
  <c r="I671" i="2"/>
  <c r="I707" i="2" s="1"/>
  <c r="AL675" i="2"/>
  <c r="AL711" i="2" s="1"/>
  <c r="CL674" i="2"/>
  <c r="CL710" i="2" s="1"/>
  <c r="S675" i="2"/>
  <c r="S711" i="2" s="1"/>
  <c r="CI674" i="2"/>
  <c r="CI710" i="2" s="1"/>
  <c r="BF673" i="2"/>
  <c r="BF709" i="2" s="1"/>
  <c r="AH674" i="2"/>
  <c r="AH710" i="2" s="1"/>
  <c r="BQ672" i="2"/>
  <c r="BQ708" i="2" s="1"/>
  <c r="AK675" i="2"/>
  <c r="AK711" i="2" s="1"/>
  <c r="AD673" i="2"/>
  <c r="AD709" i="2" s="1"/>
  <c r="CM674" i="2"/>
  <c r="CM710" i="2" s="1"/>
  <c r="Q675" i="2"/>
  <c r="Q711" i="2" s="1"/>
  <c r="BU672" i="2"/>
  <c r="BU708" i="2" s="1"/>
  <c r="AR673" i="2"/>
  <c r="AR709" i="2" s="1"/>
  <c r="CK673" i="2"/>
  <c r="CK709" i="2" s="1"/>
  <c r="CF675" i="2"/>
  <c r="CF711" i="2" s="1"/>
  <c r="BH672" i="2"/>
  <c r="BH708" i="2" s="1"/>
  <c r="BZ673" i="2"/>
  <c r="BZ709" i="2" s="1"/>
  <c r="AY675" i="2"/>
  <c r="AY711" i="2" s="1"/>
  <c r="AB674" i="2"/>
  <c r="AB710" i="2" s="1"/>
  <c r="BG675" i="2"/>
  <c r="BG711" i="2" s="1"/>
  <c r="AT675" i="2"/>
  <c r="AT711" i="2" s="1"/>
  <c r="BX674" i="2"/>
  <c r="BX710" i="2" s="1"/>
  <c r="BU674" i="2"/>
  <c r="BU710" i="2" s="1"/>
  <c r="BJ675" i="2"/>
  <c r="BJ711" i="2" s="1"/>
  <c r="BV674" i="2"/>
  <c r="BV710" i="2" s="1"/>
  <c r="CJ675" i="2"/>
  <c r="CJ711" i="2" s="1"/>
  <c r="AH675" i="2"/>
  <c r="AH711" i="2" s="1"/>
  <c r="M671" i="2"/>
  <c r="M707" i="2" s="1"/>
  <c r="D671" i="2"/>
  <c r="D707" i="2" s="1"/>
  <c r="AS675" i="2"/>
  <c r="AS711" i="2" s="1"/>
  <c r="BB674" i="2"/>
  <c r="BB710" i="2" s="1"/>
  <c r="BG674" i="2"/>
  <c r="BG710" i="2" s="1"/>
  <c r="CO673" i="2"/>
  <c r="CO709" i="2" s="1"/>
  <c r="CH675" i="2"/>
  <c r="CH711" i="2" s="1"/>
  <c r="AL674" i="2"/>
  <c r="AL710" i="2" s="1"/>
  <c r="BZ672" i="2"/>
  <c r="BZ708" i="2" s="1"/>
  <c r="CA672" i="2"/>
  <c r="CA708" i="2" s="1"/>
  <c r="BY672" i="2"/>
  <c r="BY708" i="2" s="1"/>
  <c r="BC673" i="2"/>
  <c r="BC709" i="2" s="1"/>
  <c r="AU675" i="2"/>
  <c r="AU711" i="2" s="1"/>
  <c r="AO675" i="2"/>
  <c r="AO711" i="2" s="1"/>
  <c r="BF672" i="2"/>
  <c r="BF708" i="2" s="1"/>
  <c r="CE674" i="2"/>
  <c r="CE710" i="2" s="1"/>
  <c r="BE674" i="2"/>
  <c r="BE710" i="2" s="1"/>
  <c r="BI673" i="2"/>
  <c r="BI709" i="2" s="1"/>
  <c r="Z675" i="2"/>
  <c r="Z711" i="2" s="1"/>
  <c r="CA675" i="2"/>
  <c r="CA711" i="2" s="1"/>
  <c r="BO672" i="2"/>
  <c r="BO708" i="2" s="1"/>
  <c r="BK674" i="2"/>
  <c r="BK710" i="2" s="1"/>
  <c r="CN675" i="2"/>
  <c r="CN711" i="2" s="1"/>
  <c r="CG673" i="2"/>
  <c r="CG709" i="2" s="1"/>
  <c r="BD675" i="2"/>
  <c r="BD711" i="2" s="1"/>
  <c r="BH675" i="2"/>
  <c r="BH711" i="2" s="1"/>
  <c r="BR675" i="2"/>
  <c r="BR711" i="2" s="1"/>
  <c r="AI674" i="2"/>
  <c r="AI710" i="2" s="1"/>
  <c r="CG674" i="2"/>
  <c r="CG710" i="2" s="1"/>
  <c r="BV675" i="2"/>
  <c r="BV711" i="2" s="1"/>
  <c r="U675" i="2"/>
  <c r="U711" i="2" s="1"/>
  <c r="T674" i="2"/>
  <c r="T710" i="2" s="1"/>
  <c r="BF675" i="2"/>
  <c r="BF711" i="2" s="1"/>
  <c r="AM675" i="2"/>
  <c r="AM711" i="2" s="1"/>
  <c r="W674" i="2"/>
  <c r="W710" i="2" s="1"/>
  <c r="AZ674" i="2"/>
  <c r="AZ710" i="2" s="1"/>
  <c r="BT672" i="2"/>
  <c r="BT708" i="2" s="1"/>
  <c r="AW675" i="2"/>
  <c r="AW711" i="2" s="1"/>
  <c r="BN672" i="2"/>
  <c r="BN708" i="2" s="1"/>
  <c r="Y674" i="2"/>
  <c r="Y710" i="2" s="1"/>
  <c r="AV675" i="2"/>
  <c r="AV711" i="2" s="1"/>
  <c r="Q673" i="2"/>
  <c r="Q709" i="2" s="1"/>
  <c r="BD674" i="2"/>
  <c r="BD710" i="2" s="1"/>
  <c r="AN672" i="2"/>
  <c r="AN708" i="2" s="1"/>
  <c r="AG674" i="2"/>
  <c r="AG710" i="2" s="1"/>
  <c r="BP675" i="2"/>
  <c r="BP711" i="2" s="1"/>
  <c r="BJ674" i="2"/>
  <c r="BJ710" i="2" s="1"/>
  <c r="AA674" i="2"/>
  <c r="AA710" i="2" s="1"/>
  <c r="AN674" i="2"/>
  <c r="AN710" i="2" s="1"/>
  <c r="CF673" i="2"/>
  <c r="CF709" i="2" s="1"/>
  <c r="BT674" i="2"/>
  <c r="BT710" i="2" s="1"/>
  <c r="AC675" i="2"/>
  <c r="AC711" i="2" s="1"/>
  <c r="CI675" i="2"/>
  <c r="CI711" i="2" s="1"/>
  <c r="AG675" i="2"/>
  <c r="AG711" i="2" s="1"/>
  <c r="CL673" i="2"/>
  <c r="CL709" i="2" s="1"/>
  <c r="BY675" i="2"/>
  <c r="BY711" i="2" s="1"/>
  <c r="AQ674" i="2"/>
  <c r="AQ710" i="2" s="1"/>
  <c r="BN674" i="2"/>
  <c r="BN710" i="2" s="1"/>
  <c r="BQ675" i="2"/>
  <c r="BQ711" i="2" s="1"/>
  <c r="CK674" i="2"/>
  <c r="CK710" i="2" s="1"/>
  <c r="CH673" i="2"/>
  <c r="CH709" i="2" s="1"/>
  <c r="BZ675" i="2"/>
  <c r="BZ711" i="2" s="1"/>
  <c r="BI675" i="2"/>
  <c r="BI711" i="2" s="1"/>
  <c r="AQ673" i="2"/>
  <c r="AQ709" i="2" s="1"/>
  <c r="AY674" i="2"/>
  <c r="AY710" i="2" s="1"/>
  <c r="CO675" i="2"/>
  <c r="CO711" i="2" s="1"/>
  <c r="O673" i="2"/>
  <c r="O709" i="2" s="1"/>
  <c r="BV673" i="2"/>
  <c r="BV709" i="2" s="1"/>
  <c r="BL674" i="2"/>
  <c r="BL710" i="2" s="1"/>
  <c r="CE672" i="2"/>
  <c r="CE708" i="2" s="1"/>
  <c r="AG673" i="2"/>
  <c r="AG709" i="2" s="1"/>
  <c r="BN673" i="2"/>
  <c r="BN709" i="2" s="1"/>
  <c r="BR672" i="2"/>
  <c r="BR708" i="2" s="1"/>
  <c r="BL673" i="2"/>
  <c r="BL709" i="2" s="1"/>
  <c r="BI672" i="2"/>
  <c r="BI708" i="2" s="1"/>
  <c r="AF674" i="2"/>
  <c r="AF710" i="2" s="1"/>
  <c r="AX675" i="2"/>
  <c r="AX711" i="2" s="1"/>
  <c r="O674" i="2"/>
  <c r="O710" i="2" s="1"/>
  <c r="O675" i="2"/>
  <c r="O711" i="2" s="1"/>
  <c r="BI674" i="2"/>
  <c r="BI710" i="2" s="1"/>
  <c r="BB675" i="2"/>
  <c r="BB711" i="2" s="1"/>
  <c r="AQ675" i="2"/>
  <c r="AQ711" i="2" s="1"/>
  <c r="BR674" i="2"/>
  <c r="BR710" i="2" s="1"/>
  <c r="CJ674" i="2"/>
  <c r="CJ710" i="2" s="1"/>
  <c r="R675" i="2"/>
  <c r="R711" i="2" s="1"/>
  <c r="X675" i="2"/>
  <c r="X711" i="2" s="1"/>
  <c r="BO675" i="2"/>
  <c r="BO711" i="2" s="1"/>
  <c r="CB675" i="2"/>
  <c r="CB711" i="2" s="1"/>
  <c r="X673" i="2"/>
  <c r="X709" i="2" s="1"/>
  <c r="AD675" i="2"/>
  <c r="AD711" i="2" s="1"/>
  <c r="CB674" i="2"/>
  <c r="CB710" i="2" s="1"/>
  <c r="BJ672" i="2"/>
  <c r="BJ708" i="2" s="1"/>
  <c r="BY673" i="2"/>
  <c r="BY709" i="2" s="1"/>
  <c r="BU673" i="2"/>
  <c r="BU709" i="2" s="1"/>
  <c r="L671" i="2"/>
  <c r="L707" i="2" s="1"/>
  <c r="N671" i="2"/>
  <c r="N707" i="2" s="1"/>
  <c r="CO674" i="2"/>
  <c r="CO710" i="2" s="1"/>
  <c r="BW674" i="2"/>
  <c r="BW710" i="2" s="1"/>
  <c r="AR675" i="2"/>
  <c r="AR711" i="2" s="1"/>
  <c r="W675" i="2"/>
  <c r="W711" i="2" s="1"/>
  <c r="BX673" i="2"/>
  <c r="BX709" i="2" s="1"/>
  <c r="BF674" i="2"/>
  <c r="BF710" i="2" s="1"/>
  <c r="CC675" i="2"/>
  <c r="CC711" i="2" s="1"/>
  <c r="BD672" i="2"/>
  <c r="BD708" i="2" s="1"/>
  <c r="BM673" i="2"/>
  <c r="BM709" i="2" s="1"/>
  <c r="AZ675" i="2"/>
  <c r="AZ711" i="2" s="1"/>
  <c r="BK672" i="2"/>
  <c r="BK708" i="2" s="1"/>
  <c r="BE675" i="2"/>
  <c r="BE711" i="2" s="1"/>
  <c r="X674" i="2"/>
  <c r="X710" i="2" s="1"/>
  <c r="AU674" i="2"/>
  <c r="AU710" i="2" s="1"/>
  <c r="BC672" i="2"/>
  <c r="BC708" i="2" s="1"/>
  <c r="BU675" i="2"/>
  <c r="BU711" i="2" s="1"/>
  <c r="U674" i="2"/>
  <c r="U710" i="2" s="1"/>
  <c r="BM675" i="2"/>
  <c r="BM711" i="2" s="1"/>
  <c r="BX675" i="2"/>
  <c r="BX711" i="2" s="1"/>
  <c r="BC674" i="2"/>
  <c r="BC710" i="2" s="1"/>
  <c r="BZ674" i="2"/>
  <c r="BZ710" i="2" s="1"/>
  <c r="G671" i="2"/>
  <c r="G707" i="2" s="1"/>
  <c r="CF674" i="2"/>
  <c r="CF710" i="2" s="1"/>
  <c r="BM674" i="2"/>
  <c r="BM710" i="2" s="1"/>
  <c r="AI675" i="2"/>
  <c r="AI711" i="2" s="1"/>
  <c r="AS674" i="2"/>
  <c r="AS710" i="2" s="1"/>
  <c r="AX674" i="2"/>
  <c r="AX710" i="2" s="1"/>
  <c r="AB675" i="2"/>
  <c r="AB711" i="2" s="1"/>
  <c r="BW672" i="2"/>
  <c r="BW708" i="2" s="1"/>
  <c r="CB673" i="2"/>
  <c r="CB709" i="2" s="1"/>
  <c r="CI673" i="2"/>
  <c r="CI709" i="2" s="1"/>
  <c r="BQ674" i="2"/>
  <c r="BQ710" i="2" s="1"/>
  <c r="CD672" i="2"/>
  <c r="CD708" i="2" s="1"/>
  <c r="BP672" i="2"/>
  <c r="BP708" i="2" s="1"/>
  <c r="CJ673" i="2"/>
  <c r="CJ709" i="2" s="1"/>
  <c r="AF675" i="2"/>
  <c r="AF711" i="2" s="1"/>
  <c r="CJ672" i="2"/>
  <c r="CJ708" i="2" s="1"/>
  <c r="AJ674" i="2"/>
  <c r="AJ710" i="2" s="1"/>
  <c r="T672" i="2"/>
  <c r="T708" i="2" s="1"/>
  <c r="AJ675" i="2"/>
  <c r="AJ711" i="2" s="1"/>
  <c r="AF672" i="2"/>
  <c r="AF708" i="2" s="1"/>
  <c r="BS673" i="2"/>
  <c r="BS709" i="2" s="1"/>
  <c r="CK675" i="2"/>
  <c r="CK711" i="2" s="1"/>
  <c r="CG675" i="2"/>
  <c r="CG711" i="2" s="1"/>
  <c r="AR672" i="2"/>
  <c r="AR708" i="2" s="1"/>
  <c r="AP674" i="2"/>
  <c r="AP710" i="2" s="1"/>
  <c r="H671" i="2"/>
  <c r="H707" i="2" s="1"/>
  <c r="BW675" i="2"/>
  <c r="BW711" i="2" s="1"/>
  <c r="AV674" i="2"/>
  <c r="AV710" i="2" s="1"/>
  <c r="AD674" i="2"/>
  <c r="AD710" i="2" s="1"/>
  <c r="J671" i="2"/>
  <c r="J707" i="2" s="1"/>
  <c r="BA674" i="2"/>
  <c r="BA710" i="2" s="1"/>
  <c r="AE675" i="2"/>
  <c r="AE711" i="2" s="1"/>
  <c r="BA675" i="2"/>
  <c r="BA711" i="2" s="1"/>
  <c r="BK675" i="2"/>
  <c r="BK711" i="2" s="1"/>
  <c r="BH673" i="2"/>
  <c r="BH709" i="2" s="1"/>
  <c r="CM675" i="2"/>
  <c r="CM711" i="2" s="1"/>
  <c r="BL675" i="2"/>
  <c r="BL711" i="2" s="1"/>
  <c r="CF672" i="2"/>
  <c r="CF708" i="2" s="1"/>
  <c r="W673" i="2"/>
  <c r="W709" i="2" s="1"/>
  <c r="CH674" i="2"/>
  <c r="CH710" i="2" s="1"/>
  <c r="BW673" i="2"/>
  <c r="BW709" i="2" s="1"/>
  <c r="P674" i="2"/>
  <c r="P710" i="2" s="1"/>
  <c r="CE675" i="2"/>
  <c r="CE711" i="2" s="1"/>
  <c r="BY674" i="2"/>
  <c r="BY710" i="2" s="1"/>
  <c r="AE673" i="2"/>
  <c r="AE709" i="2" s="1"/>
  <c r="AT674" i="2"/>
  <c r="AT710" i="2" s="1"/>
  <c r="AT672" i="2"/>
  <c r="AT708" i="2" s="1"/>
  <c r="BS675" i="2"/>
  <c r="BS711" i="2" s="1"/>
  <c r="Q672" i="2"/>
  <c r="Q708" i="2" s="1"/>
  <c r="BB673" i="2"/>
  <c r="BB709" i="2" s="1"/>
  <c r="S672" i="2"/>
  <c r="S708" i="2" s="1"/>
  <c r="P675" i="2"/>
  <c r="P711" i="2" s="1"/>
  <c r="AJ673" i="2"/>
  <c r="AJ709" i="2" s="1"/>
  <c r="BA672" i="2"/>
  <c r="BA708" i="2" s="1"/>
  <c r="AN675" i="2"/>
  <c r="AN711" i="2" s="1"/>
  <c r="Z674" i="2"/>
  <c r="Z710" i="2" s="1"/>
  <c r="T675" i="2"/>
  <c r="T711" i="2" s="1"/>
  <c r="CD674" i="2"/>
  <c r="CD710" i="2" s="1"/>
  <c r="S674" i="2"/>
  <c r="S710" i="2" s="1"/>
  <c r="BC675" i="2"/>
  <c r="BC711" i="2" s="1"/>
  <c r="AR674" i="2"/>
  <c r="AR710" i="2" s="1"/>
  <c r="CA674" i="2"/>
  <c r="CA710" i="2" s="1"/>
  <c r="BP674" i="2"/>
  <c r="BP710" i="2" s="1"/>
  <c r="AE674" i="2"/>
  <c r="AE710" i="2" s="1"/>
  <c r="CD675" i="2"/>
  <c r="CD711" i="2" s="1"/>
  <c r="V674" i="2"/>
  <c r="V710" i="2" s="1"/>
  <c r="AA675" i="2"/>
  <c r="AA711" i="2" s="1"/>
  <c r="Y675" i="2"/>
  <c r="Y711" i="2" s="1"/>
  <c r="BP673" i="2"/>
  <c r="BP709" i="2" s="1"/>
  <c r="AW674" i="2"/>
  <c r="AW710" i="2" s="1"/>
  <c r="BE673" i="2"/>
  <c r="BE709" i="2" s="1"/>
  <c r="AX673" i="2"/>
  <c r="AX709" i="2" s="1"/>
  <c r="CP671" i="2"/>
  <c r="CP707" i="2" s="1"/>
  <c r="E671" i="2"/>
  <c r="E707" i="2" s="1"/>
  <c r="AK674" i="2"/>
  <c r="AK710" i="2" s="1"/>
  <c r="BT675" i="2"/>
  <c r="BT711" i="2" s="1"/>
  <c r="BH674" i="2"/>
  <c r="BH710" i="2" s="1"/>
  <c r="CN674" i="2"/>
  <c r="CN710" i="2" s="1"/>
  <c r="BO674" i="2"/>
  <c r="BO710" i="2" s="1"/>
  <c r="CC674" i="2"/>
  <c r="CC710" i="2" s="1"/>
  <c r="Q674" i="2"/>
  <c r="Q710" i="2" s="1"/>
  <c r="CN672" i="2"/>
  <c r="CN708" i="2" s="1"/>
  <c r="BO673" i="2"/>
  <c r="BO709" i="2" s="1"/>
  <c r="BS672" i="2"/>
  <c r="BS708" i="2" s="1"/>
  <c r="AO674" i="2"/>
  <c r="AO710" i="2" s="1"/>
  <c r="R674" i="2"/>
  <c r="R710" i="2" s="1"/>
  <c r="CL675" i="2"/>
  <c r="CL711" i="2" s="1"/>
  <c r="CB672" i="2"/>
  <c r="CB708" i="2" s="1"/>
  <c r="BS674" i="2"/>
  <c r="BS710" i="2" s="1"/>
  <c r="AW673" i="2"/>
  <c r="AW709" i="2" s="1"/>
  <c r="AM674" i="2"/>
  <c r="AM710" i="2" s="1"/>
  <c r="D716" i="2" l="1"/>
  <c r="H20" i="8" s="1"/>
  <c r="D719" i="2"/>
  <c r="H23" i="8" s="1"/>
  <c r="D717" i="2"/>
  <c r="H21" i="8" s="1"/>
  <c r="D718" i="2"/>
  <c r="H22" i="8" s="1"/>
  <c r="AL671" i="2"/>
  <c r="AL707" i="2" s="1"/>
  <c r="T671" i="2"/>
  <c r="T707" i="2" s="1"/>
  <c r="Q671" i="2"/>
  <c r="Q707" i="2" s="1"/>
  <c r="BE671" i="2"/>
  <c r="BE707" i="2" s="1"/>
  <c r="O671" i="2"/>
  <c r="O707" i="2" s="1"/>
  <c r="BX671" i="2"/>
  <c r="BX707" i="2" s="1"/>
  <c r="CI671" i="2"/>
  <c r="CI707" i="2" s="1"/>
  <c r="CN671" i="2"/>
  <c r="CN707" i="2" s="1"/>
  <c r="BC671" i="2"/>
  <c r="BC707" i="2" s="1"/>
  <c r="CJ671" i="2"/>
  <c r="CJ707" i="2" s="1"/>
  <c r="BV671" i="2"/>
  <c r="BV707" i="2" s="1"/>
  <c r="BS671" i="2"/>
  <c r="BS707" i="2" s="1"/>
  <c r="BB671" i="2"/>
  <c r="BB707" i="2" s="1"/>
  <c r="AP671" i="2"/>
  <c r="AP707" i="2" s="1"/>
  <c r="AZ671" i="2"/>
  <c r="AZ707" i="2" s="1"/>
  <c r="S671" i="2"/>
  <c r="S707" i="2" s="1"/>
  <c r="AQ671" i="2"/>
  <c r="AQ707" i="2" s="1"/>
  <c r="CH671" i="2"/>
  <c r="CH707" i="2" s="1"/>
  <c r="BA671" i="2"/>
  <c r="BA707" i="2" s="1"/>
  <c r="BN671" i="2"/>
  <c r="BN707" i="2" s="1"/>
  <c r="BF671" i="2"/>
  <c r="BF707" i="2" s="1"/>
  <c r="CE671" i="2"/>
  <c r="CE707" i="2" s="1"/>
  <c r="AW671" i="2"/>
  <c r="AW707" i="2" s="1"/>
  <c r="CD671" i="2"/>
  <c r="CD707" i="2" s="1"/>
  <c r="BL671" i="2"/>
  <c r="BL707" i="2" s="1"/>
  <c r="AY671" i="2"/>
  <c r="AY707" i="2" s="1"/>
  <c r="BJ671" i="2"/>
  <c r="BJ707" i="2" s="1"/>
  <c r="CL671" i="2"/>
  <c r="CL707" i="2" s="1"/>
  <c r="BG671" i="2"/>
  <c r="BG707" i="2" s="1"/>
  <c r="BR671" i="2"/>
  <c r="BR707" i="2" s="1"/>
  <c r="R671" i="2"/>
  <c r="R707" i="2" s="1"/>
  <c r="AN671" i="2"/>
  <c r="AN707" i="2" s="1"/>
  <c r="BZ671" i="2"/>
  <c r="BZ707" i="2" s="1"/>
  <c r="CO671" i="2"/>
  <c r="CO707" i="2" s="1"/>
  <c r="CC671" i="2"/>
  <c r="CC707" i="2" s="1"/>
  <c r="V671" i="2"/>
  <c r="V707" i="2" s="1"/>
  <c r="AI671" i="2"/>
  <c r="AI707" i="2" s="1"/>
  <c r="Z671" i="2"/>
  <c r="Z707" i="2" s="1"/>
  <c r="BM671" i="2"/>
  <c r="BM707" i="2" s="1"/>
  <c r="AU671" i="2"/>
  <c r="AU707" i="2" s="1"/>
  <c r="BK671" i="2"/>
  <c r="BK707" i="2" s="1"/>
  <c r="AX671" i="2"/>
  <c r="AX707" i="2" s="1"/>
  <c r="BT671" i="2"/>
  <c r="BT707" i="2" s="1"/>
  <c r="BY671" i="2"/>
  <c r="BY707" i="2" s="1"/>
  <c r="CA671" i="2"/>
  <c r="CA707" i="2" s="1"/>
  <c r="Y671" i="2"/>
  <c r="Y707" i="2" s="1"/>
  <c r="CG671" i="2"/>
  <c r="CG707" i="2" s="1"/>
  <c r="AF671" i="2"/>
  <c r="AF707" i="2" s="1"/>
  <c r="AM671" i="2"/>
  <c r="AM707" i="2" s="1"/>
  <c r="AJ671" i="2"/>
  <c r="AJ707" i="2" s="1"/>
  <c r="BH671" i="2"/>
  <c r="BH707" i="2" s="1"/>
  <c r="AD671" i="2"/>
  <c r="AD707" i="2" s="1"/>
  <c r="AO671" i="2"/>
  <c r="AO707" i="2" s="1"/>
  <c r="CF671" i="2"/>
  <c r="CF707" i="2" s="1"/>
  <c r="AH671" i="2"/>
  <c r="AH707" i="2" s="1"/>
  <c r="BU671" i="2"/>
  <c r="BU707" i="2" s="1"/>
  <c r="AK671" i="2"/>
  <c r="AK707" i="2" s="1"/>
  <c r="U671" i="2"/>
  <c r="U707" i="2" s="1"/>
  <c r="CB671" i="2"/>
  <c r="CB707" i="2" s="1"/>
  <c r="CM671" i="2"/>
  <c r="CM707" i="2" s="1"/>
  <c r="BQ671" i="2"/>
  <c r="BQ707" i="2" s="1"/>
  <c r="CK671" i="2"/>
  <c r="CK707" i="2" s="1"/>
  <c r="AA671" i="2"/>
  <c r="AA707" i="2" s="1"/>
  <c r="AV671" i="2"/>
  <c r="AV707" i="2" s="1"/>
  <c r="BP671" i="2"/>
  <c r="BP707" i="2" s="1"/>
  <c r="AR671" i="2"/>
  <c r="AR707" i="2" s="1"/>
  <c r="AC671" i="2"/>
  <c r="AC707" i="2" s="1"/>
  <c r="P671" i="2"/>
  <c r="P707" i="2" s="1"/>
  <c r="AT671" i="2"/>
  <c r="AT707" i="2" s="1"/>
  <c r="AB671" i="2"/>
  <c r="AB707" i="2" s="1"/>
  <c r="X671" i="2"/>
  <c r="X707" i="2" s="1"/>
  <c r="BO671" i="2"/>
  <c r="BO707" i="2" s="1"/>
  <c r="AE671" i="2"/>
  <c r="AE707" i="2" s="1"/>
  <c r="AG671" i="2"/>
  <c r="AG707" i="2" s="1"/>
  <c r="AS671" i="2"/>
  <c r="AS707" i="2" s="1"/>
  <c r="BI671" i="2"/>
  <c r="BI707" i="2" s="1"/>
  <c r="BW671" i="2"/>
  <c r="BW707" i="2" s="1"/>
  <c r="BD671" i="2"/>
  <c r="BD707" i="2" s="1"/>
  <c r="W671" i="2"/>
  <c r="W707" i="2" s="1"/>
  <c r="D715" i="2" l="1"/>
  <c r="H19" i="8" s="1"/>
  <c r="D723" i="2" l="1"/>
  <c r="H16" i="8" s="1"/>
</calcChain>
</file>

<file path=xl/sharedStrings.xml><?xml version="1.0" encoding="utf-8"?>
<sst xmlns="http://schemas.openxmlformats.org/spreadsheetml/2006/main" count="1993" uniqueCount="851">
  <si>
    <t>Noise Assessment Workbook</t>
  </si>
  <si>
    <t>TAG Reference</t>
  </si>
  <si>
    <t>TAG Unit A3 - Environmental Impact Appraisal</t>
  </si>
  <si>
    <t>Notes</t>
  </si>
  <si>
    <t>This tool is designed to help with valuation of noise impacts, in conjunction with guidance given in TAG Unit A3.</t>
  </si>
  <si>
    <t>To use this tool, the following are required:</t>
  </si>
  <si>
    <t>Year of appraisal</t>
  </si>
  <si>
    <t>Opening year and further forecast year of the analysed scheme/policy</t>
  </si>
  <si>
    <t>The scheme type: road, rail and aviation</t>
  </si>
  <si>
    <t>The numbers of households experiencing different noise levels (in bands of 3dBLeq) in the without and with scheme case for the opening year</t>
  </si>
  <si>
    <t>The numbers of households experiencing different noise levels (in bands of 3dBLeq) in the without and with scheme case for the forecast year</t>
  </si>
  <si>
    <t>Cells requiring user inputs on the 'inputs' sheet are shaded light green. The user inputs required are:</t>
  </si>
  <si>
    <t>Scheme name</t>
  </si>
  <si>
    <t>Scheme opening year</t>
  </si>
  <si>
    <t>Scheme type (road, rail or road/rail)</t>
  </si>
  <si>
    <t>Current year - the year the appraisal is undertaken to ensure the correct profile of discount rates</t>
  </si>
  <si>
    <t>Whether night noise impacts (on sleep disturbance) are to be included</t>
  </si>
  <si>
    <t>Whether night noise impacts (on sleep disturbance) will be assessed using modelling of the Lnight period, or translation from daytime noise measures.</t>
  </si>
  <si>
    <t>The numbers of households experiencing different noise levels (in bands of 3dBLeq, 16hr) in the without and with scheme case for the opening year</t>
  </si>
  <si>
    <t>(and in bands of 3dBLnight, if night time impacts are being assessed using modelling of that period).</t>
  </si>
  <si>
    <t>The numbers of households experiencing different noise levels (in bands of 3dBLeq, 16hr) in the without and with scheme case for the forecast year</t>
  </si>
  <si>
    <t>Assumed average household size over the appraisal period (with a default of 2.3, consistent with the derivation of the values used).</t>
  </si>
  <si>
    <t>The other standard inputs are taken from the TAG data book / guidance:</t>
  </si>
  <si>
    <t>Values for changes in noise levels for different sources of noise (road, rail and aviation) and impact pathways</t>
  </si>
  <si>
    <t>Standard 60-year appraisal period</t>
  </si>
  <si>
    <t>Standard DfT base year for present values and prices</t>
  </si>
  <si>
    <t>HMT profile of discount rates</t>
  </si>
  <si>
    <t>GDP deflator series from TAG data book (if results are required for a different base year)</t>
  </si>
  <si>
    <t>Real GDP/cap series for uprating values over time</t>
  </si>
  <si>
    <t>The 'outputs' sheet produces a worksheet of outputs, as described in TAG Unit A3.</t>
  </si>
  <si>
    <t>Version Control</t>
  </si>
  <si>
    <t>Date</t>
  </si>
  <si>
    <t>Description</t>
  </si>
  <si>
    <t>Updated GDP/cap and GDP deflator forecasts and values of a 1Db change in noise (£/HH/annum) to match with November 2024 TAG Data Book (v1.24)</t>
  </si>
  <si>
    <t>Updated GDP/cap and GDP deflator forecasts and values of a 1Db change in noise (£/HH/annum) to match with May 2024 TAG Data Book (v1.23)</t>
  </si>
  <si>
    <t xml:space="preserve">Updated GDP/cap and GDP deflator forecasts </t>
  </si>
  <si>
    <t>Updated GDP/cap and GDP deflator forecasts and values of a 1Db change in noise (£/HH/annum) to match with May 2022 TAG Data Book (v1.18)</t>
  </si>
  <si>
    <t>Incorporated changes in appraisal accounting from TAG Unit A3; updated GDP/cap and GDP deflator forecasts (Data Book v1.15).</t>
  </si>
  <si>
    <t>OBR FSR sensitivity version: updated GDP/cap and GDP deflator forecasts in line TAG Data Book v1.14</t>
  </si>
  <si>
    <t>Corrected values of a 1Db change in noise (£/HH/annum) to match with July 2020 TAG Data Book: Table A3.1. Updated GDP/cap and GDP deflator forecasts.</t>
  </si>
  <si>
    <t>Updated GDP/cap, GDP deflator forecasts</t>
  </si>
  <si>
    <t>Updated GDP/cap and GDP deflator forecasts</t>
  </si>
  <si>
    <t>Revised workbook structure released as forthcoming change</t>
  </si>
  <si>
    <t>GDP/HH growth updated</t>
  </si>
  <si>
    <t>GDP/HH growth updated following 2014 Budget</t>
  </si>
  <si>
    <t>Definitive release</t>
  </si>
  <si>
    <t>Release of restructured guidance</t>
  </si>
  <si>
    <t>Contact</t>
  </si>
  <si>
    <t>Transport Appraisal and Strategic Modelling (TASM) Division</t>
  </si>
  <si>
    <t>Department for Transport</t>
  </si>
  <si>
    <t>Zone 2/25 Great Minster House</t>
  </si>
  <si>
    <t>33 Horseferry Road</t>
  </si>
  <si>
    <t>London</t>
  </si>
  <si>
    <t>SW1P 4DR</t>
  </si>
  <si>
    <t>tasm@dft.gov.uk</t>
  </si>
  <si>
    <t>Noise  Workbook - Inputs</t>
  </si>
  <si>
    <t>Scheme details</t>
  </si>
  <si>
    <t>Test</t>
  </si>
  <si>
    <t>Scheme_name_in</t>
  </si>
  <si>
    <t>Opening year</t>
  </si>
  <si>
    <t>Opening_year_in</t>
  </si>
  <si>
    <t>Forecast year</t>
  </si>
  <si>
    <t>Forecast_year_in</t>
  </si>
  <si>
    <t>Scheme type (select from list)</t>
  </si>
  <si>
    <t>road</t>
  </si>
  <si>
    <t>Scheme_type_in</t>
  </si>
  <si>
    <t>Current year</t>
  </si>
  <si>
    <t>Current_year_in</t>
  </si>
  <si>
    <t>Noise modelling inputs</t>
  </si>
  <si>
    <t xml:space="preserve">Night noise impact </t>
  </si>
  <si>
    <t>yes</t>
  </si>
  <si>
    <t>Night_noise_impact_in</t>
  </si>
  <si>
    <t>If night time noise (and sleep disturbance impacts) are to be included, select 'yes'. If night time impacts are to be excluded, select 'no'.</t>
  </si>
  <si>
    <t>Night noise (dB Lnight) modelling</t>
  </si>
  <si>
    <t>no</t>
  </si>
  <si>
    <t>Night_noise_modelling_in</t>
  </si>
  <si>
    <t>If night time (sleep disturbance) impacts are to be calculated from modelling of the Lnight period, select 'yes'. If night time impacts are to be translated from daytime noise metrics (for roads only), select 'no'.</t>
  </si>
  <si>
    <t>Opening year: no. of households experiencing 'without scheme' and 'with scheme' noise levels</t>
  </si>
  <si>
    <t>(dB Leq, 16h)</t>
  </si>
  <si>
    <t>With scheme</t>
  </si>
  <si>
    <t>&lt;45</t>
  </si>
  <si>
    <t>45-48</t>
  </si>
  <si>
    <t>48-51</t>
  </si>
  <si>
    <t>51-54</t>
  </si>
  <si>
    <t>54-57</t>
  </si>
  <si>
    <t>57-60</t>
  </si>
  <si>
    <t>60-63</t>
  </si>
  <si>
    <t>63-66</t>
  </si>
  <si>
    <t>66-69</t>
  </si>
  <si>
    <t>69-72</t>
  </si>
  <si>
    <t>72-75</t>
  </si>
  <si>
    <t>75-78</t>
  </si>
  <si>
    <t>78-81</t>
  </si>
  <si>
    <t>81+</t>
  </si>
  <si>
    <t>Without scheme</t>
  </si>
  <si>
    <t>Opening_without_45_with_xx_in</t>
  </si>
  <si>
    <t>Opening_without_45_48_with_xx_in</t>
  </si>
  <si>
    <t>Opening_without_48_51_with_xx_in</t>
  </si>
  <si>
    <t>Opening_without_51_54_with_xx_in</t>
  </si>
  <si>
    <t>Opening_without_54_57_with_xx_in</t>
  </si>
  <si>
    <t>Opening_without_57_60_with_xx_in</t>
  </si>
  <si>
    <t>Opening_without_60_63_with_xx_in</t>
  </si>
  <si>
    <t>Opening_without_63_66_with_xx_in</t>
  </si>
  <si>
    <t>Opening_without_66_69_with_xx_in</t>
  </si>
  <si>
    <t>Opening_without_69_72_with_xx_in</t>
  </si>
  <si>
    <t>Opening_without_72_75_with_xx_in</t>
  </si>
  <si>
    <t>Opening_without_75_78_with_xx_in</t>
  </si>
  <si>
    <t>Opening_without_78_81_with_xx_in</t>
  </si>
  <si>
    <t>Opening_without_81_with_xx_in</t>
  </si>
  <si>
    <t>(dB Lnight)</t>
  </si>
  <si>
    <t>Opening_without_45_with_xx_night_in</t>
  </si>
  <si>
    <t>Opening_without_45_48_with_xx_night_in</t>
  </si>
  <si>
    <t>Opening_without_48_51_with_xx_night_in</t>
  </si>
  <si>
    <t>Opening_without_51_54_with_xx_night_in</t>
  </si>
  <si>
    <t>Opening_without_54_57_with_xx_night_in</t>
  </si>
  <si>
    <t>Opening_without_57_60_with_xx_night_in</t>
  </si>
  <si>
    <t>Opening_without_60_63_with_xx_night_in</t>
  </si>
  <si>
    <t>Opening_without_63_66_with_xx_night_in</t>
  </si>
  <si>
    <t>Opening_without_66_69_with_xx_night_in</t>
  </si>
  <si>
    <t>Opening_without_69_72_with_xx_night_in</t>
  </si>
  <si>
    <t>Opening_without_72_75_with_xx_night_in</t>
  </si>
  <si>
    <t>Opening_without_75_78_with_xx_night_in</t>
  </si>
  <si>
    <t>Opening_without_78_81_with_xx_night_in</t>
  </si>
  <si>
    <t>Opening_without_81_with_xx_night_in</t>
  </si>
  <si>
    <t>Forecast year: no. of households experiencing 'without scheme' and 'with scheme' noise levels</t>
  </si>
  <si>
    <t>Forecast_without_45_with_xx_in</t>
  </si>
  <si>
    <t>Forecast_without_45_48_with_xx_in</t>
  </si>
  <si>
    <t>Forecast_without_48_51_with_xx_in</t>
  </si>
  <si>
    <t>Forecast_without_51_54_with_xx_in</t>
  </si>
  <si>
    <t>Forecast_without_54_57_with_xx_in</t>
  </si>
  <si>
    <t>Forecast_without_57_60_with_xx_in</t>
  </si>
  <si>
    <t>Forecast_without_60_63_with_xx_in</t>
  </si>
  <si>
    <t>Forecast_without_63_66_with_xx_in</t>
  </si>
  <si>
    <t>Forecast_without_66_69_with_xx_in</t>
  </si>
  <si>
    <t>Forecast_without_69_72_with_xx_in</t>
  </si>
  <si>
    <t>Forecast_without_72_75_with_xx_in</t>
  </si>
  <si>
    <t>Forecast_without_75_78_with_xx_in</t>
  </si>
  <si>
    <t>Forecast_without_78_81_with_xx_in</t>
  </si>
  <si>
    <t>Forecast_without_81_with_xx_in</t>
  </si>
  <si>
    <t>Forecast_without_45_with_xx_night_in</t>
  </si>
  <si>
    <t>Forecast_without_45_48_with_xx_night_in</t>
  </si>
  <si>
    <t>Forecast_without_48_51_with_xx_night_in</t>
  </si>
  <si>
    <t>Forecast_without_51_54_with_xx_night_in</t>
  </si>
  <si>
    <t>Forecast_without_54_57_with_xx_night_in</t>
  </si>
  <si>
    <t>Forecast_without_57_60_with_xx_night_in</t>
  </si>
  <si>
    <t>Forecast_without_60_63_with_xx_night_in</t>
  </si>
  <si>
    <t>Forecast_without_63_66_with_xx_night_in</t>
  </si>
  <si>
    <t>Forecast_without_66_69_with_xx_night_in</t>
  </si>
  <si>
    <t>Forecast_without_69_72_with_xx_night_in</t>
  </si>
  <si>
    <t>Forecast_without_72_75_with_xx_night_in</t>
  </si>
  <si>
    <t>Forecast_without_75_78_with_xx_night_in</t>
  </si>
  <si>
    <t>Forecast_without_78_81_with_xx_night_in</t>
  </si>
  <si>
    <t>Forecast_without_81_with_xx_night_in</t>
  </si>
  <si>
    <t>Value of a 1dB change in noise, £/HH/annum</t>
  </si>
  <si>
    <t>Income base year</t>
  </si>
  <si>
    <t>Income_base_values_in</t>
  </si>
  <si>
    <t>Price base year</t>
  </si>
  <si>
    <t>Price_base_values_in</t>
  </si>
  <si>
    <t>Assumed average household size</t>
  </si>
  <si>
    <t>Default_HH_size_in</t>
  </si>
  <si>
    <t>Road</t>
  </si>
  <si>
    <t>Noise change in the interval, (dB Leq, 16hr)</t>
  </si>
  <si>
    <t>&lt;</t>
  </si>
  <si>
    <t>Sleep disturbance</t>
  </si>
  <si>
    <t>Sleep_disturbance_values_road_1dB_16hr_in</t>
  </si>
  <si>
    <t>Amenity</t>
  </si>
  <si>
    <t>Amenity_values_road_1dB_in</t>
  </si>
  <si>
    <t>AMI</t>
  </si>
  <si>
    <t>AMI_values_road_1dB_in</t>
  </si>
  <si>
    <t>Stroke</t>
  </si>
  <si>
    <t>Stroke_values_road_1dB_in</t>
  </si>
  <si>
    <t>Dementia</t>
  </si>
  <si>
    <t>Dementia_values_road_1db_in</t>
  </si>
  <si>
    <t>Noise change in the interval, (Lnight)</t>
  </si>
  <si>
    <t>Sleep_disturbance_values_road_1dB_night_in</t>
  </si>
  <si>
    <t>Rail</t>
  </si>
  <si>
    <t>Amenity_values_rail_1dB_in</t>
  </si>
  <si>
    <t>AMI_values_rail_1dB_in</t>
  </si>
  <si>
    <t>Stroke_values_rail_1dB_in</t>
  </si>
  <si>
    <t>Dementia_values_rail_1db_in</t>
  </si>
  <si>
    <t>Sleep_disturbance_values_rail_1dB_night_in</t>
  </si>
  <si>
    <t>Aviation</t>
  </si>
  <si>
    <t>Amenity_values_aviation_1dB_in</t>
  </si>
  <si>
    <t>AMI_values_aviation_1dB_in</t>
  </si>
  <si>
    <t>Stroke_values_aviation_1dB_in</t>
  </si>
  <si>
    <t>Dementia_values_aviation_1db_in</t>
  </si>
  <si>
    <t>Sleep_disturbance_values_aviation_1dB_night_in</t>
  </si>
  <si>
    <t>source:</t>
  </si>
  <si>
    <t>TAG data book v1.24 (Nov 2024). Table A3.1.</t>
  </si>
  <si>
    <t>Appraisal period and discounting</t>
  </si>
  <si>
    <t>Appraisal period (years)</t>
  </si>
  <si>
    <t>Appraisal_period_length_in</t>
  </si>
  <si>
    <t>PV base year</t>
  </si>
  <si>
    <t>PV_base_year_in</t>
  </si>
  <si>
    <t>Outputs price year</t>
  </si>
  <si>
    <t>Price_base_outputs_in</t>
  </si>
  <si>
    <t>discount period 1</t>
  </si>
  <si>
    <t>Discount_period_1_in</t>
  </si>
  <si>
    <t>discount period 2</t>
  </si>
  <si>
    <t>Discount_period_2_in</t>
  </si>
  <si>
    <t>discount period 3</t>
  </si>
  <si>
    <t>Discount_period_3_in</t>
  </si>
  <si>
    <t>discount rate 1</t>
  </si>
  <si>
    <t>Discount_rate_1_in</t>
  </si>
  <si>
    <t>discount rate 2</t>
  </si>
  <si>
    <t>Discount_rate_2_in</t>
  </si>
  <si>
    <t>discount rate 3</t>
  </si>
  <si>
    <t>Discount_rate_3_in</t>
  </si>
  <si>
    <t>TAG Data Book v1.24 (Nov 2024), Table A1.1.1</t>
  </si>
  <si>
    <t>GDP deflator</t>
  </si>
  <si>
    <t>GDP_deflator_in</t>
  </si>
  <si>
    <t>Real GDP per capita</t>
  </si>
  <si>
    <t>GDP_capita_in</t>
  </si>
  <si>
    <t>TAG Data Book v1.24 Nov 2024, Annual Parameters</t>
  </si>
  <si>
    <t>Income elasticity (for uprating)</t>
  </si>
  <si>
    <t>income_elasticity_in</t>
  </si>
  <si>
    <t>Household size - user input</t>
  </si>
  <si>
    <t>Household_size_user_input_in</t>
  </si>
  <si>
    <t>Noise  Workbook - Calculations</t>
  </si>
  <si>
    <t>Opening_without_45_with_xx</t>
  </si>
  <si>
    <t>Opening_without_45_48_with_xx</t>
  </si>
  <si>
    <t>Opening_without_48_51_with_xx</t>
  </si>
  <si>
    <t>Opening_without_51_54_with_xx</t>
  </si>
  <si>
    <t>Opening_without_54_57_with_xx</t>
  </si>
  <si>
    <t>Opening_without_57_60_with_xx</t>
  </si>
  <si>
    <t>Opening_without_60_63_with_xx</t>
  </si>
  <si>
    <t>Opening_without_63_66_with_xx</t>
  </si>
  <si>
    <t>Opening_without_66_69_with_xx</t>
  </si>
  <si>
    <t>Opening_without_69_72_with_xx</t>
  </si>
  <si>
    <t>Opening_without_72_75_with_xx</t>
  </si>
  <si>
    <t>Opening_without_75_78_with_xx</t>
  </si>
  <si>
    <t>Opening_without_78_81_with_xx</t>
  </si>
  <si>
    <t>Opening_without_81_with_xx</t>
  </si>
  <si>
    <t>Opening_without_45_with_xx_night</t>
  </si>
  <si>
    <t>Opening_without_45_48_with_xx_night</t>
  </si>
  <si>
    <t>Opening_without_48_51_with_xx_night</t>
  </si>
  <si>
    <t>Opening_without_51_54_with_xx_night</t>
  </si>
  <si>
    <t>Opening_without_54_57_with_xx_night</t>
  </si>
  <si>
    <t>Opening_without_57_60_with_xx_night</t>
  </si>
  <si>
    <t>Opening_without_60_63_with_xx_night</t>
  </si>
  <si>
    <t>Opening_without_63_66_with_xx_night</t>
  </si>
  <si>
    <t>Opening_without_66_69_with_xx_night</t>
  </si>
  <si>
    <t>Opening_without_69_72_with_xx_night</t>
  </si>
  <si>
    <t>Opening_without_72_75_with_xx_night</t>
  </si>
  <si>
    <t>Opening_without_75_78_with_xx_night</t>
  </si>
  <si>
    <t>Opening_without_78_81_with_xx_night</t>
  </si>
  <si>
    <t>Opening_without_81_with_xx_night</t>
  </si>
  <si>
    <t>HH with increased noise</t>
  </si>
  <si>
    <t>Forecast_HH_increased_noise_day</t>
  </si>
  <si>
    <t>Forecast_without_45_with_xx</t>
  </si>
  <si>
    <t>Forecast_without_45_48_with_xx</t>
  </si>
  <si>
    <t>Forecast_without_48_51_with_xx</t>
  </si>
  <si>
    <t>Forecast_without_51_54_with_xx</t>
  </si>
  <si>
    <t>Forecast_without_54_57_with_xx</t>
  </si>
  <si>
    <t>Forecast_without_57_60_with_xx</t>
  </si>
  <si>
    <t>Forecast_without_60_63_with_xx</t>
  </si>
  <si>
    <t>Forecast_without_63_66_with_xx</t>
  </si>
  <si>
    <t>Forecast_without_66_69_with_xx</t>
  </si>
  <si>
    <t>Forecast_without_69_72_with_xx</t>
  </si>
  <si>
    <t>Forecast_without_72_75_with_xx</t>
  </si>
  <si>
    <t>Forecast_without_75_78_with_xx</t>
  </si>
  <si>
    <t>Forecast_without_78_81_with_xx</t>
  </si>
  <si>
    <t>Forecast_without_81_with_xx</t>
  </si>
  <si>
    <t>HH with decrease in noise</t>
  </si>
  <si>
    <t>Forecast_HH_decreased_noise_day</t>
  </si>
  <si>
    <t>Forecast_HH_increased_noise_night</t>
  </si>
  <si>
    <t>Forecast_without_45_with_xx_night</t>
  </si>
  <si>
    <t>Forecast_without_45_48_with_xx_night</t>
  </si>
  <si>
    <t>Forecast_without_48_51_with_xx_night</t>
  </si>
  <si>
    <t>Forecast_without_51_54_with_xx_night</t>
  </si>
  <si>
    <t>Forecast_without_54_57_with_xx_night</t>
  </si>
  <si>
    <t>Forecast_without_57_60_with_xx_night</t>
  </si>
  <si>
    <t>Forecast_without_60_63_with_xx_night</t>
  </si>
  <si>
    <t>Forecast_without_63_66_with_xx_night</t>
  </si>
  <si>
    <t>Forecast_without_66_69_with_xx_night</t>
  </si>
  <si>
    <t>Forecast_without_69_72_with_xx_night</t>
  </si>
  <si>
    <t>Forecast_without_72_75_with_xx_night</t>
  </si>
  <si>
    <t>Forecast_without_75_78_with_xx_night</t>
  </si>
  <si>
    <t>Forecast_without_78_81_with_xx_night</t>
  </si>
  <si>
    <t>Forecast_without_81_with_xx_night</t>
  </si>
  <si>
    <t>Forecast_HH_decreased_noise_night</t>
  </si>
  <si>
    <t>Households experiencing increase (day)</t>
  </si>
  <si>
    <t>Total_HH_increase_day</t>
  </si>
  <si>
    <t>Households experiencing decrease (day)</t>
  </si>
  <si>
    <t>Total_HH_reduction_day</t>
  </si>
  <si>
    <t>Households experiencing increase (night)</t>
  </si>
  <si>
    <t>Total_HH_increase_night</t>
  </si>
  <si>
    <t>Households experiencing decrease (night)</t>
  </si>
  <si>
    <t>Total_HH_reduction_night</t>
  </si>
  <si>
    <t>Noise valuations, £/household/annum</t>
  </si>
  <si>
    <t>Mode</t>
  </si>
  <si>
    <t>Scheme_type</t>
  </si>
  <si>
    <t>Road_mask</t>
  </si>
  <si>
    <t>Rail_mask</t>
  </si>
  <si>
    <t>Aviation_mask</t>
  </si>
  <si>
    <t>Night noise impact</t>
  </si>
  <si>
    <t>Night_noise_impact</t>
  </si>
  <si>
    <t>Impact on night noise</t>
  </si>
  <si>
    <t>Night_impact_mask</t>
  </si>
  <si>
    <t>No impact on night noise</t>
  </si>
  <si>
    <t>Non_night_impact_mask</t>
  </si>
  <si>
    <t>Night-noise modelling</t>
  </si>
  <si>
    <t>Night_noise_modelling</t>
  </si>
  <si>
    <t>Leq night modelled</t>
  </si>
  <si>
    <t>Night_modelling_mask</t>
  </si>
  <si>
    <t>Leq night not modelled</t>
  </si>
  <si>
    <t>Non_night_modelling_mask</t>
  </si>
  <si>
    <t>Noise change in the interval</t>
  </si>
  <si>
    <t>Masks</t>
  </si>
  <si>
    <t>Road value (Lnight)</t>
  </si>
  <si>
    <t>Sleep_disturbance_values_road_1dB_night</t>
  </si>
  <si>
    <t>Rail value (Lnight)</t>
  </si>
  <si>
    <t>Sleep_disturbance_values_rail_1dB_night</t>
  </si>
  <si>
    <t>Aviation value (Lnight)</t>
  </si>
  <si>
    <t>Sleep_disturbance_values_aviation_1dB_night</t>
  </si>
  <si>
    <t>Road value (dB Leq, 16hr)</t>
  </si>
  <si>
    <t>Sleep_disturbance_values_road_1dB_16hr</t>
  </si>
  <si>
    <t>Value of the change</t>
  </si>
  <si>
    <t>Sleep_disturbance_values_1dB_table</t>
  </si>
  <si>
    <t>lower bound 3dB band</t>
  </si>
  <si>
    <t>contribution of 1dB band</t>
  </si>
  <si>
    <t>S_d_1_to_3_dB_band_45</t>
  </si>
  <si>
    <t>values to values by 3dB</t>
  </si>
  <si>
    <t>S_d_1_to_3_dB_band_45-48</t>
  </si>
  <si>
    <t>bands</t>
  </si>
  <si>
    <t>S_d_1_to_3_dB_band_48-51</t>
  </si>
  <si>
    <t>S_d_1_to_3_dB_band_51-54</t>
  </si>
  <si>
    <t>S_d_1_to_3_dB_band_54-57</t>
  </si>
  <si>
    <t>S_d_1_to_3_dB_band_57-60</t>
  </si>
  <si>
    <t>S_d_1_to_3_dB_band_60-63</t>
  </si>
  <si>
    <t>S_d_1_to_3_dB_band_63-66</t>
  </si>
  <si>
    <t>S_d_1_to_3_dB_band_66-69</t>
  </si>
  <si>
    <t>S_d_1_to_3_dB_band_69-72</t>
  </si>
  <si>
    <t>S_d_1_to_3_dB_band_72-75</t>
  </si>
  <si>
    <t>S_d_1_to_3_dB_band_75-78</t>
  </si>
  <si>
    <t>S_d_1_to_3_dB_band_78-81</t>
  </si>
  <si>
    <t>Sleep_disturbance_values_3dB_table</t>
  </si>
  <si>
    <t>Noise_3dB_bands</t>
  </si>
  <si>
    <t>Without_45_with_xx_sleep_disturbance_value</t>
  </si>
  <si>
    <t>Without_45_48_with_xx_sleep_disturbance_value</t>
  </si>
  <si>
    <t>Without_48_51_with_xx_sleep_disturbance_value</t>
  </si>
  <si>
    <t>Without_51_54_with_xx_sleep_disturbance_value</t>
  </si>
  <si>
    <t>Without_54_57_with_xx_sleep_disturbance_value</t>
  </si>
  <si>
    <t>Without_57_60_with_xx_sleep_disturbance_value</t>
  </si>
  <si>
    <t>Without_60_63_with_xx_sleep_disturbance_value</t>
  </si>
  <si>
    <t>Without_63_66_with_xx_sleep_disturbance_value</t>
  </si>
  <si>
    <t>Without_66_69_with_xx_sleep_disturbance_value</t>
  </si>
  <si>
    <t>Without_69_72_with_xx_sleep_disturbance_value</t>
  </si>
  <si>
    <t>Without_72_75_with_xx_sleep_disturbance_value</t>
  </si>
  <si>
    <t>Without_75_78_with_xx_sleep_disturbance_value</t>
  </si>
  <si>
    <t>Without_78_81_with_xx_sleep_disturbance_value</t>
  </si>
  <si>
    <t>Without_81_with_xx_sleep_disturbance_value</t>
  </si>
  <si>
    <t>Road value</t>
  </si>
  <si>
    <t>Amenity_values_road_1dB</t>
  </si>
  <si>
    <t>Rail value</t>
  </si>
  <si>
    <t>Amenity_values_rail_1dB</t>
  </si>
  <si>
    <t>Aviation value</t>
  </si>
  <si>
    <t>Amenity_values_aviation_1dB</t>
  </si>
  <si>
    <t>Amenity_values_1dB_table</t>
  </si>
  <si>
    <t>amenity_1_to_3_dB_band_45</t>
  </si>
  <si>
    <t>amenity_1_to_3_dB_band_45-48</t>
  </si>
  <si>
    <t>amenity_1_to_3_dB_band_48-51</t>
  </si>
  <si>
    <t>amenity_1_to_3_dB_band_51-54</t>
  </si>
  <si>
    <t>amenity_1_to_3_dB_band_54-57</t>
  </si>
  <si>
    <t>amenity_1_to_3_dB_band_57-60</t>
  </si>
  <si>
    <t>amenity_1_to_3_dB_band_60-63</t>
  </si>
  <si>
    <t>amenity_1_to_3_dB_band_63-66</t>
  </si>
  <si>
    <t>amenity_1_to_3_dB_band_66-69</t>
  </si>
  <si>
    <t>amenity_1_to_3_dB_band_69-72</t>
  </si>
  <si>
    <t>amenity_1_to_3_dB_band_72-75</t>
  </si>
  <si>
    <t>amenity_1_to_3_dB_band_75-78</t>
  </si>
  <si>
    <t>amenity_1_to_3_dB_band_78-81</t>
  </si>
  <si>
    <t>Amenity_values_3db_table</t>
  </si>
  <si>
    <t>Without_45_with_xx_amenity_value</t>
  </si>
  <si>
    <t>Without_45_48_with_xx_amenity_value</t>
  </si>
  <si>
    <t>Without_48_51_with_xx_amenity_value</t>
  </si>
  <si>
    <t>Without_51_54_with_xx_amenity_value</t>
  </si>
  <si>
    <t>Without_54_57_with_xx_amenity_value</t>
  </si>
  <si>
    <t>Without_57_60_with_xx_amenity_value</t>
  </si>
  <si>
    <t>Without_60_63_with_xx_amenity_value</t>
  </si>
  <si>
    <t>Without_63_66_with_xx_amenity_value</t>
  </si>
  <si>
    <t>Without_66_69_with_xx_amenity_value</t>
  </si>
  <si>
    <t>Without_69_72_with_xx_amenity_value</t>
  </si>
  <si>
    <t>Without_72_75_with_xx_amenity_value</t>
  </si>
  <si>
    <t>Without_75_78_with_xx_amenity_value</t>
  </si>
  <si>
    <t>Without_78_81_with_xx_amenity_value</t>
  </si>
  <si>
    <t>Without_81_with_xx_amenity_value</t>
  </si>
  <si>
    <t>AMI_values_road_1dB</t>
  </si>
  <si>
    <t>AMI_values_rail_1dB</t>
  </si>
  <si>
    <t>AMI_values_aviation_1dB</t>
  </si>
  <si>
    <t>AMI_values_1dB_table</t>
  </si>
  <si>
    <t>AMI_1_to_3_dB_band_45</t>
  </si>
  <si>
    <t>AMI_1_to_3_dB_band_45-48</t>
  </si>
  <si>
    <t>AMI_1_to_3_dB_band_48-51</t>
  </si>
  <si>
    <t>AMI_1_to_3_dB_band_51-54</t>
  </si>
  <si>
    <t>AMI_1_to_3_dB_band_54-57</t>
  </si>
  <si>
    <t>AMI_1_to_3_dB_band_57-60</t>
  </si>
  <si>
    <t>AMI_1_to_3_dB_band_60-63</t>
  </si>
  <si>
    <t>AMI_1_to_3_dB_band_63-66</t>
  </si>
  <si>
    <t>AMI_1_to_3_dB_band_66-69</t>
  </si>
  <si>
    <t>AMI_1_to_3_dB_band_69-72</t>
  </si>
  <si>
    <t>AMI_1_to_3_dB_band_72-75</t>
  </si>
  <si>
    <t>AMI_1_to_3_dB_band_75-78</t>
  </si>
  <si>
    <t>AMI_1_to_3_dB_band_78-81</t>
  </si>
  <si>
    <t>AMI_values_3db_table</t>
  </si>
  <si>
    <t>Without_45_with_xx_AMI_value</t>
  </si>
  <si>
    <t>Without_45_48_with_xx_AMI_value</t>
  </si>
  <si>
    <t>Without_48_51_with_xx_AMI_value</t>
  </si>
  <si>
    <t>Without_51_54_with_xx_AMI_value</t>
  </si>
  <si>
    <t>Without_54_57_with_xx_AMI_value</t>
  </si>
  <si>
    <t>Without_57_60_with_xx_AMI_value</t>
  </si>
  <si>
    <t>Without_60_63_with_xx_AMI_value</t>
  </si>
  <si>
    <t>Without_63_66_with_xx_AMI_value</t>
  </si>
  <si>
    <t>Without_66_69_with_xx_AMI_value</t>
  </si>
  <si>
    <t>Without_69_72_with_xx_AMI_value</t>
  </si>
  <si>
    <t>Without_72_75_with_xx_AMI_value</t>
  </si>
  <si>
    <t>Without_75_78_with_xx_AMI_value</t>
  </si>
  <si>
    <t>Without_78_81_with_xx_AMI_value</t>
  </si>
  <si>
    <t>Without_81_with_xx_AMI_value</t>
  </si>
  <si>
    <t>Stroke_values_road_1dB</t>
  </si>
  <si>
    <t>Stroke_values_rail_1dB</t>
  </si>
  <si>
    <t>Stroke_values_aviation_1dB</t>
  </si>
  <si>
    <t>Stroke_values_1dB_table</t>
  </si>
  <si>
    <t>stroke_1_to_3_dB_band_45</t>
  </si>
  <si>
    <t>stroke_1_to_3_dB_band_45-48</t>
  </si>
  <si>
    <t>stroke_1_to_3_dB_band_48-51</t>
  </si>
  <si>
    <t>stroke_1_to_3_dB_band_51-54</t>
  </si>
  <si>
    <t>stroke_1_to_3_dB_band_54-57</t>
  </si>
  <si>
    <t>stroke_1_to_3_dB_band_57-60</t>
  </si>
  <si>
    <t>stroke_1_to_3_dB_band_60-63</t>
  </si>
  <si>
    <t>stroke_1_to_3_dB_band_63-66</t>
  </si>
  <si>
    <t>stroke_1_to_3_dB_band_66-69</t>
  </si>
  <si>
    <t>stroke_1_to_3_dB_band_69-72</t>
  </si>
  <si>
    <t>stroke_1_to_3_dB_band_72-75</t>
  </si>
  <si>
    <t>stroke_1_to_3_dB_band_75-78</t>
  </si>
  <si>
    <t>stroke_1_to_3_dB_band_78-81</t>
  </si>
  <si>
    <t>Stroke_values_3db_table</t>
  </si>
  <si>
    <t>Without_45_with_xx_stroke_value</t>
  </si>
  <si>
    <t>Without_45_48_with_xx_stroke_value</t>
  </si>
  <si>
    <t>Without_48_51_with_xx_stroke_value</t>
  </si>
  <si>
    <t>Without_51_54_with_xx_stroke_value</t>
  </si>
  <si>
    <t>Without_54_57_with_xx_stroke_value</t>
  </si>
  <si>
    <t>Without_57_60_with_xx_stroke_value</t>
  </si>
  <si>
    <t>Without_60_63_with_xx_stroke_value</t>
  </si>
  <si>
    <t>Without_63_66_with_xx_stroke_value</t>
  </si>
  <si>
    <t>Without_66_69_with_xx_stroke_value</t>
  </si>
  <si>
    <t>Without_69_72_with_xx_stroke_value</t>
  </si>
  <si>
    <t>Without_72_75_with_xx_stroke_value</t>
  </si>
  <si>
    <t>Without_75_78_with_xx_stroke_value</t>
  </si>
  <si>
    <t>Without_78_81_with_xx_stroke_value</t>
  </si>
  <si>
    <t>Without_81_with_xx_stroke_value</t>
  </si>
  <si>
    <t>Dementia_values_road_1dB</t>
  </si>
  <si>
    <t>Dementia_values_rail_1dB</t>
  </si>
  <si>
    <t>Dementia_values_aviation_1dB</t>
  </si>
  <si>
    <t>Dementia_values_1dB_table</t>
  </si>
  <si>
    <t>dementia_1_to_3_dB_band_45</t>
  </si>
  <si>
    <t>dementia_1_to_3_dB_band_45-48</t>
  </si>
  <si>
    <t>dementia_1_to_3_dB_band_48-51</t>
  </si>
  <si>
    <t>dementia_1_to_3_dB_band_51-54</t>
  </si>
  <si>
    <t>dementia_1_to_3_dB_band_54-57</t>
  </si>
  <si>
    <t>dementia_1_to_3_dB_band_57-60</t>
  </si>
  <si>
    <t>dementia_1_to_3_dB_band_60-63</t>
  </si>
  <si>
    <t>dementia_1_to_3_dB_band_63-66</t>
  </si>
  <si>
    <t>dementia_1_to_3_dB_band_66-69</t>
  </si>
  <si>
    <t>dementia_1_to_3_dB_band_69-72</t>
  </si>
  <si>
    <t>dementia_1_to_3_dB_band_72-75</t>
  </si>
  <si>
    <t>dementia_1_to_3_dB_band_75-78</t>
  </si>
  <si>
    <t>dementia_1_to_3_dB_band_78-81</t>
  </si>
  <si>
    <t>dementia_values_3db_table</t>
  </si>
  <si>
    <t>Without_45_with_xx_dementia_value</t>
  </si>
  <si>
    <t>Without_45_48_with_xx_dementia_value</t>
  </si>
  <si>
    <t>Without_48_51_with_xx_dementia_value</t>
  </si>
  <si>
    <t>Without_51_54_with_xx_dementia_value</t>
  </si>
  <si>
    <t>Without_54_57_with_xx_dementia_value</t>
  </si>
  <si>
    <t>Without_57_60_with_xx_dementia_value</t>
  </si>
  <si>
    <t>Without_60_63_with_xx_dementia_value</t>
  </si>
  <si>
    <t>Without_63_66_with_xx_dementia_value</t>
  </si>
  <si>
    <t>Without_66_69_with_xx_dementia_value</t>
  </si>
  <si>
    <t>Without_69_72_with_xx_dementia_value</t>
  </si>
  <si>
    <t>Without_72_75_with_xx_dementia_value</t>
  </si>
  <si>
    <t>Without_75_78_with_xx_dementia_value</t>
  </si>
  <si>
    <t>Without_78_81_with_xx_dementia_value</t>
  </si>
  <si>
    <t>Without_81_with_xx_dementia_value</t>
  </si>
  <si>
    <t>Noise cost</t>
  </si>
  <si>
    <t>Opening year: sleep disturbance</t>
  </si>
  <si>
    <t>Opening_without_45_with_xx_sleep_disturbance_cost</t>
  </si>
  <si>
    <t>Opening_without_45_48_with_xx_sleep_disturbance_cost</t>
  </si>
  <si>
    <t>Opening_without_48_51_with_xx_sleep_disturbance_cost</t>
  </si>
  <si>
    <t>Opening_without_51_54_with_xx_sleep_disturbance_cost</t>
  </si>
  <si>
    <t>Opening_without_54_57_with_xx_sleep_disturbance_cost</t>
  </si>
  <si>
    <t>Opening_without_57_60_with_xx_sleep_disturbance_cost</t>
  </si>
  <si>
    <t>Opening_without_60_63_with_xx_sleep_disturbance_cost</t>
  </si>
  <si>
    <t>Opening_without_63_66_with_xx_sleep_disturbance_cost</t>
  </si>
  <si>
    <t>Opening_without_66_69_with_xx_sleep_disturbance_cost</t>
  </si>
  <si>
    <t>Opening_without_69_72_with_xx_sleep_disturbance_cost</t>
  </si>
  <si>
    <t>Opening_without_72_75_with_xx_sleep_disturbance_cost</t>
  </si>
  <si>
    <t>Opening_without_75_78_with_xx_sleep_disturbance_cost</t>
  </si>
  <si>
    <t>Opening_without_78_81_with_xx_sleep_disturbance_cost</t>
  </si>
  <si>
    <t>Opening_without_81_with_xx_sleep_disturbance_cost</t>
  </si>
  <si>
    <t>Opening year sleep disturbance cost</t>
  </si>
  <si>
    <t>Opening_year_sleep_disturbance_cost</t>
  </si>
  <si>
    <t>Forecast year: sleep disturbance</t>
  </si>
  <si>
    <t>Forecast_without_45_with_xx_sleep_disturbance_cost</t>
  </si>
  <si>
    <t>Forecast_without_45_48_with_xx_sleep_disturbance_cost</t>
  </si>
  <si>
    <t>Forecast_without_48_51_with_xx_sleep_disturbance_cost</t>
  </si>
  <si>
    <t>Forecast_without_51_54_with_xx_sleep_disturbance_cost</t>
  </si>
  <si>
    <t>Forecast_without_54_57_with_xx_sleep_disturbance_cost</t>
  </si>
  <si>
    <t>Forecast_without_57_60_with_xx_sleep_disturbance_cost</t>
  </si>
  <si>
    <t>Forecast_without_60_63_with_xx_sleep_disturbance_cost</t>
  </si>
  <si>
    <t>Forecast_without_63_66_with_xx_sleep_disturbance_cost</t>
  </si>
  <si>
    <t>Forecast_without_66_69_with_xx_sleep_disturbance_cost</t>
  </si>
  <si>
    <t>Forecast_without_69_72_with_xx_sleep_disturbance_cost</t>
  </si>
  <si>
    <t>Forecast_without_72_75_with_xx_sleep_disturbance_cost</t>
  </si>
  <si>
    <t>Forecast_without_75_78_with_xx_sleep_disturbance_cost</t>
  </si>
  <si>
    <t>Forecast_without_78_81_with_xx_sleep_disturbance_cost</t>
  </si>
  <si>
    <t>Forecast_without_81_with_xx_sleep_disturbance_cost</t>
  </si>
  <si>
    <t>Forecast year sleep disturbance cost</t>
  </si>
  <si>
    <t>Forecast_year_sleep_disturbance_cost</t>
  </si>
  <si>
    <t>Difference in sleep disturbance cost</t>
  </si>
  <si>
    <t>Difference_sleep_disturbance_cost</t>
  </si>
  <si>
    <t>Opening year: amenity</t>
  </si>
  <si>
    <t>Opening_without_45_with_xx_amenity_cost</t>
  </si>
  <si>
    <t>Opening_without_45_48_with_xx_amenity_cost</t>
  </si>
  <si>
    <t>Opening_without_48_51_with_xx_amenity_cost</t>
  </si>
  <si>
    <t>Opening_without_51_54_with_xx_amenity_cost</t>
  </si>
  <si>
    <t>Opening_without_54_57_with_xx_amenity_cost</t>
  </si>
  <si>
    <t>Opening_without_57_60_with_xx_amenity_cost</t>
  </si>
  <si>
    <t>Opening_without_60_63_with_xx_amenity_cost</t>
  </si>
  <si>
    <t>Opening_without_63_66_with_xx_amenity_cost</t>
  </si>
  <si>
    <t>Opening_without_66_69_with_xx_amenity_cost</t>
  </si>
  <si>
    <t>Opening_without_69_72_with_xx_amenity_cost</t>
  </si>
  <si>
    <t>Opening_without_72_75_with_xx_amenity_cost</t>
  </si>
  <si>
    <t>Opening_without_75_78_with_xx_amenity_cost</t>
  </si>
  <si>
    <t>Opening_without_78_81_with_xx_amenity_cost</t>
  </si>
  <si>
    <t>Opening_without_81_with_xx_amenity_cost</t>
  </si>
  <si>
    <t>Opening year amenity cost</t>
  </si>
  <si>
    <t>Opening_year_amenity_cost</t>
  </si>
  <si>
    <t>Forecast year: amenity</t>
  </si>
  <si>
    <t>Forecast_without_45_with_xx_amenity_cost</t>
  </si>
  <si>
    <t>Forecast_without_45_48_with_xx_amenity_cost</t>
  </si>
  <si>
    <t>Forecast_without_48_51_with_xx_amenity_cost</t>
  </si>
  <si>
    <t>Forecast_without_51_54_with_xx_amenity_cost</t>
  </si>
  <si>
    <t>Forecast_without_54_57_with_xx_amenity_cost</t>
  </si>
  <si>
    <t>Forecast_without_57_60_with_xx_amenity_cost</t>
  </si>
  <si>
    <t>Forecast_without_60_63_with_xx_amenity_cost</t>
  </si>
  <si>
    <t>Forecast_without_63_66_with_xx_amenity_cost</t>
  </si>
  <si>
    <t>Forecast_without_66_69_with_xx_amenity_cost</t>
  </si>
  <si>
    <t>Forecast_without_69_72_with_xx_amenity_cost</t>
  </si>
  <si>
    <t>Forecast_without_72_75_with_xx_amenity_cost</t>
  </si>
  <si>
    <t>Forecast_without_75_78_with_xx_amenity_cost</t>
  </si>
  <si>
    <t>Forecast_without_78_81_with_xx_amenity_cost</t>
  </si>
  <si>
    <t>Forecast_without_81_with_xx_amenity_cost</t>
  </si>
  <si>
    <t>Forecast year amenity cost</t>
  </si>
  <si>
    <t>Forecast_year_amenity_cost</t>
  </si>
  <si>
    <t>Difference in amenity cost</t>
  </si>
  <si>
    <t>Difference_amenity_cost</t>
  </si>
  <si>
    <t>Opening year: AMI</t>
  </si>
  <si>
    <t>Opening_without_45_with_xx_AMI_cost</t>
  </si>
  <si>
    <t>Opening_without_45_48_with_xx_AMI_cost</t>
  </si>
  <si>
    <t>Opening_without_48_51_with_xx_AMI_cost</t>
  </si>
  <si>
    <t>Opening_without_51_54_with_xx_AMI_cost</t>
  </si>
  <si>
    <t>Opening_without_54_57_with_xx_AMI_cost</t>
  </si>
  <si>
    <t>Opening_without_57_60_with_xx_AMI_cost</t>
  </si>
  <si>
    <t>Opening_without_60_63_with_xx_AMI_cost</t>
  </si>
  <si>
    <t>Opening_without_63_66_with_xx_AMI_cost</t>
  </si>
  <si>
    <t>Opening_without_66_69_with_xx_AMI_cost</t>
  </si>
  <si>
    <t>Opening_without_69_72_with_xx_AMI_cost</t>
  </si>
  <si>
    <t>Opening_without_72_75_with_xx_AMI_cost</t>
  </si>
  <si>
    <t>Opening_without_75_78_with_xx_AMI_cost</t>
  </si>
  <si>
    <t>Opening_without_78_81_with_xx_AMI_cost</t>
  </si>
  <si>
    <t>Opening_without_81_with_xx_AMI_cost</t>
  </si>
  <si>
    <t>Opening year AMI cost</t>
  </si>
  <si>
    <t>Opening_year_AMI_cost</t>
  </si>
  <si>
    <t>Forecast year: AMI</t>
  </si>
  <si>
    <t>Forecast_without_45_with_xx_AMI_cost</t>
  </si>
  <si>
    <t>Forecast_without_45_48_with_xx_AMI_cost</t>
  </si>
  <si>
    <t>Forecast_without_48_51_with_xx_AMI_cost</t>
  </si>
  <si>
    <t>Forecast_without_51_54_with_xx_AMI_cost</t>
  </si>
  <si>
    <t>Forecast_without_54_57_with_xx_AMI_cost</t>
  </si>
  <si>
    <t>Forecast_without_57_60_with_xx_AMI_cost</t>
  </si>
  <si>
    <t>Forecast_without_60_63_with_xx_AMI_cost</t>
  </si>
  <si>
    <t>Forecast_without_63_66_with_xx_AMI_cost</t>
  </si>
  <si>
    <t>Forecast_without_66_69_with_xx_AMI_cost</t>
  </si>
  <si>
    <t>Forecast_without_69_72_with_xx_AMI_cost</t>
  </si>
  <si>
    <t>Forecast_without_72_75_with_xx_AMI_cost</t>
  </si>
  <si>
    <t>Forecast_without_75_78_with_xx_AMI_cost</t>
  </si>
  <si>
    <t>Forecast_without_78_81_with_xx_AMI_cost</t>
  </si>
  <si>
    <t>Forecast_without_81_with_xx_AMI_cost</t>
  </si>
  <si>
    <t>Forecast year AMI cost</t>
  </si>
  <si>
    <t>Forecast_year_AMI_cost</t>
  </si>
  <si>
    <t>Difference in AMI cost</t>
  </si>
  <si>
    <t>Difference_AMI_cost</t>
  </si>
  <si>
    <t>Opening year: stroke</t>
  </si>
  <si>
    <t>Opening_without_45_with_xx_stroke_cost</t>
  </si>
  <si>
    <t>Opening_without_45_48_with_xx_stroke_cost</t>
  </si>
  <si>
    <t>Opening_without_48_51_with_xx_stroke_cost</t>
  </si>
  <si>
    <t>Opening_without_51_54_with_xx_stroke_cost</t>
  </si>
  <si>
    <t>Opening_without_54_57_with_xx_stroke_cost</t>
  </si>
  <si>
    <t>Opening_without_57_60_with_xx_stroke_cost</t>
  </si>
  <si>
    <t>Opening_without_60_63_with_xx_stroke_cost</t>
  </si>
  <si>
    <t>Opening_without_63_66_with_xx_stroke_cost</t>
  </si>
  <si>
    <t>Opening_without_66_69_with_xx_stroke_cost</t>
  </si>
  <si>
    <t>Opening_without_69_72_with_xx_stroke_cost</t>
  </si>
  <si>
    <t>Opening_without_72_75_with_xx_stroke_cost</t>
  </si>
  <si>
    <t>Opening_without_75_78_with_xx_stroke_cost</t>
  </si>
  <si>
    <t>Opening_without_78_81_with_xx_stroke_cost</t>
  </si>
  <si>
    <t>Opening_without_81_with_xx_stroke_cost</t>
  </si>
  <si>
    <t>Opening year stroke cost</t>
  </si>
  <si>
    <t>Opening_year_stroke_cost</t>
  </si>
  <si>
    <t>Forecast year: stroke</t>
  </si>
  <si>
    <t>Forecast_without_45_with_xx_stroke_cost</t>
  </si>
  <si>
    <t>Forecast_without_45_48_with_xx_stroke_cost</t>
  </si>
  <si>
    <t>Forecast_without_48_51_with_xx_stroke_cost</t>
  </si>
  <si>
    <t>Forecast_without_51_54_with_xx_stroke_cost</t>
  </si>
  <si>
    <t>Forecast_without_54_57_with_xx_stroke_cost</t>
  </si>
  <si>
    <t>Forecast_without_57_60_with_xx_stroke_cost</t>
  </si>
  <si>
    <t>Forecast_without_60_63_with_xx_stroke_cost</t>
  </si>
  <si>
    <t>Forecast_without_63_66_with_xx_stroke_cost</t>
  </si>
  <si>
    <t>Forecast_without_66_69_with_xx_stroke_cost</t>
  </si>
  <si>
    <t>Forecast_without_69_72_with_xx_stroke_cost</t>
  </si>
  <si>
    <t>Forecast_without_72_75_with_xx_stroke_cost</t>
  </si>
  <si>
    <t>Forecast_without_75_78_with_xx_stroke_cost</t>
  </si>
  <si>
    <t>Forecast_without_78_81_with_xx_stroke_cost</t>
  </si>
  <si>
    <t>Forecast_without_81_with_xx_stroke_cost</t>
  </si>
  <si>
    <t>Forecast year stroke cost</t>
  </si>
  <si>
    <t>Forecast_year_stroke_cost</t>
  </si>
  <si>
    <t>Difference in stroke cost</t>
  </si>
  <si>
    <t>Difference_stroke_cost</t>
  </si>
  <si>
    <t>Opening year: dementia</t>
  </si>
  <si>
    <t>Opening_without_45_with_xx_dementia_cost</t>
  </si>
  <si>
    <t>Opening_without_45_48_with_xx_dementia_cost</t>
  </si>
  <si>
    <t>Opening_without_48_51_with_xx_dementia_cost</t>
  </si>
  <si>
    <t>Opening_without_51_54_with_xx_dementia_cost</t>
  </si>
  <si>
    <t>Opening_without_54_57_with_xx_dementia_cost</t>
  </si>
  <si>
    <t>Opening_without_57_60_with_xx_dementia_cost</t>
  </si>
  <si>
    <t>Opening_without_60_63_with_xx_dementia_cost</t>
  </si>
  <si>
    <t>Opening_without_63_66_with_xx_dementia_cost</t>
  </si>
  <si>
    <t>Opening_without_66_69_with_xx_dementia_cost</t>
  </si>
  <si>
    <t>Opening_without_69_72_with_xx_dementia_cost</t>
  </si>
  <si>
    <t>Opening_without_72_75_with_xx_dementia_cost</t>
  </si>
  <si>
    <t>Opening_without_75_78_with_xx_dementia_cost</t>
  </si>
  <si>
    <t>Opening_without_78_81_with_xx_dementia_cost</t>
  </si>
  <si>
    <t>Opening_without_81_with_xx_dementia_cost</t>
  </si>
  <si>
    <t>Opening year dementia cost</t>
  </si>
  <si>
    <t>Opening_year_dementia_cost</t>
  </si>
  <si>
    <t>Forecast year: dementia</t>
  </si>
  <si>
    <t>Forecast_without_45_with_xx_dementia_cost</t>
  </si>
  <si>
    <t>Forecast_without_45_48_with_xx_dementia_cost</t>
  </si>
  <si>
    <t>Forecast_without_48_51_with_xx_dementia_cost</t>
  </si>
  <si>
    <t>Forecast_without_51_54_with_xx_dementia_cost</t>
  </si>
  <si>
    <t>Forecast_without_54_57_with_xx_dementia_cost</t>
  </si>
  <si>
    <t>Forecast_without_57_60_with_xx_dementia_cost</t>
  </si>
  <si>
    <t>Forecast_without_60_63_with_xx_dementia_cost</t>
  </si>
  <si>
    <t>Forecast_without_63_66_with_xx_dementia_cost</t>
  </si>
  <si>
    <t>Forecast_without_66_69_with_xx_dementia_cost</t>
  </si>
  <si>
    <t>Forecast_without_69_72_with_xx_dementia_cost</t>
  </si>
  <si>
    <t>Forecast_without_72_75_with_xx_dementia_cost</t>
  </si>
  <si>
    <t>Forecast_without_75_78_with_xx_dementia_cost</t>
  </si>
  <si>
    <t>Forecast_without_78_81_with_xx_dementia_cost</t>
  </si>
  <si>
    <t>Forecast_without_81_with_xx_dementia_cost</t>
  </si>
  <si>
    <t>Forecast year dementia cost</t>
  </si>
  <si>
    <t>Forecast_year_dementia_cost</t>
  </si>
  <si>
    <t>Difference in dementia cost</t>
  </si>
  <si>
    <t>Difference_dementia_cost</t>
  </si>
  <si>
    <t>Appraisal period</t>
  </si>
  <si>
    <t>year</t>
  </si>
  <si>
    <t>Opening_year</t>
  </si>
  <si>
    <t>Opening_year_mask</t>
  </si>
  <si>
    <t>Forecast_year</t>
  </si>
  <si>
    <t>Forecast_year_mask</t>
  </si>
  <si>
    <t>Difference (years)</t>
  </si>
  <si>
    <t>Forecast_and_opening_year_difference</t>
  </si>
  <si>
    <t>Appraisal period length (years)</t>
  </si>
  <si>
    <t>Appraisal_period_length</t>
  </si>
  <si>
    <t>Interpolation</t>
  </si>
  <si>
    <t>Interpolation_mask</t>
  </si>
  <si>
    <t>Extrapolation</t>
  </si>
  <si>
    <t>Extrapolation_mask</t>
  </si>
  <si>
    <t>Appraisal_period</t>
  </si>
  <si>
    <t>Check</t>
  </si>
  <si>
    <t>Annual sleep disturbance cost</t>
  </si>
  <si>
    <t>Opening_year_sleep_disturbance_cost_mask</t>
  </si>
  <si>
    <t>Forecast_year_sleep_disturbance_cost_mask</t>
  </si>
  <si>
    <t>Interpolation_sleep_disturbance_cost_mask</t>
  </si>
  <si>
    <t>Extrapolation_sleep_disturbance_cost_mask</t>
  </si>
  <si>
    <t>Total</t>
  </si>
  <si>
    <t>Total_annual_sleep_disturbance_cost</t>
  </si>
  <si>
    <t>Annual amenity cost</t>
  </si>
  <si>
    <t>Opening_year_amenity_cost_mask</t>
  </si>
  <si>
    <t>Forecast_year_amenity_cost_mask</t>
  </si>
  <si>
    <t>Interpolation_amenity_cost_mask</t>
  </si>
  <si>
    <t>Extrapolation_amenity_cost_mask</t>
  </si>
  <si>
    <t>Total_annual_amenity_cost</t>
  </si>
  <si>
    <t>Annual AMI cost</t>
  </si>
  <si>
    <t>Opening_year_AMI_cost_mask</t>
  </si>
  <si>
    <t>Forecast_year_AMI_cost_mask</t>
  </si>
  <si>
    <t>Interpolation_AMI_cost_mask</t>
  </si>
  <si>
    <t>Extrapolation_AMI_cost_mask</t>
  </si>
  <si>
    <t>Total_annual_AMI_cost</t>
  </si>
  <si>
    <t>Annual stroke cost</t>
  </si>
  <si>
    <t>Opening_year_stroke_cost_mask</t>
  </si>
  <si>
    <t>Forecast_year_stroke_cost_mask</t>
  </si>
  <si>
    <t>Interpolation_stroke_cost_mask</t>
  </si>
  <si>
    <t>Extrapolation_stroke_cost_mask</t>
  </si>
  <si>
    <t>Total_annual_stroke_cost</t>
  </si>
  <si>
    <t>Annual dementia cost</t>
  </si>
  <si>
    <t>Opening_year_dementia_cost_mask</t>
  </si>
  <si>
    <t>Forecast_year_dementia_cost_mask</t>
  </si>
  <si>
    <t>Interpolation_dementia_cost_mask</t>
  </si>
  <si>
    <t>Extrapolation_dementia_cost_mask</t>
  </si>
  <si>
    <t>Total_annual_dementia_cost</t>
  </si>
  <si>
    <t>Income and price adjustment</t>
  </si>
  <si>
    <t>GDP deflator index</t>
  </si>
  <si>
    <t>GDP_deflator</t>
  </si>
  <si>
    <t>GDP_capita</t>
  </si>
  <si>
    <t>Uprating mask</t>
  </si>
  <si>
    <t>Noise values price base</t>
  </si>
  <si>
    <t>Noise_values_price_base</t>
  </si>
  <si>
    <t>GDP deflator index - base</t>
  </si>
  <si>
    <t>GDP_deflator_base</t>
  </si>
  <si>
    <t>Outputs price base</t>
  </si>
  <si>
    <t>Outputs_price_base</t>
  </si>
  <si>
    <t>GDP deflator index - for outputs</t>
  </si>
  <si>
    <t>GDP_deflator_outputs</t>
  </si>
  <si>
    <t>Price base adjustment</t>
  </si>
  <si>
    <t>Price_adjustment</t>
  </si>
  <si>
    <t>Income elasticity</t>
  </si>
  <si>
    <t>Noise values income base</t>
  </si>
  <si>
    <t>Noise_values_income_base</t>
  </si>
  <si>
    <t>GDP per capita index - base</t>
  </si>
  <si>
    <t>GDP_capita_base</t>
  </si>
  <si>
    <t>Valuing changes in noise (£)</t>
  </si>
  <si>
    <t>Annual_sleep_disturbance_valuation</t>
  </si>
  <si>
    <t>Annual_amenity_valuation</t>
  </si>
  <si>
    <t>Annual_AMI_valuation</t>
  </si>
  <si>
    <t>Annual_stroke_valuation</t>
  </si>
  <si>
    <t>Annual_dementia_valuation</t>
  </si>
  <si>
    <t>Valuing changes in noise - household size adjusted (£):</t>
  </si>
  <si>
    <t>Household size</t>
  </si>
  <si>
    <t>Default_HH_size</t>
  </si>
  <si>
    <t>Household_size_user_input</t>
  </si>
  <si>
    <t>Household size multiplier</t>
  </si>
  <si>
    <t>Household_size_multiplier</t>
  </si>
  <si>
    <t>Annual_sleep_disturbance_valuation_hh_adj</t>
  </si>
  <si>
    <t>Annual_amenity_valuation_hh_adj</t>
  </si>
  <si>
    <t>Annual_AMI_valuation_hh_adj</t>
  </si>
  <si>
    <t>Annual_stroke_valuation_hh_adj</t>
  </si>
  <si>
    <t>Annual_dementia_valuation_hh_adj</t>
  </si>
  <si>
    <t>Discounting and present values</t>
  </si>
  <si>
    <t>Discount period</t>
  </si>
  <si>
    <t>Current_year</t>
  </si>
  <si>
    <t>PV_base_year</t>
  </si>
  <si>
    <t>Discount_period_1</t>
  </si>
  <si>
    <t>Discount_period_2</t>
  </si>
  <si>
    <t>Discount_period_3</t>
  </si>
  <si>
    <t>Discount period 1</t>
  </si>
  <si>
    <t>Discount_period_1_mask</t>
  </si>
  <si>
    <t>Discount period 2</t>
  </si>
  <si>
    <t>Discount_period_2_mask</t>
  </si>
  <si>
    <t>Discount period 3</t>
  </si>
  <si>
    <t>Discount_period_3_mask</t>
  </si>
  <si>
    <t>Discount rates and factors</t>
  </si>
  <si>
    <t>Discount_rate_1</t>
  </si>
  <si>
    <t>Discount_rate_2</t>
  </si>
  <si>
    <t>Discount_rate_3</t>
  </si>
  <si>
    <t>Discount rate profile</t>
  </si>
  <si>
    <t>Discount_rate_profile</t>
  </si>
  <si>
    <t>Discount factor</t>
  </si>
  <si>
    <t>Discount_factor</t>
  </si>
  <si>
    <t>Discounted noise benefits</t>
  </si>
  <si>
    <t>(positive values represent a benefit -  a reduction in noise)</t>
  </si>
  <si>
    <t>Discounted_annual_sleep_disturbance_valuation</t>
  </si>
  <si>
    <t>Discounted_annual_amenity_valuation</t>
  </si>
  <si>
    <t>Discounted_annual_AMI_valuation</t>
  </si>
  <si>
    <t>Discounted_annual_stroke_valuation</t>
  </si>
  <si>
    <t>Discounted_annual_dementia_valuation</t>
  </si>
  <si>
    <t>Total present value of noise impact pathway</t>
  </si>
  <si>
    <t>Total_discounted_sleep_disturbance_valuation</t>
  </si>
  <si>
    <t>Total_discounted_amenity_valuation</t>
  </si>
  <si>
    <t>Total_discounted_AMI_valuation</t>
  </si>
  <si>
    <t>Total_discounted_stroke_valuation</t>
  </si>
  <si>
    <t>Total_discounted_dementia_valuation</t>
  </si>
  <si>
    <t>Total present value of change in noise: £NPV</t>
  </si>
  <si>
    <t>Noise NPV</t>
  </si>
  <si>
    <t>Total_noise_net_present_value</t>
  </si>
  <si>
    <t>Without_45_with_xx_composite_value</t>
  </si>
  <si>
    <t>Without_45_48_with_xx_composite_value</t>
  </si>
  <si>
    <t>Without_48_51_with_xx_composite_value</t>
  </si>
  <si>
    <t>Without_51_54_with_xx_composite_value</t>
  </si>
  <si>
    <t>Without_54_57_with_xx_composite_value</t>
  </si>
  <si>
    <t>Without_57_60_with_xx_composite_value</t>
  </si>
  <si>
    <t>Without_60_63_with_xx_composite_value</t>
  </si>
  <si>
    <t>Without_63_66_with_xx_composite_value</t>
  </si>
  <si>
    <t>Without_66_69_with_xx_composite_value</t>
  </si>
  <si>
    <t>Without_69_72_with_xx_composite_value</t>
  </si>
  <si>
    <t>Without_72_75_with_xx_composite_value</t>
  </si>
  <si>
    <t>Without_75_78_with_xx_composite_value</t>
  </si>
  <si>
    <t>Without_78_81_with_xx_composite_value</t>
  </si>
  <si>
    <t>Without_81_with_xx_composite_value</t>
  </si>
  <si>
    <t>Opening_without_45_with_xx_composite_cost</t>
  </si>
  <si>
    <t>Opening_without_45_48_with_xx_composite_cost</t>
  </si>
  <si>
    <t>Opening_without_48_51_with_xx_composite_cost</t>
  </si>
  <si>
    <t>Opening_without_51_54_with_xx_composite_cost</t>
  </si>
  <si>
    <t>Opening_without_54_57_with_xx_composite_cost</t>
  </si>
  <si>
    <t>Opening_without_57_60_with_xx_composite_cost</t>
  </si>
  <si>
    <t>Opening_without_60_63_with_xx_composite_cost</t>
  </si>
  <si>
    <t>Opening_without_63_66_with_xx_composite_cost</t>
  </si>
  <si>
    <t>Opening_without_66_69_with_xx_composite_cost</t>
  </si>
  <si>
    <t>Opening_without_69_72_with_xx_composite_cost</t>
  </si>
  <si>
    <t>Opening_without_72_75_with_xx_composite_cost</t>
  </si>
  <si>
    <t>Opening_without_75_78_with_xx_composite_cost</t>
  </si>
  <si>
    <t>Opening_without_78_81_with_xx_composite_cost</t>
  </si>
  <si>
    <t>Opening_without_81_with_xx_composite_cost</t>
  </si>
  <si>
    <t>Opening_year_composite_cost</t>
  </si>
  <si>
    <t>Forecast_without_45_with_xx_composite_cost</t>
  </si>
  <si>
    <t>Forecast_without_45_48_with_xx_composite_cost</t>
  </si>
  <si>
    <t>Forecast_without_48_51_with_xx_composite_cost</t>
  </si>
  <si>
    <t>Forecast_without_51_54_with_xx_composite_cost</t>
  </si>
  <si>
    <t>Forecast_without_54_57_with_xx_composite_cost</t>
  </si>
  <si>
    <t>Forecast_without_57_60_with_xx_composite_cost</t>
  </si>
  <si>
    <t>Forecast_without_60_63_with_xx_composite_cost</t>
  </si>
  <si>
    <t>Forecast_without_63_66_with_xx_composite_cost</t>
  </si>
  <si>
    <t>Forecast_without_66_69_with_xx_composite_cost</t>
  </si>
  <si>
    <t>Forecast_without_69_72_with_xx_composite_cost</t>
  </si>
  <si>
    <t>Forecast_without_72_75_with_xx_composite_cost</t>
  </si>
  <si>
    <t>Forecast_without_75_78_with_xx_composite_cost</t>
  </si>
  <si>
    <t>Forecast_without_78_81_with_xx_composite_cost</t>
  </si>
  <si>
    <t>Forecast_without_81_with_xx_composite_cost</t>
  </si>
  <si>
    <t>Forecast_year_composite_cost</t>
  </si>
  <si>
    <t>Difference in composite cost</t>
  </si>
  <si>
    <t>Noise Workbook - Worksheet 1</t>
  </si>
  <si>
    <t>Proposal Name:</t>
  </si>
  <si>
    <t>Present Value Base Year</t>
  </si>
  <si>
    <t>Current Year</t>
  </si>
  <si>
    <t>Proposal Opening year:</t>
  </si>
  <si>
    <t>Project (Road, Rail or Aviation):</t>
  </si>
  <si>
    <t xml:space="preserve"> </t>
  </si>
  <si>
    <t>Net present value of change in noise (£):</t>
  </si>
  <si>
    <r>
      <t xml:space="preserve">*positive value reflects a </t>
    </r>
    <r>
      <rPr>
        <b/>
        <sz val="7"/>
        <rFont val="Arial"/>
        <family val="2"/>
      </rPr>
      <t>net benefit</t>
    </r>
    <r>
      <rPr>
        <sz val="7"/>
        <rFont val="Arial"/>
        <family val="2"/>
      </rPr>
      <t xml:space="preserve"> (i.e. a reduction in noise)</t>
    </r>
  </si>
  <si>
    <t>Net present value of impact on sleep disturbance (£):</t>
  </si>
  <si>
    <t>Net present value of impact on amenity (£):</t>
  </si>
  <si>
    <t>Net present value of impact on AMI (£):</t>
  </si>
  <si>
    <t>Net present value of impact on stroke (£):</t>
  </si>
  <si>
    <t>Net present value of impact on dementia (£):</t>
  </si>
  <si>
    <t>Quantitative results</t>
  </si>
  <si>
    <t>Households experiencing increased daytime noise in forecast year:</t>
  </si>
  <si>
    <t>Households experiencing reduced daytime noise in forecast year:</t>
  </si>
  <si>
    <t>Households experiencing increased night time noise in forecast year:</t>
  </si>
  <si>
    <t>Households experiencing reduced night time noise in forecast year:</t>
  </si>
  <si>
    <t>Qualitative Comments:</t>
  </si>
  <si>
    <t>Data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</si>
</sst>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quot;£&quot;#,##0"/>
  </numFmts>
  <fonts count="32">
    <font>
      <sz val="10"/>
      <color theme="1"/>
      <name val="Arial"/>
      <family val="2"/>
    </font>
    <font>
      <sz val="11"/>
      <color theme="1"/>
      <name val="Calibri"/>
      <family val="2"/>
      <scheme val="minor"/>
    </font>
    <font>
      <b/>
      <sz val="20"/>
      <color theme="0"/>
      <name val="Calibri"/>
      <family val="2"/>
      <scheme val="minor"/>
    </font>
    <font>
      <b/>
      <sz val="14"/>
      <color theme="0"/>
      <name val="Calibri"/>
      <family val="2"/>
      <scheme val="minor"/>
    </font>
    <font>
      <i/>
      <sz val="11"/>
      <color theme="1"/>
      <name val="Calibri"/>
      <family val="2"/>
      <scheme val="minor"/>
    </font>
    <font>
      <b/>
      <sz val="12"/>
      <color theme="1"/>
      <name val="Calibri"/>
      <family val="2"/>
      <scheme val="minor"/>
    </font>
    <font>
      <b/>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sz val="12"/>
      <name val="Arial"/>
      <family val="2"/>
    </font>
    <font>
      <b/>
      <sz val="11"/>
      <name val="Arial"/>
      <family val="2"/>
    </font>
    <font>
      <b/>
      <u/>
      <sz val="11"/>
      <name val="Arial"/>
      <family val="2"/>
    </font>
    <font>
      <u/>
      <sz val="12"/>
      <name val="Arial"/>
      <family val="2"/>
    </font>
    <font>
      <sz val="11"/>
      <name val="Arial"/>
      <family val="2"/>
    </font>
    <font>
      <sz val="14"/>
      <name val="Arial"/>
      <family val="2"/>
    </font>
    <font>
      <sz val="7"/>
      <name val="Arial"/>
      <family val="2"/>
    </font>
    <font>
      <b/>
      <sz val="7"/>
      <name val="Arial"/>
      <family val="2"/>
    </font>
    <font>
      <b/>
      <sz val="12"/>
      <name val="Arial"/>
      <family val="2"/>
    </font>
    <font>
      <b/>
      <sz val="11"/>
      <color theme="0"/>
      <name val="Calibri"/>
      <family val="2"/>
      <scheme val="minor"/>
    </font>
    <font>
      <b/>
      <sz val="11"/>
      <name val="Calibri"/>
      <family val="2"/>
      <scheme val="minor"/>
    </font>
    <font>
      <i/>
      <sz val="11"/>
      <name val="Calibri"/>
      <family val="2"/>
      <scheme val="minor"/>
    </font>
    <font>
      <b/>
      <sz val="10"/>
      <color indexed="10"/>
      <name val="Arial"/>
      <family val="2"/>
    </font>
    <font>
      <u/>
      <sz val="10"/>
      <color theme="10"/>
      <name val="Arial"/>
      <family val="2"/>
    </font>
    <font>
      <u/>
      <sz val="10"/>
      <name val="Arial"/>
      <family val="2"/>
    </font>
    <font>
      <sz val="11"/>
      <color rgb="FFFF0000"/>
      <name val="Calibri"/>
      <family val="2"/>
      <scheme val="minor"/>
    </font>
    <font>
      <b/>
      <sz val="11"/>
      <color rgb="FFFF0000"/>
      <name val="Calibri"/>
      <family val="2"/>
      <scheme val="minor"/>
    </font>
    <font>
      <sz val="10"/>
      <color rgb="FFFF0000"/>
      <name val="Arial"/>
      <family val="2"/>
    </font>
    <font>
      <sz val="11"/>
      <color theme="1"/>
      <name val="Arial"/>
      <family val="2"/>
    </font>
    <font>
      <u/>
      <sz val="10"/>
      <color indexed="12"/>
      <name val="Arial"/>
      <family val="2"/>
    </font>
  </fonts>
  <fills count="6">
    <fill>
      <patternFill patternType="none"/>
    </fill>
    <fill>
      <patternFill patternType="gray125"/>
    </fill>
    <fill>
      <patternFill patternType="solid">
        <fgColor rgb="FF006E5A"/>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double">
        <color indexed="64"/>
      </bottom>
      <diagonal/>
    </border>
  </borders>
  <cellStyleXfs count="11">
    <xf numFmtId="0" fontId="0" fillId="0" borderId="0"/>
    <xf numFmtId="0" fontId="2" fillId="2" borderId="0"/>
    <xf numFmtId="0" fontId="3" fillId="2" borderId="0"/>
    <xf numFmtId="0" fontId="5" fillId="3" borderId="0"/>
    <xf numFmtId="0" fontId="7" fillId="0" borderId="0"/>
    <xf numFmtId="9" fontId="11" fillId="0" borderId="0" applyFont="0" applyFill="0" applyBorder="0" applyAlignment="0" applyProtection="0"/>
    <xf numFmtId="0" fontId="8" fillId="0" borderId="0"/>
    <xf numFmtId="0" fontId="25" fillId="0" borderId="0" applyNumberFormat="0" applyFill="0" applyBorder="0" applyAlignment="0" applyProtection="0"/>
    <xf numFmtId="43" fontId="11" fillId="0" borderId="0" applyFont="0" applyFill="0" applyBorder="0" applyAlignment="0" applyProtection="0"/>
    <xf numFmtId="0" fontId="31" fillId="0" borderId="0" applyNumberFormat="0" applyFill="0" applyBorder="0" applyAlignment="0" applyProtection="0">
      <alignment vertical="top"/>
      <protection locked="0"/>
    </xf>
    <xf numFmtId="9" fontId="7" fillId="0" borderId="0" applyFont="0" applyFill="0" applyBorder="0" applyAlignment="0" applyProtection="0"/>
  </cellStyleXfs>
  <cellXfs count="146">
    <xf numFmtId="0" fontId="0" fillId="0" borderId="0" xfId="0"/>
    <xf numFmtId="0" fontId="2" fillId="2" borderId="0" xfId="1"/>
    <xf numFmtId="0" fontId="3" fillId="2" borderId="0" xfId="2"/>
    <xf numFmtId="0" fontId="4" fillId="0" borderId="0" xfId="0" applyFont="1"/>
    <xf numFmtId="0" fontId="3" fillId="0" borderId="0" xfId="2" applyFill="1"/>
    <xf numFmtId="0" fontId="5" fillId="3" borderId="0" xfId="3"/>
    <xf numFmtId="0" fontId="4" fillId="4" borderId="0" xfId="3" applyFont="1" applyFill="1"/>
    <xf numFmtId="0" fontId="9" fillId="0" borderId="0" xfId="2" applyFont="1" applyFill="1"/>
    <xf numFmtId="0" fontId="0" fillId="3" borderId="0" xfId="0" applyFill="1"/>
    <xf numFmtId="0" fontId="5" fillId="3" borderId="0" xfId="0" applyFont="1" applyFill="1"/>
    <xf numFmtId="1" fontId="0" fillId="3" borderId="0" xfId="0" applyNumberFormat="1" applyFill="1"/>
    <xf numFmtId="0" fontId="4" fillId="3" borderId="0" xfId="0" applyFont="1" applyFill="1"/>
    <xf numFmtId="0" fontId="9" fillId="0" borderId="0" xfId="0" applyFont="1"/>
    <xf numFmtId="0" fontId="9" fillId="0" borderId="4" xfId="0" applyFont="1" applyBorder="1" applyAlignment="1">
      <alignment horizontal="center" wrapText="1"/>
    </xf>
    <xf numFmtId="1" fontId="9" fillId="0" borderId="4" xfId="0" applyNumberFormat="1" applyFont="1" applyBorder="1" applyAlignment="1">
      <alignment horizontal="center"/>
    </xf>
    <xf numFmtId="0" fontId="9" fillId="0" borderId="4" xfId="0" applyFont="1" applyBorder="1" applyAlignment="1">
      <alignment horizontal="center"/>
    </xf>
    <xf numFmtId="2" fontId="4" fillId="0" borderId="6" xfId="0" applyNumberFormat="1" applyFont="1" applyBorder="1" applyAlignment="1">
      <alignment horizontal="left"/>
    </xf>
    <xf numFmtId="2" fontId="9" fillId="0" borderId="0" xfId="0" applyNumberFormat="1" applyFont="1" applyAlignment="1">
      <alignment horizontal="center" wrapText="1"/>
    </xf>
    <xf numFmtId="0" fontId="9" fillId="0" borderId="0" xfId="0" applyFont="1" applyAlignment="1">
      <alignment horizont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5" fillId="0" borderId="0" xfId="3" applyFill="1"/>
    <xf numFmtId="0" fontId="4" fillId="0" borderId="0" xfId="3" applyFont="1" applyFill="1"/>
    <xf numFmtId="0" fontId="9" fillId="0" borderId="0" xfId="3" applyFont="1" applyFill="1"/>
    <xf numFmtId="2" fontId="4" fillId="0" borderId="0" xfId="0" applyNumberFormat="1" applyFont="1" applyAlignment="1">
      <alignment horizontal="left" vertical="center"/>
    </xf>
    <xf numFmtId="165" fontId="4" fillId="0" borderId="0" xfId="0" applyNumberFormat="1" applyFont="1"/>
    <xf numFmtId="0" fontId="4" fillId="4" borderId="0" xfId="0" applyFont="1" applyFill="1"/>
    <xf numFmtId="0" fontId="5" fillId="0" borderId="0" xfId="2" applyFont="1" applyFill="1"/>
    <xf numFmtId="0" fontId="7" fillId="0" borderId="0" xfId="4"/>
    <xf numFmtId="0" fontId="12" fillId="0" borderId="0" xfId="6" applyFont="1"/>
    <xf numFmtId="0" fontId="17" fillId="0" borderId="0" xfId="6" applyFont="1"/>
    <xf numFmtId="0" fontId="13" fillId="0" borderId="0" xfId="6" applyFont="1"/>
    <xf numFmtId="0" fontId="12" fillId="0" borderId="5" xfId="6" applyFont="1" applyBorder="1" applyAlignment="1">
      <alignment horizontal="right"/>
    </xf>
    <xf numFmtId="0" fontId="14" fillId="0" borderId="0" xfId="6" applyFont="1"/>
    <xf numFmtId="0" fontId="15" fillId="0" borderId="0" xfId="6" applyFont="1"/>
    <xf numFmtId="0" fontId="12" fillId="0" borderId="13" xfId="6" applyFont="1" applyBorder="1" applyAlignment="1">
      <alignment horizontal="center"/>
    </xf>
    <xf numFmtId="0" fontId="12" fillId="0" borderId="0" xfId="6" applyFont="1" applyAlignment="1">
      <alignment horizontal="center"/>
    </xf>
    <xf numFmtId="0" fontId="16" fillId="0" borderId="0" xfId="6" applyFont="1"/>
    <xf numFmtId="0" fontId="12" fillId="5" borderId="14" xfId="6" applyFont="1" applyFill="1" applyBorder="1"/>
    <xf numFmtId="0" fontId="12" fillId="5" borderId="0" xfId="6" applyFont="1" applyFill="1"/>
    <xf numFmtId="0" fontId="14" fillId="5" borderId="0" xfId="6" applyFont="1" applyFill="1"/>
    <xf numFmtId="0" fontId="13" fillId="5" borderId="0" xfId="6" applyFont="1" applyFill="1"/>
    <xf numFmtId="0" fontId="16" fillId="5" borderId="0" xfId="6" applyFont="1" applyFill="1" applyAlignment="1">
      <alignment wrapText="1"/>
    </xf>
    <xf numFmtId="0" fontId="16" fillId="5" borderId="0" xfId="6" applyFont="1" applyFill="1"/>
    <xf numFmtId="166" fontId="12" fillId="0" borderId="13" xfId="6" applyNumberFormat="1" applyFont="1" applyBorder="1" applyAlignment="1">
      <alignment horizontal="center"/>
    </xf>
    <xf numFmtId="166" fontId="12" fillId="0" borderId="0" xfId="6" applyNumberFormat="1" applyFont="1" applyAlignment="1">
      <alignment horizontal="center"/>
    </xf>
    <xf numFmtId="2" fontId="18" fillId="5" borderId="0" xfId="6" applyNumberFormat="1" applyFont="1" applyFill="1" applyAlignment="1">
      <alignment horizontal="left" wrapText="1"/>
    </xf>
    <xf numFmtId="2" fontId="18" fillId="0" borderId="0" xfId="6" applyNumberFormat="1" applyFont="1" applyAlignment="1">
      <alignment horizontal="left" wrapText="1"/>
    </xf>
    <xf numFmtId="0" fontId="16" fillId="5" borderId="14" xfId="6" applyFont="1" applyFill="1" applyBorder="1"/>
    <xf numFmtId="0" fontId="8" fillId="5" borderId="0" xfId="6" applyFill="1"/>
    <xf numFmtId="0" fontId="20" fillId="5" borderId="0" xfId="6" applyFont="1" applyFill="1"/>
    <xf numFmtId="0" fontId="20" fillId="0" borderId="0" xfId="6" applyFont="1"/>
    <xf numFmtId="0" fontId="12" fillId="5" borderId="15" xfId="6" applyFont="1" applyFill="1" applyBorder="1"/>
    <xf numFmtId="1" fontId="4" fillId="0" borderId="0" xfId="0" applyNumberFormat="1" applyFont="1"/>
    <xf numFmtId="0" fontId="21" fillId="2" borderId="0" xfId="2" applyFont="1"/>
    <xf numFmtId="0" fontId="21" fillId="2" borderId="12" xfId="2" applyFont="1" applyBorder="1"/>
    <xf numFmtId="2" fontId="9" fillId="0" borderId="4" xfId="0" applyNumberFormat="1" applyFont="1" applyBorder="1" applyAlignment="1">
      <alignment horizontal="center"/>
    </xf>
    <xf numFmtId="2" fontId="9" fillId="0" borderId="4" xfId="0" applyNumberFormat="1" applyFont="1" applyBorder="1" applyAlignment="1">
      <alignment horizontal="center" wrapText="1"/>
    </xf>
    <xf numFmtId="0" fontId="8" fillId="0" borderId="0" xfId="0" applyFont="1"/>
    <xf numFmtId="0" fontId="4" fillId="0" borderId="0" xfId="2" applyFont="1" applyFill="1"/>
    <xf numFmtId="0" fontId="22" fillId="0" borderId="4" xfId="0" applyFont="1" applyBorder="1" applyAlignment="1">
      <alignment horizontal="center" wrapText="1"/>
    </xf>
    <xf numFmtId="0" fontId="10" fillId="0" borderId="4" xfId="0" applyFont="1" applyBorder="1" applyAlignment="1">
      <alignment horizontal="center"/>
    </xf>
    <xf numFmtId="0" fontId="21" fillId="0" borderId="0" xfId="2" applyFont="1" applyFill="1"/>
    <xf numFmtId="0" fontId="23" fillId="0" borderId="0" xfId="0" applyFont="1" applyAlignment="1">
      <alignment wrapText="1"/>
    </xf>
    <xf numFmtId="0" fontId="23" fillId="0" borderId="0" xfId="0" applyFont="1"/>
    <xf numFmtId="0" fontId="21" fillId="0" borderId="0" xfId="4" applyFont="1"/>
    <xf numFmtId="2" fontId="4" fillId="0" borderId="0" xfId="0" applyNumberFormat="1" applyFont="1" applyAlignment="1">
      <alignment horizontal="center"/>
    </xf>
    <xf numFmtId="0" fontId="10" fillId="0" borderId="0" xfId="4" applyFont="1"/>
    <xf numFmtId="2" fontId="4" fillId="0" borderId="0" xfId="0" applyNumberFormat="1" applyFont="1"/>
    <xf numFmtId="0" fontId="13" fillId="5" borderId="0" xfId="6" applyFont="1" applyFill="1" applyAlignment="1">
      <alignment vertical="center"/>
    </xf>
    <xf numFmtId="0" fontId="16" fillId="5" borderId="0" xfId="6" applyFont="1" applyFill="1" applyAlignment="1">
      <alignment vertical="center" wrapText="1"/>
    </xf>
    <xf numFmtId="0" fontId="16" fillId="5" borderId="0" xfId="6" applyFont="1" applyFill="1" applyAlignment="1">
      <alignment vertical="center"/>
    </xf>
    <xf numFmtId="166" fontId="12" fillId="0" borderId="13" xfId="6" applyNumberFormat="1" applyFont="1" applyBorder="1" applyAlignment="1">
      <alignment horizontal="center" vertical="center"/>
    </xf>
    <xf numFmtId="0" fontId="24" fillId="5" borderId="0" xfId="0" applyFont="1" applyFill="1"/>
    <xf numFmtId="0" fontId="6" fillId="5" borderId="0" xfId="0" applyFont="1" applyFill="1"/>
    <xf numFmtId="0" fontId="7" fillId="5" borderId="0" xfId="0" applyFont="1" applyFill="1"/>
    <xf numFmtId="0" fontId="26" fillId="5" borderId="0" xfId="0" applyFont="1" applyFill="1"/>
    <xf numFmtId="17" fontId="7" fillId="5" borderId="0" xfId="0" applyNumberFormat="1" applyFont="1" applyFill="1" applyAlignment="1">
      <alignment horizontal="left"/>
    </xf>
    <xf numFmtId="17" fontId="7" fillId="0" borderId="0" xfId="0" applyNumberFormat="1" applyFont="1" applyAlignment="1">
      <alignment horizontal="left"/>
    </xf>
    <xf numFmtId="14" fontId="7" fillId="5" borderId="0" xfId="0" applyNumberFormat="1" applyFont="1" applyFill="1" applyAlignment="1">
      <alignment horizontal="left"/>
    </xf>
    <xf numFmtId="0" fontId="12" fillId="0" borderId="5" xfId="6" applyFont="1" applyBorder="1" applyAlignment="1">
      <alignment horizontal="left"/>
    </xf>
    <xf numFmtId="0" fontId="9" fillId="0" borderId="0" xfId="0" applyFont="1" applyAlignment="1">
      <alignment horizontal="right"/>
    </xf>
    <xf numFmtId="1" fontId="9" fillId="0" borderId="0" xfId="0" applyNumberFormat="1" applyFont="1"/>
    <xf numFmtId="43" fontId="8" fillId="0" borderId="0" xfId="8" applyFont="1" applyFill="1"/>
    <xf numFmtId="0" fontId="27" fillId="0" borderId="0" xfId="0" applyFont="1"/>
    <xf numFmtId="0" fontId="28" fillId="0" borderId="0" xfId="0" applyFont="1" applyAlignment="1">
      <alignment horizontal="center" wrapText="1"/>
    </xf>
    <xf numFmtId="2" fontId="27" fillId="0" borderId="0" xfId="0" applyNumberFormat="1" applyFont="1" applyAlignment="1">
      <alignment horizontal="center"/>
    </xf>
    <xf numFmtId="0" fontId="29" fillId="0" borderId="0" xfId="0" applyFont="1"/>
    <xf numFmtId="0" fontId="25" fillId="5" borderId="0" xfId="7" applyFill="1"/>
    <xf numFmtId="4" fontId="30" fillId="0" borderId="4" xfId="0" applyNumberFormat="1" applyFont="1" applyBorder="1"/>
    <xf numFmtId="2" fontId="1" fillId="0" borderId="4" xfId="0" applyNumberFormat="1" applyFont="1" applyBorder="1" applyAlignment="1">
      <alignment horizontal="center"/>
    </xf>
    <xf numFmtId="43" fontId="9" fillId="0" borderId="0" xfId="8" applyFont="1" applyFill="1"/>
    <xf numFmtId="0" fontId="6" fillId="0" borderId="0" xfId="0" applyFont="1"/>
    <xf numFmtId="0" fontId="6" fillId="4" borderId="0" xfId="0" applyFont="1" applyFill="1"/>
    <xf numFmtId="2" fontId="0" fillId="0" borderId="4" xfId="0" applyNumberFormat="1" applyBorder="1" applyAlignment="1">
      <alignment horizontal="center"/>
    </xf>
    <xf numFmtId="0" fontId="4" fillId="0" borderId="0" xfId="0" applyFont="1" applyAlignment="1">
      <alignment horizontal="center"/>
    </xf>
    <xf numFmtId="0" fontId="9" fillId="0" borderId="0" xfId="0" applyFont="1" applyAlignment="1">
      <alignment vertical="top" wrapText="1"/>
    </xf>
    <xf numFmtId="0" fontId="1" fillId="0" borderId="0" xfId="0" applyFont="1"/>
    <xf numFmtId="0" fontId="1" fillId="3" borderId="1" xfId="0" applyFont="1" applyFill="1" applyBorder="1" applyAlignment="1"/>
    <xf numFmtId="0" fontId="1" fillId="3" borderId="2" xfId="0" applyFont="1" applyFill="1" applyBorder="1" applyAlignment="1"/>
    <xf numFmtId="0" fontId="1" fillId="3" borderId="3" xfId="0" applyFont="1" applyFill="1" applyBorder="1" applyAlignment="1"/>
    <xf numFmtId="0" fontId="1" fillId="3" borderId="4" xfId="0" applyFont="1" applyFill="1" applyBorder="1" applyAlignment="1">
      <alignment horizontal="left"/>
    </xf>
    <xf numFmtId="0" fontId="1" fillId="0" borderId="0" xfId="2" applyFont="1" applyFill="1"/>
    <xf numFmtId="0" fontId="1" fillId="0" borderId="2" xfId="0" applyFont="1" applyBorder="1" applyAlignment="1">
      <alignment horizontal="left"/>
    </xf>
    <xf numFmtId="0" fontId="1" fillId="0" borderId="4" xfId="0" applyFont="1" applyBorder="1" applyAlignment="1">
      <alignment horizontal="center"/>
    </xf>
    <xf numFmtId="0" fontId="1" fillId="2" borderId="0" xfId="0" applyFont="1" applyFill="1" applyAlignment="1">
      <alignment horizontal="center"/>
    </xf>
    <xf numFmtId="0" fontId="1" fillId="2" borderId="3" xfId="0" applyFont="1" applyFill="1" applyBorder="1" applyAlignment="1">
      <alignment horizontal="center"/>
    </xf>
    <xf numFmtId="0" fontId="1" fillId="3" borderId="4" xfId="3" applyFont="1" applyBorder="1"/>
    <xf numFmtId="0" fontId="1" fillId="0" borderId="0" xfId="0" applyFont="1" applyAlignment="1">
      <alignment wrapText="1"/>
    </xf>
    <xf numFmtId="1" fontId="1" fillId="0" borderId="4" xfId="0" applyNumberFormat="1" applyFont="1" applyBorder="1" applyAlignment="1">
      <alignment horizontal="right"/>
    </xf>
    <xf numFmtId="0" fontId="1" fillId="0" borderId="4" xfId="0" applyFont="1" applyBorder="1" applyAlignment="1">
      <alignment horizontal="right"/>
    </xf>
    <xf numFmtId="1" fontId="1" fillId="0" borderId="0" xfId="0" applyNumberFormat="1" applyFont="1"/>
    <xf numFmtId="0" fontId="1" fillId="0" borderId="0" xfId="0" applyFont="1" applyAlignment="1">
      <alignment vertical="top" wrapText="1"/>
    </xf>
    <xf numFmtId="2" fontId="1" fillId="0" borderId="0" xfId="0" applyNumberFormat="1" applyFont="1" applyAlignment="1">
      <alignment horizontal="center"/>
    </xf>
    <xf numFmtId="2" fontId="1" fillId="0" borderId="0" xfId="0" applyNumberFormat="1" applyFont="1"/>
    <xf numFmtId="0" fontId="1" fillId="0" borderId="4" xfId="0" applyFont="1" applyBorder="1"/>
    <xf numFmtId="164" fontId="1" fillId="0" borderId="4" xfId="0" applyNumberFormat="1" applyFont="1" applyBorder="1"/>
    <xf numFmtId="164" fontId="1" fillId="0" borderId="0" xfId="0" applyNumberFormat="1" applyFont="1"/>
    <xf numFmtId="0" fontId="1" fillId="4" borderId="0" xfId="0" applyFont="1" applyFill="1"/>
    <xf numFmtId="2" fontId="1" fillId="3" borderId="4" xfId="0" applyNumberFormat="1" applyFont="1" applyFill="1" applyBorder="1"/>
    <xf numFmtId="43" fontId="1" fillId="0" borderId="0" xfId="8" applyFont="1" applyFill="1"/>
    <xf numFmtId="0" fontId="1" fillId="0" borderId="4" xfId="3" applyFont="1" applyFill="1" applyBorder="1"/>
    <xf numFmtId="0" fontId="1" fillId="0" borderId="0" xfId="0" applyFont="1" applyAlignment="1">
      <alignment horizontal="center"/>
    </xf>
    <xf numFmtId="0" fontId="1" fillId="0" borderId="0" xfId="3" applyFont="1" applyFill="1"/>
    <xf numFmtId="0" fontId="1" fillId="0" borderId="0" xfId="0" applyFont="1" applyAlignment="1">
      <alignment horizontal="left"/>
    </xf>
    <xf numFmtId="0" fontId="1" fillId="0" borderId="0" xfId="3" applyFont="1" applyFill="1" applyAlignment="1">
      <alignment horizontal="right"/>
    </xf>
    <xf numFmtId="0" fontId="1" fillId="0" borderId="0" xfId="0" applyFont="1" applyAlignment="1">
      <alignment vertical="top" wrapText="1"/>
    </xf>
    <xf numFmtId="0" fontId="1" fillId="0" borderId="0" xfId="0" applyFont="1" applyAlignment="1">
      <alignment horizontal="right"/>
    </xf>
    <xf numFmtId="2" fontId="1" fillId="0" borderId="4" xfId="0" applyNumberFormat="1" applyFont="1" applyBorder="1" applyAlignment="1">
      <alignment horizontal="center" vertical="center"/>
    </xf>
    <xf numFmtId="0" fontId="1" fillId="2" borderId="7" xfId="0" applyFont="1" applyFill="1" applyBorder="1" applyAlignment="1">
      <alignment horizontal="center"/>
    </xf>
    <xf numFmtId="0" fontId="1" fillId="2" borderId="8" xfId="0" applyFont="1" applyFill="1" applyBorder="1" applyAlignment="1">
      <alignment horizontal="center"/>
    </xf>
    <xf numFmtId="2" fontId="1" fillId="3" borderId="4" xfId="0" applyNumberFormat="1" applyFont="1" applyFill="1" applyBorder="1" applyAlignment="1">
      <alignment horizontal="center"/>
    </xf>
    <xf numFmtId="0" fontId="1" fillId="2" borderId="0" xfId="0" applyFont="1" applyFill="1"/>
    <xf numFmtId="0" fontId="1" fillId="2" borderId="5" xfId="0" applyFont="1" applyFill="1" applyBorder="1"/>
    <xf numFmtId="2" fontId="1" fillId="0" borderId="0" xfId="0" applyNumberFormat="1" applyFont="1" applyAlignment="1">
      <alignment horizontal="center" vertic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3" borderId="4" xfId="0" applyFont="1" applyFill="1" applyBorder="1" applyAlignment="1">
      <alignment horizontal="center"/>
    </xf>
    <xf numFmtId="0" fontId="1" fillId="2" borderId="10" xfId="0" applyFont="1" applyFill="1" applyBorder="1"/>
    <xf numFmtId="0" fontId="1" fillId="2" borderId="11" xfId="0" applyFont="1" applyFill="1" applyBorder="1"/>
    <xf numFmtId="2" fontId="1" fillId="0" borderId="0" xfId="0" applyNumberFormat="1" applyFont="1" applyAlignment="1">
      <alignment horizontal="left" vertical="center" wrapText="1"/>
    </xf>
    <xf numFmtId="166" fontId="1" fillId="0" borderId="0" xfId="0" applyNumberFormat="1" applyFont="1" applyAlignment="1">
      <alignment horizontal="center" vertical="center"/>
    </xf>
    <xf numFmtId="2" fontId="1" fillId="0" borderId="0" xfId="0" applyNumberFormat="1" applyFont="1" applyAlignment="1">
      <alignment horizontal="left" vertical="center"/>
    </xf>
    <xf numFmtId="2" fontId="1" fillId="0" borderId="0" xfId="0" applyNumberFormat="1" applyFont="1" applyAlignment="1">
      <alignment horizontal="right" vertical="center"/>
    </xf>
    <xf numFmtId="164" fontId="1" fillId="0" borderId="0" xfId="5" applyNumberFormat="1" applyFont="1"/>
    <xf numFmtId="166" fontId="1" fillId="0" borderId="0" xfId="0" applyNumberFormat="1" applyFont="1"/>
  </cellXfs>
  <cellStyles count="11">
    <cellStyle name="Comma" xfId="8" builtinId="3"/>
    <cellStyle name="Headers" xfId="2" xr:uid="{00000000-0005-0000-0000-000001000000}"/>
    <cellStyle name="Hyperlink" xfId="7" builtinId="8"/>
    <cellStyle name="Hyperlink 2" xfId="9" xr:uid="{00000000-0005-0000-0000-000003000000}"/>
    <cellStyle name="Normal" xfId="0" builtinId="0"/>
    <cellStyle name="Normal 2" xfId="4" xr:uid="{00000000-0005-0000-0000-000005000000}"/>
    <cellStyle name="Normal 3" xfId="6" xr:uid="{00000000-0005-0000-0000-000006000000}"/>
    <cellStyle name="Percent" xfId="5" builtinId="5"/>
    <cellStyle name="Percent 2" xfId="10" xr:uid="{00000000-0005-0000-0000-000008000000}"/>
    <cellStyle name="Style 1" xfId="1" xr:uid="{00000000-0005-0000-0000-000009000000}"/>
    <cellStyle name="Sub-headers" xfId="3"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2</xdr:col>
      <xdr:colOff>85725</xdr:colOff>
      <xdr:row>3</xdr:row>
      <xdr:rowOff>123825</xdr:rowOff>
    </xdr:to>
    <xdr:pic>
      <xdr:nvPicPr>
        <xdr:cNvPr id="2" name="Picture 1" descr="DfT_3298_SML_AW[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ASD/Transport%20Analysis%20Guidance/Governance/Data%20Book%20Development/2020%20May/TAG%20data%20book%20v1.13%20May%202020%20REVIS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FP/TASMAll/TASM/005%20GUIDANCE/002%20PROJECT%20APPRAISAL/0002%20ECONOMIC%20IMPACTS/MECCs/141110%20IT%20MECC%20new%20meth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A1.3.1"/>
      <sheetName val="A1.3.2"/>
      <sheetName val="Indirect tax correction"/>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Bus Social Impacts"/>
      <sheetName val="A1.3.16"/>
      <sheetName val="A1.3.17"/>
      <sheetName val="A1.3.18"/>
      <sheetName val="A3.1"/>
      <sheetName val="Noise"/>
      <sheetName val="A3.2"/>
      <sheetName val="NOx damage"/>
      <sheetName val="PM Emissions"/>
      <sheetName val="NO2 concentration"/>
      <sheetName val="PM2.5 concentration"/>
      <sheetName val="NOx abatement"/>
      <sheetName val="PM conversion"/>
      <sheetName val="A3.3"/>
      <sheetName val="CO2"/>
      <sheetName val="A3.4"/>
      <sheetName val="A3.5"/>
      <sheetName val="AQ emits"/>
      <sheetName val="GHG"/>
      <sheetName val="Casualty data"/>
      <sheetName val="Casualty costs"/>
      <sheetName val="A4.1.1"/>
      <sheetName val="A4.1.2"/>
      <sheetName val="A4.1.3"/>
      <sheetName val="Accident data"/>
      <sheetName val="Accident costs"/>
      <sheetName val="A4.1.4"/>
      <sheetName val="A4.1.5"/>
      <sheetName val="Rail"/>
      <sheetName val="A4.1.6"/>
      <sheetName val="Cycling"/>
      <sheetName val="A4.1.7"/>
      <sheetName val="Walking"/>
      <sheetName val="A4.1.8"/>
      <sheetName val="Option values"/>
      <sheetName val="A5.3.1"/>
      <sheetName val="A5.3.2"/>
      <sheetName val="JP TT splits"/>
      <sheetName val="Cost and rev series"/>
      <sheetName val="A5.4.1"/>
      <sheetName val="Total - Traffic %"/>
      <sheetName val="MECs"/>
      <sheetName val="A5.4.2"/>
      <sheetName val="MECs low"/>
      <sheetName val="A5.4.2.1"/>
      <sheetName val="MECs high"/>
      <sheetName val="A5.4.2.2"/>
      <sheetName val="A5.4.3"/>
      <sheetName val="Car Traffic Shares"/>
      <sheetName val="A5.4.4"/>
      <sheetName val="MECs - time of day"/>
      <sheetName val="A5.4.5"/>
      <sheetName val="A5.4.6"/>
      <sheetName val="A5.4.7"/>
      <sheetName val="Diversion Factors"/>
      <sheetName val="M2.1"/>
      <sheetName val="M2.2"/>
      <sheetName val="Income segmented VTTS"/>
      <sheetName val="M3.2.1"/>
      <sheetName val="Soft bus"/>
      <sheetName val="M4.2.1"/>
      <sheetName val="Adjustment Factors"/>
      <sheetName val="M4.2.2"/>
      <sheetName val="Car costs (CPI)"/>
      <sheetName val="Car costs (RPI)"/>
      <sheetName val="M4.2.3"/>
      <sheetName val="Car and bus journey time"/>
      <sheetName val="M4.2.4"/>
      <sheetName val="M4.2.5"/>
      <sheetName val="Journeys per season"/>
      <sheetName val="COBALT 1"/>
      <sheetName val="COBALT 2"/>
      <sheetName val="COBALT 3"/>
      <sheetName val="COBALT 4"/>
      <sheetName val="COBALT 5"/>
      <sheetName val="COBALT 6"/>
      <sheetName val="COBALT 7"/>
      <sheetName val="COBALT 8"/>
      <sheetName val="COBALT 9"/>
      <sheetName val="Flow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lcs"/>
      <sheetName val="Outputs"/>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sm@df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tabSelected="1" topLeftCell="A23" zoomScaleNormal="100" workbookViewId="0">
      <selection activeCell="C49" sqref="C49"/>
    </sheetView>
  </sheetViews>
  <sheetFormatPr defaultColWidth="0" defaultRowHeight="12.95" zeroHeight="1"/>
  <cols>
    <col min="1" max="1" width="3.28515625" style="74" customWidth="1"/>
    <col min="2" max="2" width="11.42578125" style="74" customWidth="1"/>
    <col min="3" max="17" width="9.140625" style="74" customWidth="1"/>
    <col min="18" max="16384" width="9.140625" style="74" hidden="1"/>
  </cols>
  <sheetData>
    <row r="1" spans="2:3"/>
    <row r="2" spans="2:3"/>
    <row r="3" spans="2:3"/>
    <row r="4" spans="2:3"/>
    <row r="5" spans="2:3">
      <c r="B5" s="73"/>
    </row>
    <row r="6" spans="2:3" s="2" customFormat="1" ht="18.600000000000001">
      <c r="B6" s="2" t="s">
        <v>0</v>
      </c>
    </row>
    <row r="7" spans="2:3"/>
    <row r="8" spans="2:3" s="5" customFormat="1" ht="15.6">
      <c r="B8" s="5" t="s">
        <v>1</v>
      </c>
    </row>
    <row r="9" spans="2:3">
      <c r="B9" s="75" t="s">
        <v>2</v>
      </c>
    </row>
    <row r="10" spans="2:3"/>
    <row r="11" spans="2:3" s="5" customFormat="1" ht="15.6">
      <c r="B11" s="5" t="s">
        <v>3</v>
      </c>
    </row>
    <row r="12" spans="2:3">
      <c r="B12" s="75" t="s">
        <v>4</v>
      </c>
    </row>
    <row r="13" spans="2:3">
      <c r="B13" s="75"/>
    </row>
    <row r="14" spans="2:3">
      <c r="B14" s="75" t="s">
        <v>5</v>
      </c>
    </row>
    <row r="15" spans="2:3">
      <c r="B15" s="75">
        <v>1</v>
      </c>
      <c r="C15" s="75" t="s">
        <v>6</v>
      </c>
    </row>
    <row r="16" spans="2:3">
      <c r="B16" s="75">
        <v>2</v>
      </c>
      <c r="C16" s="75" t="s">
        <v>7</v>
      </c>
    </row>
    <row r="17" spans="2:3">
      <c r="B17" s="75">
        <v>3</v>
      </c>
      <c r="C17" s="75" t="s">
        <v>8</v>
      </c>
    </row>
    <row r="18" spans="2:3">
      <c r="B18" s="75">
        <v>4</v>
      </c>
      <c r="C18" s="75" t="s">
        <v>9</v>
      </c>
    </row>
    <row r="19" spans="2:3">
      <c r="B19" s="75">
        <v>5</v>
      </c>
      <c r="C19" s="75" t="s">
        <v>10</v>
      </c>
    </row>
    <row r="20" spans="2:3">
      <c r="B20" s="75"/>
    </row>
    <row r="21" spans="2:3">
      <c r="B21" s="75" t="s">
        <v>11</v>
      </c>
    </row>
    <row r="22" spans="2:3">
      <c r="B22" s="75"/>
    </row>
    <row r="23" spans="2:3">
      <c r="B23" s="75">
        <v>1</v>
      </c>
      <c r="C23" s="75" t="s">
        <v>12</v>
      </c>
    </row>
    <row r="24" spans="2:3">
      <c r="B24" s="75">
        <v>2</v>
      </c>
      <c r="C24" s="75" t="s">
        <v>13</v>
      </c>
    </row>
    <row r="25" spans="2:3">
      <c r="B25" s="75">
        <v>3</v>
      </c>
      <c r="C25" s="75" t="s">
        <v>14</v>
      </c>
    </row>
    <row r="26" spans="2:3">
      <c r="B26" s="75">
        <v>4</v>
      </c>
      <c r="C26" s="75" t="s">
        <v>15</v>
      </c>
    </row>
    <row r="27" spans="2:3">
      <c r="B27" s="75">
        <v>5</v>
      </c>
      <c r="C27" s="75" t="s">
        <v>16</v>
      </c>
    </row>
    <row r="28" spans="2:3">
      <c r="B28" s="75">
        <v>6</v>
      </c>
      <c r="C28" s="75" t="s">
        <v>17</v>
      </c>
    </row>
    <row r="29" spans="2:3">
      <c r="B29" s="75">
        <v>7</v>
      </c>
      <c r="C29" s="75" t="s">
        <v>18</v>
      </c>
    </row>
    <row r="30" spans="2:3">
      <c r="C30" s="75" t="s">
        <v>19</v>
      </c>
    </row>
    <row r="31" spans="2:3">
      <c r="B31" s="75">
        <v>8</v>
      </c>
      <c r="C31" s="75" t="s">
        <v>20</v>
      </c>
    </row>
    <row r="32" spans="2:3">
      <c r="B32" s="75"/>
      <c r="C32" s="75" t="s">
        <v>19</v>
      </c>
    </row>
    <row r="33" spans="2:3">
      <c r="B33" s="75">
        <v>9</v>
      </c>
      <c r="C33" s="75" t="s">
        <v>21</v>
      </c>
    </row>
    <row r="34" spans="2:3">
      <c r="B34" s="75"/>
    </row>
    <row r="35" spans="2:3">
      <c r="B35" s="75" t="s">
        <v>22</v>
      </c>
      <c r="C35" s="75"/>
    </row>
    <row r="36" spans="2:3">
      <c r="B36" s="75"/>
      <c r="C36" s="75"/>
    </row>
    <row r="37" spans="2:3">
      <c r="B37" s="75">
        <v>1</v>
      </c>
      <c r="C37" s="75" t="s">
        <v>23</v>
      </c>
    </row>
    <row r="38" spans="2:3">
      <c r="B38" s="75">
        <v>2</v>
      </c>
      <c r="C38" s="75" t="s">
        <v>24</v>
      </c>
    </row>
    <row r="39" spans="2:3">
      <c r="B39" s="75">
        <v>3</v>
      </c>
      <c r="C39" s="75" t="s">
        <v>25</v>
      </c>
    </row>
    <row r="40" spans="2:3">
      <c r="B40" s="75">
        <v>4</v>
      </c>
      <c r="C40" s="75" t="s">
        <v>26</v>
      </c>
    </row>
    <row r="41" spans="2:3">
      <c r="B41" s="75">
        <v>5</v>
      </c>
      <c r="C41" s="75" t="s">
        <v>27</v>
      </c>
    </row>
    <row r="42" spans="2:3">
      <c r="B42" s="75">
        <v>6</v>
      </c>
      <c r="C42" s="75" t="s">
        <v>28</v>
      </c>
    </row>
    <row r="43" spans="2:3">
      <c r="B43" s="75"/>
    </row>
    <row r="44" spans="2:3">
      <c r="B44" s="75" t="s">
        <v>29</v>
      </c>
    </row>
    <row r="45" spans="2:3">
      <c r="B45" s="75"/>
    </row>
    <row r="46" spans="2:3" s="5" customFormat="1" ht="15.6">
      <c r="B46" s="5" t="s">
        <v>30</v>
      </c>
    </row>
    <row r="47" spans="2:3">
      <c r="B47" s="76" t="s">
        <v>31</v>
      </c>
      <c r="C47" s="76" t="s">
        <v>32</v>
      </c>
    </row>
    <row r="48" spans="2:3">
      <c r="B48" s="77">
        <v>45597</v>
      </c>
      <c r="C48" s="75" t="s">
        <v>33</v>
      </c>
    </row>
    <row r="49" spans="1:3" s="93" customFormat="1">
      <c r="A49" s="92"/>
      <c r="B49" s="77">
        <v>45413</v>
      </c>
      <c r="C49" s="75" t="s">
        <v>34</v>
      </c>
    </row>
    <row r="50" spans="1:3">
      <c r="B50" s="77">
        <v>45231</v>
      </c>
      <c r="C50" s="75" t="s">
        <v>35</v>
      </c>
    </row>
    <row r="51" spans="1:3">
      <c r="B51" s="77">
        <v>45047</v>
      </c>
      <c r="C51" s="75" t="s">
        <v>35</v>
      </c>
    </row>
    <row r="52" spans="1:3">
      <c r="B52" s="77">
        <v>44866</v>
      </c>
      <c r="C52" s="75" t="s">
        <v>35</v>
      </c>
    </row>
    <row r="53" spans="1:3">
      <c r="B53" s="77">
        <v>44682</v>
      </c>
      <c r="C53" s="75" t="s">
        <v>36</v>
      </c>
    </row>
    <row r="54" spans="1:3">
      <c r="B54" s="77">
        <v>44501</v>
      </c>
      <c r="C54" s="75" t="s">
        <v>35</v>
      </c>
    </row>
    <row r="55" spans="1:3">
      <c r="B55" s="77">
        <v>44378</v>
      </c>
      <c r="C55" s="75" t="s">
        <v>37</v>
      </c>
    </row>
    <row r="56" spans="1:3">
      <c r="B56" s="77">
        <v>44013</v>
      </c>
      <c r="C56" s="75" t="s">
        <v>38</v>
      </c>
    </row>
    <row r="57" spans="1:3">
      <c r="B57" s="77">
        <v>44013</v>
      </c>
      <c r="C57" s="75" t="s">
        <v>39</v>
      </c>
    </row>
    <row r="58" spans="1:3">
      <c r="B58" s="77">
        <v>43952</v>
      </c>
      <c r="C58" s="75" t="s">
        <v>40</v>
      </c>
    </row>
    <row r="59" spans="1:3">
      <c r="B59" s="77">
        <v>43586</v>
      </c>
      <c r="C59" s="75" t="s">
        <v>35</v>
      </c>
    </row>
    <row r="60" spans="1:3">
      <c r="B60" s="77">
        <v>43405</v>
      </c>
      <c r="C60" s="75" t="s">
        <v>41</v>
      </c>
    </row>
    <row r="61" spans="1:3">
      <c r="B61" s="77">
        <v>43221</v>
      </c>
      <c r="C61" s="75" t="s">
        <v>41</v>
      </c>
    </row>
    <row r="62" spans="1:3">
      <c r="B62" s="77">
        <v>43070</v>
      </c>
      <c r="C62" s="75" t="s">
        <v>41</v>
      </c>
    </row>
    <row r="63" spans="1:3">
      <c r="B63" s="77">
        <v>42948</v>
      </c>
      <c r="C63" s="75" t="s">
        <v>41</v>
      </c>
    </row>
    <row r="64" spans="1:3">
      <c r="B64" s="77">
        <v>42795</v>
      </c>
      <c r="C64" s="75" t="s">
        <v>41</v>
      </c>
    </row>
    <row r="65" spans="2:3">
      <c r="B65" s="77">
        <v>42552</v>
      </c>
      <c r="C65" s="75" t="s">
        <v>41</v>
      </c>
    </row>
    <row r="66" spans="2:3">
      <c r="B66" s="77">
        <v>42339</v>
      </c>
      <c r="C66" s="75" t="s">
        <v>41</v>
      </c>
    </row>
    <row r="67" spans="2:3">
      <c r="B67" s="77">
        <v>42064</v>
      </c>
      <c r="C67" s="75" t="s">
        <v>42</v>
      </c>
    </row>
    <row r="68" spans="2:3">
      <c r="B68" s="77">
        <v>41944</v>
      </c>
      <c r="C68" s="75" t="s">
        <v>43</v>
      </c>
    </row>
    <row r="69" spans="2:3">
      <c r="B69" s="78">
        <v>41760</v>
      </c>
      <c r="C69" s="75" t="s">
        <v>44</v>
      </c>
    </row>
    <row r="70" spans="2:3">
      <c r="B70" s="77">
        <v>41640</v>
      </c>
      <c r="C70" s="75" t="s">
        <v>45</v>
      </c>
    </row>
    <row r="71" spans="2:3">
      <c r="B71" s="79">
        <v>41564</v>
      </c>
      <c r="C71" s="75" t="s">
        <v>46</v>
      </c>
    </row>
    <row r="72" spans="2:3"/>
    <row r="73" spans="2:3" s="5" customFormat="1" ht="15.6">
      <c r="B73" s="5" t="s">
        <v>47</v>
      </c>
    </row>
    <row r="74" spans="2:3">
      <c r="B74" s="75" t="s">
        <v>48</v>
      </c>
    </row>
    <row r="75" spans="2:3">
      <c r="B75" s="75" t="s">
        <v>49</v>
      </c>
    </row>
    <row r="76" spans="2:3">
      <c r="B76" s="75" t="s">
        <v>50</v>
      </c>
    </row>
    <row r="77" spans="2:3">
      <c r="B77" s="75" t="s">
        <v>51</v>
      </c>
    </row>
    <row r="78" spans="2:3">
      <c r="B78" s="75" t="s">
        <v>52</v>
      </c>
    </row>
    <row r="79" spans="2:3">
      <c r="B79" s="75" t="s">
        <v>53</v>
      </c>
    </row>
    <row r="80" spans="2:3">
      <c r="B80" s="88" t="s">
        <v>54</v>
      </c>
    </row>
    <row r="81"/>
    <row r="82"/>
    <row r="83"/>
    <row r="84"/>
    <row r="85"/>
  </sheetData>
  <hyperlinks>
    <hyperlink ref="B80"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79"/>
  <sheetViews>
    <sheetView showGridLines="0" topLeftCell="A127" zoomScale="85" zoomScaleNormal="85" workbookViewId="0">
      <selection activeCell="D152" sqref="D152"/>
    </sheetView>
  </sheetViews>
  <sheetFormatPr defaultColWidth="0" defaultRowHeight="14.45" zeroHeight="1"/>
  <cols>
    <col min="1" max="1" width="9.140625" style="58" customWidth="1"/>
    <col min="2" max="2" width="27.140625" style="58" customWidth="1"/>
    <col min="3" max="3" width="15" style="58" customWidth="1"/>
    <col min="4" max="4" width="10.7109375" style="58" customWidth="1"/>
    <col min="5" max="23" width="9.140625" style="58" customWidth="1"/>
    <col min="24" max="24" width="11.140625" style="58" customWidth="1"/>
    <col min="25" max="94" width="9.140625" style="58" customWidth="1"/>
    <col min="95" max="95" width="28.42578125" style="58" bestFit="1" customWidth="1"/>
    <col min="96" max="96" width="0" style="58" hidden="1" customWidth="1"/>
    <col min="97" max="16384" width="9.140625" style="58" hidden="1"/>
  </cols>
  <sheetData>
    <row r="1" spans="2:9">
      <c r="B1" s="97"/>
      <c r="C1" s="97"/>
      <c r="D1" s="97"/>
      <c r="E1" s="97"/>
      <c r="F1" s="97"/>
      <c r="G1" s="97"/>
      <c r="H1" s="97"/>
      <c r="I1" s="97"/>
    </row>
    <row r="2" spans="2:9" s="1" customFormat="1" ht="26.1">
      <c r="B2" s="1" t="s">
        <v>55</v>
      </c>
    </row>
    <row r="3" spans="2:9">
      <c r="B3" s="97"/>
      <c r="C3" s="97"/>
      <c r="D3" s="97"/>
      <c r="E3" s="97"/>
      <c r="F3" s="97"/>
      <c r="G3" s="97"/>
      <c r="H3" s="97"/>
      <c r="I3" s="97"/>
    </row>
    <row r="4" spans="2:9" s="2" customFormat="1" ht="18.600000000000001">
      <c r="B4" s="2" t="s">
        <v>56</v>
      </c>
    </row>
    <row r="5" spans="2:9" ht="15" customHeight="1">
      <c r="B5" s="97"/>
      <c r="C5" s="97"/>
      <c r="D5" s="97"/>
      <c r="E5" s="97"/>
      <c r="F5" s="97"/>
      <c r="G5" s="97"/>
      <c r="H5" s="97"/>
      <c r="I5" s="97"/>
    </row>
    <row r="6" spans="2:9" ht="15" customHeight="1">
      <c r="B6" s="97" t="s">
        <v>12</v>
      </c>
      <c r="C6" s="97"/>
      <c r="D6" s="98" t="s">
        <v>57</v>
      </c>
      <c r="E6" s="99"/>
      <c r="F6" s="99"/>
      <c r="G6" s="99"/>
      <c r="H6" s="100"/>
      <c r="I6" s="3" t="s">
        <v>58</v>
      </c>
    </row>
    <row r="7" spans="2:9" ht="15" customHeight="1">
      <c r="B7" s="97" t="s">
        <v>59</v>
      </c>
      <c r="C7" s="97"/>
      <c r="D7" s="101">
        <v>2025</v>
      </c>
      <c r="E7" s="3" t="s">
        <v>60</v>
      </c>
      <c r="F7" s="3"/>
      <c r="G7" s="97"/>
      <c r="H7" s="97"/>
      <c r="I7" s="97"/>
    </row>
    <row r="8" spans="2:9" ht="15" customHeight="1">
      <c r="B8" s="97" t="s">
        <v>61</v>
      </c>
      <c r="C8" s="97"/>
      <c r="D8" s="101">
        <v>2030</v>
      </c>
      <c r="E8" s="3" t="s">
        <v>62</v>
      </c>
      <c r="F8" s="3"/>
      <c r="G8" s="97"/>
      <c r="H8" s="97"/>
      <c r="I8" s="97"/>
    </row>
    <row r="9" spans="2:9" ht="15" customHeight="1">
      <c r="B9" s="97" t="s">
        <v>63</v>
      </c>
      <c r="C9" s="97"/>
      <c r="D9" s="101" t="s">
        <v>64</v>
      </c>
      <c r="E9" s="3" t="s">
        <v>65</v>
      </c>
      <c r="F9" s="3"/>
      <c r="G9" s="97"/>
      <c r="H9" s="97"/>
      <c r="I9" s="97"/>
    </row>
    <row r="10" spans="2:9" ht="15" customHeight="1">
      <c r="B10" s="97" t="s">
        <v>66</v>
      </c>
      <c r="C10" s="97"/>
      <c r="D10" s="101">
        <v>2024</v>
      </c>
      <c r="E10" s="3" t="s">
        <v>67</v>
      </c>
      <c r="F10" s="3"/>
      <c r="G10" s="97"/>
      <c r="H10" s="97"/>
      <c r="I10" s="97"/>
    </row>
    <row r="11" spans="2:9" ht="15" customHeight="1">
      <c r="B11" s="97"/>
      <c r="C11" s="97"/>
      <c r="D11" s="97"/>
      <c r="E11" s="97"/>
      <c r="F11" s="97"/>
      <c r="G11" s="97"/>
      <c r="H11" s="97"/>
      <c r="I11" s="97"/>
    </row>
    <row r="12" spans="2:9" s="5" customFormat="1" ht="15.6">
      <c r="B12" s="5" t="s">
        <v>68</v>
      </c>
    </row>
    <row r="13" spans="2:9" s="7" customFormat="1" ht="15" customHeight="1"/>
    <row r="14" spans="2:9" s="7" customFormat="1" ht="15" customHeight="1">
      <c r="B14" s="102" t="s">
        <v>69</v>
      </c>
      <c r="D14" s="101" t="s">
        <v>70</v>
      </c>
      <c r="E14" s="59" t="s">
        <v>71</v>
      </c>
    </row>
    <row r="15" spans="2:9" s="7" customFormat="1" ht="15" customHeight="1">
      <c r="B15" s="59" t="s">
        <v>72</v>
      </c>
      <c r="D15" s="103"/>
      <c r="E15" s="59"/>
    </row>
    <row r="16" spans="2:9" s="7" customFormat="1" ht="15" customHeight="1">
      <c r="B16" s="97" t="s">
        <v>73</v>
      </c>
      <c r="D16" s="101" t="s">
        <v>74</v>
      </c>
      <c r="E16" s="59" t="s">
        <v>75</v>
      </c>
    </row>
    <row r="17" spans="2:24" s="7" customFormat="1" ht="15" customHeight="1">
      <c r="B17" s="59" t="s">
        <v>76</v>
      </c>
    </row>
    <row r="18" spans="2:24" s="7" customFormat="1" ht="15" customHeight="1"/>
    <row r="19" spans="2:24" s="5" customFormat="1" ht="15.6">
      <c r="B19" s="5" t="s">
        <v>77</v>
      </c>
    </row>
    <row r="20" spans="2:24" s="23" customFormat="1" ht="15" customHeight="1"/>
    <row r="21" spans="2:24" s="23" customFormat="1" ht="15" customHeight="1">
      <c r="B21" s="104" t="s">
        <v>78</v>
      </c>
      <c r="C21" s="60" t="s">
        <v>79</v>
      </c>
      <c r="D21" s="61" t="s">
        <v>80</v>
      </c>
      <c r="E21" s="104" t="s">
        <v>81</v>
      </c>
      <c r="F21" s="104" t="s">
        <v>82</v>
      </c>
      <c r="G21" s="104" t="s">
        <v>83</v>
      </c>
      <c r="H21" s="104" t="s">
        <v>84</v>
      </c>
      <c r="I21" s="104" t="s">
        <v>85</v>
      </c>
      <c r="J21" s="104" t="s">
        <v>86</v>
      </c>
      <c r="K21" s="104" t="s">
        <v>87</v>
      </c>
      <c r="L21" s="104" t="s">
        <v>88</v>
      </c>
      <c r="M21" s="104" t="s">
        <v>89</v>
      </c>
      <c r="N21" s="104" t="s">
        <v>90</v>
      </c>
      <c r="O21" s="104" t="s">
        <v>91</v>
      </c>
      <c r="P21" s="104" t="s">
        <v>92</v>
      </c>
      <c r="Q21" s="104" t="s">
        <v>93</v>
      </c>
    </row>
    <row r="22" spans="2:24" s="23" customFormat="1" ht="15" customHeight="1">
      <c r="B22" s="60" t="s">
        <v>94</v>
      </c>
      <c r="C22" s="54"/>
      <c r="D22" s="105"/>
      <c r="E22" s="105"/>
      <c r="F22" s="105"/>
      <c r="G22" s="105"/>
      <c r="H22" s="105"/>
      <c r="I22" s="105"/>
      <c r="J22" s="105"/>
      <c r="K22" s="105"/>
      <c r="L22" s="105"/>
      <c r="M22" s="105"/>
      <c r="N22" s="105"/>
      <c r="O22" s="105"/>
      <c r="P22" s="105"/>
      <c r="Q22" s="106"/>
    </row>
    <row r="23" spans="2:24" s="23" customFormat="1" ht="15" customHeight="1">
      <c r="B23" s="61" t="s">
        <v>80</v>
      </c>
      <c r="C23" s="54"/>
      <c r="D23" s="107"/>
      <c r="E23" s="107"/>
      <c r="F23" s="107"/>
      <c r="G23" s="107"/>
      <c r="H23" s="107"/>
      <c r="I23" s="107"/>
      <c r="J23" s="107"/>
      <c r="K23" s="107"/>
      <c r="L23" s="107"/>
      <c r="M23" s="107"/>
      <c r="N23" s="107"/>
      <c r="O23" s="107"/>
      <c r="P23" s="107"/>
      <c r="Q23" s="107"/>
      <c r="R23" s="22" t="s">
        <v>95</v>
      </c>
    </row>
    <row r="24" spans="2:24" s="23" customFormat="1" ht="15" customHeight="1">
      <c r="B24" s="104" t="s">
        <v>81</v>
      </c>
      <c r="C24" s="54"/>
      <c r="D24" s="107"/>
      <c r="E24" s="107"/>
      <c r="F24" s="107"/>
      <c r="G24" s="107"/>
      <c r="H24" s="107"/>
      <c r="I24" s="107"/>
      <c r="J24" s="107"/>
      <c r="K24" s="107"/>
      <c r="L24" s="107"/>
      <c r="M24" s="107"/>
      <c r="N24" s="107"/>
      <c r="O24" s="107"/>
      <c r="P24" s="107"/>
      <c r="Q24" s="107"/>
      <c r="R24" s="22" t="s">
        <v>96</v>
      </c>
    </row>
    <row r="25" spans="2:24" s="23" customFormat="1" ht="15" customHeight="1">
      <c r="B25" s="104" t="s">
        <v>82</v>
      </c>
      <c r="C25" s="54"/>
      <c r="D25" s="107"/>
      <c r="E25" s="107"/>
      <c r="F25" s="107"/>
      <c r="G25" s="107"/>
      <c r="H25" s="107"/>
      <c r="I25" s="107"/>
      <c r="J25" s="107"/>
      <c r="K25" s="107"/>
      <c r="L25" s="107"/>
      <c r="M25" s="107"/>
      <c r="N25" s="107"/>
      <c r="O25" s="107"/>
      <c r="P25" s="107"/>
      <c r="Q25" s="107"/>
      <c r="R25" s="22" t="s">
        <v>97</v>
      </c>
    </row>
    <row r="26" spans="2:24" s="23" customFormat="1" ht="15" customHeight="1">
      <c r="B26" s="104" t="s">
        <v>83</v>
      </c>
      <c r="C26" s="54"/>
      <c r="D26" s="107"/>
      <c r="E26" s="107"/>
      <c r="F26" s="107"/>
      <c r="G26" s="107"/>
      <c r="H26" s="107"/>
      <c r="I26" s="107"/>
      <c r="J26" s="107"/>
      <c r="K26" s="107"/>
      <c r="L26" s="107"/>
      <c r="M26" s="107"/>
      <c r="N26" s="107"/>
      <c r="O26" s="107"/>
      <c r="P26" s="107"/>
      <c r="Q26" s="107"/>
      <c r="R26" s="22" t="s">
        <v>98</v>
      </c>
    </row>
    <row r="27" spans="2:24" s="23" customFormat="1" ht="15" customHeight="1">
      <c r="B27" s="104" t="s">
        <v>84</v>
      </c>
      <c r="C27" s="54"/>
      <c r="D27" s="107"/>
      <c r="E27" s="107"/>
      <c r="F27" s="107"/>
      <c r="G27" s="107"/>
      <c r="H27" s="107"/>
      <c r="I27" s="107"/>
      <c r="J27" s="107"/>
      <c r="K27" s="107"/>
      <c r="L27" s="107"/>
      <c r="M27" s="107"/>
      <c r="N27" s="107"/>
      <c r="O27" s="107"/>
      <c r="P27" s="107"/>
      <c r="Q27" s="107"/>
      <c r="R27" s="22" t="s">
        <v>99</v>
      </c>
    </row>
    <row r="28" spans="2:24" s="23" customFormat="1" ht="15" customHeight="1">
      <c r="B28" s="104" t="s">
        <v>85</v>
      </c>
      <c r="C28" s="54"/>
      <c r="D28" s="107"/>
      <c r="E28" s="107"/>
      <c r="F28" s="107"/>
      <c r="G28" s="107"/>
      <c r="H28" s="107"/>
      <c r="I28" s="107"/>
      <c r="J28" s="107"/>
      <c r="K28" s="107"/>
      <c r="L28" s="107"/>
      <c r="M28" s="107"/>
      <c r="N28" s="107"/>
      <c r="O28" s="107"/>
      <c r="P28" s="107"/>
      <c r="Q28" s="107"/>
      <c r="R28" s="22" t="s">
        <v>100</v>
      </c>
    </row>
    <row r="29" spans="2:24" s="23" customFormat="1" ht="15" customHeight="1">
      <c r="B29" s="104" t="s">
        <v>86</v>
      </c>
      <c r="C29" s="54"/>
      <c r="D29" s="107"/>
      <c r="E29" s="107"/>
      <c r="F29" s="107"/>
      <c r="G29" s="107"/>
      <c r="H29" s="107"/>
      <c r="I29" s="107"/>
      <c r="J29" s="107"/>
      <c r="K29" s="107"/>
      <c r="L29" s="107"/>
      <c r="M29" s="107"/>
      <c r="N29" s="107"/>
      <c r="O29" s="107"/>
      <c r="P29" s="107"/>
      <c r="Q29" s="107"/>
      <c r="R29" s="22" t="s">
        <v>101</v>
      </c>
    </row>
    <row r="30" spans="2:24" s="23" customFormat="1" ht="15" customHeight="1">
      <c r="B30" s="104" t="s">
        <v>87</v>
      </c>
      <c r="C30" s="54"/>
      <c r="D30" s="107"/>
      <c r="E30" s="107"/>
      <c r="F30" s="107"/>
      <c r="G30" s="107"/>
      <c r="H30" s="107"/>
      <c r="I30" s="107"/>
      <c r="J30" s="107"/>
      <c r="K30" s="107"/>
      <c r="L30" s="107"/>
      <c r="M30" s="107"/>
      <c r="N30" s="107"/>
      <c r="O30" s="107"/>
      <c r="P30" s="107"/>
      <c r="Q30" s="107"/>
      <c r="R30" s="22" t="s">
        <v>102</v>
      </c>
      <c r="X30" s="91"/>
    </row>
    <row r="31" spans="2:24" ht="15" customHeight="1">
      <c r="B31" s="104" t="s">
        <v>88</v>
      </c>
      <c r="C31" s="54"/>
      <c r="D31" s="107"/>
      <c r="E31" s="107"/>
      <c r="F31" s="107"/>
      <c r="G31" s="107"/>
      <c r="H31" s="107"/>
      <c r="I31" s="107"/>
      <c r="J31" s="107"/>
      <c r="K31" s="107"/>
      <c r="L31" s="107"/>
      <c r="M31" s="107"/>
      <c r="N31" s="107"/>
      <c r="O31" s="107"/>
      <c r="P31" s="107"/>
      <c r="Q31" s="107"/>
      <c r="R31" s="22" t="s">
        <v>103</v>
      </c>
      <c r="S31" s="97"/>
      <c r="T31" s="97"/>
      <c r="U31" s="97"/>
      <c r="V31" s="97"/>
      <c r="W31" s="97"/>
      <c r="X31" s="97"/>
    </row>
    <row r="32" spans="2:24" ht="15" customHeight="1">
      <c r="B32" s="104" t="s">
        <v>89</v>
      </c>
      <c r="C32" s="54"/>
      <c r="D32" s="107"/>
      <c r="E32" s="107"/>
      <c r="F32" s="107"/>
      <c r="G32" s="107"/>
      <c r="H32" s="107"/>
      <c r="I32" s="107"/>
      <c r="J32" s="107"/>
      <c r="K32" s="107"/>
      <c r="L32" s="107"/>
      <c r="M32" s="107"/>
      <c r="N32" s="107"/>
      <c r="O32" s="107"/>
      <c r="P32" s="107"/>
      <c r="Q32" s="107"/>
      <c r="R32" s="22" t="s">
        <v>104</v>
      </c>
      <c r="S32" s="97"/>
      <c r="T32" s="97"/>
      <c r="U32" s="97"/>
      <c r="V32" s="97"/>
      <c r="W32" s="97"/>
      <c r="X32" s="97"/>
    </row>
    <row r="33" spans="2:96" ht="15" customHeight="1">
      <c r="B33" s="104" t="s">
        <v>90</v>
      </c>
      <c r="C33" s="54"/>
      <c r="D33" s="107"/>
      <c r="E33" s="107"/>
      <c r="F33" s="107"/>
      <c r="G33" s="107"/>
      <c r="H33" s="107"/>
      <c r="I33" s="107"/>
      <c r="J33" s="107"/>
      <c r="K33" s="107"/>
      <c r="L33" s="107"/>
      <c r="M33" s="107"/>
      <c r="N33" s="107"/>
      <c r="O33" s="107"/>
      <c r="P33" s="107"/>
      <c r="Q33" s="107"/>
      <c r="R33" s="22" t="s">
        <v>105</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row>
    <row r="34" spans="2:96" ht="15" customHeight="1">
      <c r="B34" s="104" t="s">
        <v>91</v>
      </c>
      <c r="C34" s="54"/>
      <c r="D34" s="107"/>
      <c r="E34" s="107"/>
      <c r="F34" s="107"/>
      <c r="G34" s="107"/>
      <c r="H34" s="107"/>
      <c r="I34" s="107"/>
      <c r="J34" s="107"/>
      <c r="K34" s="107"/>
      <c r="L34" s="107"/>
      <c r="M34" s="107"/>
      <c r="N34" s="107"/>
      <c r="O34" s="107"/>
      <c r="P34" s="107"/>
      <c r="Q34" s="107"/>
      <c r="R34" s="22" t="s">
        <v>106</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3"/>
    </row>
    <row r="35" spans="2:96" ht="15" customHeight="1">
      <c r="B35" s="104" t="s">
        <v>92</v>
      </c>
      <c r="C35" s="54"/>
      <c r="D35" s="107"/>
      <c r="E35" s="107"/>
      <c r="F35" s="107"/>
      <c r="G35" s="107"/>
      <c r="H35" s="107"/>
      <c r="I35" s="107"/>
      <c r="J35" s="107"/>
      <c r="K35" s="107"/>
      <c r="L35" s="107"/>
      <c r="M35" s="107"/>
      <c r="N35" s="107"/>
      <c r="O35" s="107"/>
      <c r="P35" s="107"/>
      <c r="Q35" s="107"/>
      <c r="R35" s="22" t="s">
        <v>107</v>
      </c>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3"/>
      <c r="CR35" s="97"/>
    </row>
    <row r="36" spans="2:96" ht="15" customHeight="1">
      <c r="B36" s="104" t="s">
        <v>93</v>
      </c>
      <c r="C36" s="55"/>
      <c r="D36" s="107"/>
      <c r="E36" s="107"/>
      <c r="F36" s="107"/>
      <c r="G36" s="107"/>
      <c r="H36" s="107"/>
      <c r="I36" s="107"/>
      <c r="J36" s="107"/>
      <c r="K36" s="107"/>
      <c r="L36" s="107"/>
      <c r="M36" s="107"/>
      <c r="N36" s="107"/>
      <c r="O36" s="107"/>
      <c r="P36" s="107"/>
      <c r="Q36" s="107"/>
      <c r="R36" s="22" t="s">
        <v>108</v>
      </c>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3"/>
      <c r="CR36" s="97"/>
    </row>
    <row r="37" spans="2:96" ht="15" customHeight="1">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3"/>
    </row>
    <row r="38" spans="2:96" ht="15" customHeight="1">
      <c r="B38" s="104" t="s">
        <v>109</v>
      </c>
      <c r="C38" s="60" t="s">
        <v>79</v>
      </c>
      <c r="D38" s="61" t="s">
        <v>80</v>
      </c>
      <c r="E38" s="104" t="s">
        <v>81</v>
      </c>
      <c r="F38" s="104" t="s">
        <v>82</v>
      </c>
      <c r="G38" s="104" t="s">
        <v>83</v>
      </c>
      <c r="H38" s="104" t="s">
        <v>84</v>
      </c>
      <c r="I38" s="104" t="s">
        <v>85</v>
      </c>
      <c r="J38" s="104" t="s">
        <v>86</v>
      </c>
      <c r="K38" s="104" t="s">
        <v>87</v>
      </c>
      <c r="L38" s="104" t="s">
        <v>88</v>
      </c>
      <c r="M38" s="104" t="s">
        <v>89</v>
      </c>
      <c r="N38" s="104" t="s">
        <v>90</v>
      </c>
      <c r="O38" s="104" t="s">
        <v>91</v>
      </c>
      <c r="P38" s="104" t="s">
        <v>92</v>
      </c>
      <c r="Q38" s="104" t="s">
        <v>93</v>
      </c>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3"/>
    </row>
    <row r="39" spans="2:96" ht="15" customHeight="1">
      <c r="B39" s="60" t="s">
        <v>94</v>
      </c>
      <c r="C39" s="54"/>
      <c r="D39" s="105"/>
      <c r="E39" s="105"/>
      <c r="F39" s="105"/>
      <c r="G39" s="105"/>
      <c r="H39" s="105"/>
      <c r="I39" s="105"/>
      <c r="J39" s="105"/>
      <c r="K39" s="105"/>
      <c r="L39" s="105"/>
      <c r="M39" s="105"/>
      <c r="N39" s="105"/>
      <c r="O39" s="105"/>
      <c r="P39" s="105"/>
      <c r="Q39" s="106"/>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3"/>
    </row>
    <row r="40" spans="2:96" ht="15" customHeight="1">
      <c r="B40" s="61" t="s">
        <v>80</v>
      </c>
      <c r="C40" s="54"/>
      <c r="D40" s="107"/>
      <c r="E40" s="107"/>
      <c r="F40" s="107"/>
      <c r="G40" s="107"/>
      <c r="H40" s="107"/>
      <c r="I40" s="107"/>
      <c r="J40" s="107"/>
      <c r="K40" s="107"/>
      <c r="L40" s="107"/>
      <c r="M40" s="107"/>
      <c r="N40" s="107"/>
      <c r="O40" s="107"/>
      <c r="P40" s="107"/>
      <c r="Q40" s="107"/>
      <c r="R40" s="22" t="s">
        <v>110</v>
      </c>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3"/>
    </row>
    <row r="41" spans="2:96" ht="15" customHeight="1">
      <c r="B41" s="104" t="s">
        <v>81</v>
      </c>
      <c r="C41" s="54"/>
      <c r="D41" s="107"/>
      <c r="E41" s="107"/>
      <c r="F41" s="107"/>
      <c r="G41" s="107"/>
      <c r="H41" s="107"/>
      <c r="I41" s="107"/>
      <c r="J41" s="107"/>
      <c r="K41" s="107"/>
      <c r="L41" s="107"/>
      <c r="M41" s="107"/>
      <c r="N41" s="107"/>
      <c r="O41" s="107"/>
      <c r="P41" s="107"/>
      <c r="Q41" s="107"/>
      <c r="R41" s="22" t="s">
        <v>111</v>
      </c>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3"/>
    </row>
    <row r="42" spans="2:96" ht="15" customHeight="1">
      <c r="B42" s="104" t="s">
        <v>82</v>
      </c>
      <c r="C42" s="54"/>
      <c r="D42" s="107"/>
      <c r="E42" s="107"/>
      <c r="F42" s="107"/>
      <c r="G42" s="107"/>
      <c r="H42" s="107"/>
      <c r="I42" s="107"/>
      <c r="J42" s="107"/>
      <c r="K42" s="107"/>
      <c r="L42" s="107"/>
      <c r="M42" s="107"/>
      <c r="N42" s="107"/>
      <c r="O42" s="107"/>
      <c r="P42" s="107"/>
      <c r="Q42" s="107"/>
      <c r="R42" s="22" t="s">
        <v>112</v>
      </c>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3"/>
    </row>
    <row r="43" spans="2:96" ht="15" customHeight="1">
      <c r="B43" s="104" t="s">
        <v>83</v>
      </c>
      <c r="C43" s="54"/>
      <c r="D43" s="107"/>
      <c r="E43" s="107"/>
      <c r="F43" s="107"/>
      <c r="G43" s="107"/>
      <c r="H43" s="107"/>
      <c r="I43" s="107"/>
      <c r="J43" s="107"/>
      <c r="K43" s="107"/>
      <c r="L43" s="107"/>
      <c r="M43" s="107"/>
      <c r="N43" s="107"/>
      <c r="O43" s="107"/>
      <c r="P43" s="107"/>
      <c r="Q43" s="107"/>
      <c r="R43" s="22" t="s">
        <v>113</v>
      </c>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3"/>
    </row>
    <row r="44" spans="2:96" ht="15" customHeight="1">
      <c r="B44" s="104" t="s">
        <v>84</v>
      </c>
      <c r="C44" s="54"/>
      <c r="D44" s="107"/>
      <c r="E44" s="107"/>
      <c r="F44" s="107"/>
      <c r="G44" s="107"/>
      <c r="H44" s="107"/>
      <c r="I44" s="107"/>
      <c r="J44" s="107"/>
      <c r="K44" s="107"/>
      <c r="L44" s="107"/>
      <c r="M44" s="107"/>
      <c r="N44" s="107"/>
      <c r="O44" s="107"/>
      <c r="P44" s="107"/>
      <c r="Q44" s="107"/>
      <c r="R44" s="22" t="s">
        <v>114</v>
      </c>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3"/>
    </row>
    <row r="45" spans="2:96" ht="15" customHeight="1">
      <c r="B45" s="104" t="s">
        <v>85</v>
      </c>
      <c r="C45" s="54"/>
      <c r="D45" s="107"/>
      <c r="E45" s="107"/>
      <c r="F45" s="107"/>
      <c r="G45" s="107"/>
      <c r="H45" s="107"/>
      <c r="I45" s="107"/>
      <c r="J45" s="107"/>
      <c r="K45" s="107"/>
      <c r="L45" s="107"/>
      <c r="M45" s="107"/>
      <c r="N45" s="107"/>
      <c r="O45" s="107"/>
      <c r="P45" s="107"/>
      <c r="Q45" s="107"/>
      <c r="R45" s="22" t="s">
        <v>115</v>
      </c>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3"/>
    </row>
    <row r="46" spans="2:96" ht="15" customHeight="1">
      <c r="B46" s="104" t="s">
        <v>86</v>
      </c>
      <c r="C46" s="54"/>
      <c r="D46" s="107"/>
      <c r="E46" s="107"/>
      <c r="F46" s="107"/>
      <c r="G46" s="107"/>
      <c r="H46" s="107"/>
      <c r="I46" s="107"/>
      <c r="J46" s="107"/>
      <c r="K46" s="107"/>
      <c r="L46" s="107"/>
      <c r="M46" s="107"/>
      <c r="N46" s="107"/>
      <c r="O46" s="107"/>
      <c r="P46" s="107"/>
      <c r="Q46" s="107"/>
      <c r="R46" s="22" t="s">
        <v>116</v>
      </c>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3"/>
    </row>
    <row r="47" spans="2:96" ht="15" customHeight="1">
      <c r="B47" s="104" t="s">
        <v>87</v>
      </c>
      <c r="C47" s="54"/>
      <c r="D47" s="107"/>
      <c r="E47" s="107"/>
      <c r="F47" s="107"/>
      <c r="G47" s="107"/>
      <c r="H47" s="107"/>
      <c r="I47" s="107"/>
      <c r="J47" s="107"/>
      <c r="K47" s="107"/>
      <c r="L47" s="107"/>
      <c r="M47" s="107"/>
      <c r="N47" s="107"/>
      <c r="O47" s="107"/>
      <c r="P47" s="107"/>
      <c r="Q47" s="107"/>
      <c r="R47" s="22" t="s">
        <v>117</v>
      </c>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3"/>
    </row>
    <row r="48" spans="2:96" ht="15" customHeight="1">
      <c r="B48" s="104" t="s">
        <v>88</v>
      </c>
      <c r="C48" s="54"/>
      <c r="D48" s="107"/>
      <c r="E48" s="107"/>
      <c r="F48" s="107"/>
      <c r="G48" s="107"/>
      <c r="H48" s="107"/>
      <c r="I48" s="107"/>
      <c r="J48" s="107"/>
      <c r="K48" s="107"/>
      <c r="L48" s="107"/>
      <c r="M48" s="107"/>
      <c r="N48" s="107"/>
      <c r="O48" s="107"/>
      <c r="P48" s="107"/>
      <c r="Q48" s="107"/>
      <c r="R48" s="22" t="s">
        <v>118</v>
      </c>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3"/>
    </row>
    <row r="49" spans="2:96" ht="15" customHeight="1">
      <c r="B49" s="104" t="s">
        <v>89</v>
      </c>
      <c r="C49" s="54"/>
      <c r="D49" s="107"/>
      <c r="E49" s="107"/>
      <c r="F49" s="107"/>
      <c r="G49" s="107"/>
      <c r="H49" s="107"/>
      <c r="I49" s="107"/>
      <c r="J49" s="107"/>
      <c r="K49" s="107"/>
      <c r="L49" s="107"/>
      <c r="M49" s="107"/>
      <c r="N49" s="107"/>
      <c r="O49" s="107"/>
      <c r="P49" s="107"/>
      <c r="Q49" s="107"/>
      <c r="R49" s="22" t="s">
        <v>119</v>
      </c>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3"/>
    </row>
    <row r="50" spans="2:96" ht="15" customHeight="1">
      <c r="B50" s="104" t="s">
        <v>90</v>
      </c>
      <c r="C50" s="54"/>
      <c r="D50" s="107"/>
      <c r="E50" s="107"/>
      <c r="F50" s="107"/>
      <c r="G50" s="107"/>
      <c r="H50" s="107"/>
      <c r="I50" s="107"/>
      <c r="J50" s="107"/>
      <c r="K50" s="107"/>
      <c r="L50" s="107"/>
      <c r="M50" s="107"/>
      <c r="N50" s="107"/>
      <c r="O50" s="107"/>
      <c r="P50" s="107"/>
      <c r="Q50" s="107"/>
      <c r="R50" s="22" t="s">
        <v>120</v>
      </c>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3"/>
    </row>
    <row r="51" spans="2:96" ht="15" customHeight="1">
      <c r="B51" s="104" t="s">
        <v>91</v>
      </c>
      <c r="C51" s="54"/>
      <c r="D51" s="107"/>
      <c r="E51" s="107"/>
      <c r="F51" s="107"/>
      <c r="G51" s="107"/>
      <c r="H51" s="107"/>
      <c r="I51" s="107"/>
      <c r="J51" s="107"/>
      <c r="K51" s="107"/>
      <c r="L51" s="107"/>
      <c r="M51" s="107"/>
      <c r="N51" s="107"/>
      <c r="O51" s="107"/>
      <c r="P51" s="107"/>
      <c r="Q51" s="107"/>
      <c r="R51" s="22" t="s">
        <v>121</v>
      </c>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3"/>
    </row>
    <row r="52" spans="2:96" ht="15" customHeight="1">
      <c r="B52" s="104" t="s">
        <v>92</v>
      </c>
      <c r="C52" s="54"/>
      <c r="D52" s="107"/>
      <c r="E52" s="107"/>
      <c r="F52" s="107"/>
      <c r="G52" s="107"/>
      <c r="H52" s="107"/>
      <c r="I52" s="107"/>
      <c r="J52" s="107"/>
      <c r="K52" s="107"/>
      <c r="L52" s="107"/>
      <c r="M52" s="107"/>
      <c r="N52" s="107"/>
      <c r="O52" s="107"/>
      <c r="P52" s="107"/>
      <c r="Q52" s="107"/>
      <c r="R52" s="22" t="s">
        <v>122</v>
      </c>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3"/>
    </row>
    <row r="53" spans="2:96" ht="15" customHeight="1">
      <c r="B53" s="104" t="s">
        <v>93</v>
      </c>
      <c r="C53" s="55"/>
      <c r="D53" s="107"/>
      <c r="E53" s="107"/>
      <c r="F53" s="107"/>
      <c r="G53" s="107"/>
      <c r="H53" s="107"/>
      <c r="I53" s="107"/>
      <c r="J53" s="107"/>
      <c r="K53" s="107"/>
      <c r="L53" s="107"/>
      <c r="M53" s="107"/>
      <c r="N53" s="107"/>
      <c r="O53" s="107"/>
      <c r="P53" s="107"/>
      <c r="Q53" s="107"/>
      <c r="R53" s="22" t="s">
        <v>123</v>
      </c>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3"/>
    </row>
    <row r="54" spans="2:96" ht="15" customHeight="1">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3"/>
    </row>
    <row r="55" spans="2:96" s="5" customFormat="1" ht="15.6">
      <c r="B55" s="5" t="s">
        <v>124</v>
      </c>
    </row>
    <row r="56" spans="2:96" ht="15" customHeight="1">
      <c r="B56" s="97"/>
      <c r="C56" s="97"/>
      <c r="D56" s="97"/>
      <c r="E56" s="3"/>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3"/>
    </row>
    <row r="57" spans="2:96" ht="15" customHeight="1">
      <c r="B57" s="104" t="s">
        <v>78</v>
      </c>
      <c r="C57" s="60" t="s">
        <v>79</v>
      </c>
      <c r="D57" s="61" t="s">
        <v>80</v>
      </c>
      <c r="E57" s="104" t="s">
        <v>81</v>
      </c>
      <c r="F57" s="104" t="s">
        <v>82</v>
      </c>
      <c r="G57" s="104" t="s">
        <v>83</v>
      </c>
      <c r="H57" s="104" t="s">
        <v>84</v>
      </c>
      <c r="I57" s="104" t="s">
        <v>85</v>
      </c>
      <c r="J57" s="104" t="s">
        <v>86</v>
      </c>
      <c r="K57" s="104" t="s">
        <v>87</v>
      </c>
      <c r="L57" s="104" t="s">
        <v>88</v>
      </c>
      <c r="M57" s="104" t="s">
        <v>89</v>
      </c>
      <c r="N57" s="104" t="s">
        <v>90</v>
      </c>
      <c r="O57" s="104" t="s">
        <v>91</v>
      </c>
      <c r="P57" s="104" t="s">
        <v>92</v>
      </c>
      <c r="Q57" s="104" t="s">
        <v>93</v>
      </c>
      <c r="R57" s="23"/>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3"/>
    </row>
    <row r="58" spans="2:96" ht="15" customHeight="1">
      <c r="B58" s="60" t="s">
        <v>94</v>
      </c>
      <c r="C58" s="54"/>
      <c r="D58" s="105"/>
      <c r="E58" s="105"/>
      <c r="F58" s="105"/>
      <c r="G58" s="105"/>
      <c r="H58" s="105"/>
      <c r="I58" s="105"/>
      <c r="J58" s="105"/>
      <c r="K58" s="105"/>
      <c r="L58" s="105"/>
      <c r="M58" s="105"/>
      <c r="N58" s="105"/>
      <c r="O58" s="105"/>
      <c r="P58" s="105"/>
      <c r="Q58" s="106"/>
      <c r="R58" s="23"/>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3"/>
    </row>
    <row r="59" spans="2:96" ht="15" customHeight="1">
      <c r="B59" s="61" t="s">
        <v>80</v>
      </c>
      <c r="C59" s="54"/>
      <c r="D59" s="107"/>
      <c r="E59" s="107"/>
      <c r="F59" s="107"/>
      <c r="G59" s="107"/>
      <c r="H59" s="107"/>
      <c r="I59" s="107"/>
      <c r="J59" s="107"/>
      <c r="K59" s="107"/>
      <c r="L59" s="107"/>
      <c r="M59" s="107"/>
      <c r="N59" s="107"/>
      <c r="O59" s="107"/>
      <c r="P59" s="107"/>
      <c r="Q59" s="107"/>
      <c r="R59" s="22" t="s">
        <v>125</v>
      </c>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3"/>
    </row>
    <row r="60" spans="2:96" ht="15" customHeight="1">
      <c r="B60" s="104" t="s">
        <v>81</v>
      </c>
      <c r="C60" s="54"/>
      <c r="D60" s="107"/>
      <c r="E60" s="107"/>
      <c r="F60" s="107"/>
      <c r="G60" s="107"/>
      <c r="H60" s="107"/>
      <c r="I60" s="107"/>
      <c r="J60" s="107"/>
      <c r="K60" s="107"/>
      <c r="L60" s="107"/>
      <c r="M60" s="107"/>
      <c r="N60" s="107"/>
      <c r="O60" s="107"/>
      <c r="P60" s="107"/>
      <c r="Q60" s="107"/>
      <c r="R60" s="22" t="s">
        <v>126</v>
      </c>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3"/>
    </row>
    <row r="61" spans="2:96" ht="15" customHeight="1">
      <c r="B61" s="104" t="s">
        <v>82</v>
      </c>
      <c r="C61" s="54"/>
      <c r="D61" s="107"/>
      <c r="E61" s="107"/>
      <c r="F61" s="107"/>
      <c r="G61" s="107"/>
      <c r="H61" s="107"/>
      <c r="I61" s="107"/>
      <c r="J61" s="107"/>
      <c r="K61" s="107"/>
      <c r="L61" s="107"/>
      <c r="M61" s="107"/>
      <c r="N61" s="107"/>
      <c r="O61" s="107"/>
      <c r="P61" s="107"/>
      <c r="Q61" s="107"/>
      <c r="R61" s="22" t="s">
        <v>127</v>
      </c>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3"/>
    </row>
    <row r="62" spans="2:96" ht="15" customHeight="1">
      <c r="B62" s="104" t="s">
        <v>83</v>
      </c>
      <c r="C62" s="54"/>
      <c r="D62" s="107"/>
      <c r="E62" s="107"/>
      <c r="F62" s="107"/>
      <c r="G62" s="107"/>
      <c r="H62" s="107"/>
      <c r="I62" s="107"/>
      <c r="J62" s="107"/>
      <c r="K62" s="107"/>
      <c r="L62" s="107"/>
      <c r="M62" s="107"/>
      <c r="N62" s="107"/>
      <c r="O62" s="107"/>
      <c r="P62" s="107"/>
      <c r="Q62" s="107"/>
      <c r="R62" s="22" t="s">
        <v>128</v>
      </c>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3"/>
    </row>
    <row r="63" spans="2:96" ht="15" customHeight="1">
      <c r="B63" s="104" t="s">
        <v>84</v>
      </c>
      <c r="C63" s="54"/>
      <c r="D63" s="107"/>
      <c r="E63" s="107"/>
      <c r="F63" s="107"/>
      <c r="G63" s="107"/>
      <c r="H63" s="107"/>
      <c r="I63" s="107"/>
      <c r="J63" s="107"/>
      <c r="K63" s="107"/>
      <c r="L63" s="107"/>
      <c r="M63" s="107"/>
      <c r="N63" s="107"/>
      <c r="O63" s="107"/>
      <c r="P63" s="107"/>
      <c r="Q63" s="107"/>
      <c r="R63" s="22" t="s">
        <v>129</v>
      </c>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3"/>
    </row>
    <row r="64" spans="2:96" s="62" customFormat="1" ht="15" customHeight="1">
      <c r="B64" s="104" t="s">
        <v>85</v>
      </c>
      <c r="C64" s="54"/>
      <c r="D64" s="107"/>
      <c r="E64" s="107"/>
      <c r="F64" s="107"/>
      <c r="G64" s="107"/>
      <c r="H64" s="107"/>
      <c r="I64" s="107"/>
      <c r="J64" s="107"/>
      <c r="K64" s="107"/>
      <c r="L64" s="107"/>
      <c r="M64" s="107"/>
      <c r="N64" s="107"/>
      <c r="O64" s="107"/>
      <c r="P64" s="107"/>
      <c r="Q64" s="107"/>
      <c r="R64" s="22" t="s">
        <v>130</v>
      </c>
    </row>
    <row r="65" spans="1:96" s="62" customFormat="1" ht="15" customHeight="1">
      <c r="A65" s="63"/>
      <c r="B65" s="104" t="s">
        <v>86</v>
      </c>
      <c r="C65" s="54"/>
      <c r="D65" s="107"/>
      <c r="E65" s="107"/>
      <c r="F65" s="107"/>
      <c r="G65" s="107"/>
      <c r="H65" s="107"/>
      <c r="I65" s="107"/>
      <c r="J65" s="107"/>
      <c r="K65" s="107"/>
      <c r="L65" s="107"/>
      <c r="M65" s="107"/>
      <c r="N65" s="107"/>
      <c r="O65" s="107"/>
      <c r="P65" s="107"/>
      <c r="Q65" s="107"/>
      <c r="R65" s="22" t="s">
        <v>131</v>
      </c>
    </row>
    <row r="66" spans="1:96" s="62" customFormat="1" ht="15" customHeight="1">
      <c r="A66" s="64"/>
      <c r="B66" s="104" t="s">
        <v>87</v>
      </c>
      <c r="C66" s="54"/>
      <c r="D66" s="107"/>
      <c r="E66" s="107"/>
      <c r="F66" s="107"/>
      <c r="G66" s="107"/>
      <c r="H66" s="107"/>
      <c r="I66" s="107"/>
      <c r="J66" s="107"/>
      <c r="K66" s="107"/>
      <c r="L66" s="107"/>
      <c r="M66" s="107"/>
      <c r="N66" s="107"/>
      <c r="O66" s="107"/>
      <c r="P66" s="107"/>
      <c r="Q66" s="107"/>
      <c r="R66" s="22" t="s">
        <v>132</v>
      </c>
    </row>
    <row r="67" spans="1:96" ht="15" customHeight="1">
      <c r="A67" s="97"/>
      <c r="B67" s="104" t="s">
        <v>88</v>
      </c>
      <c r="C67" s="54"/>
      <c r="D67" s="107"/>
      <c r="E67" s="107"/>
      <c r="F67" s="107"/>
      <c r="G67" s="107"/>
      <c r="H67" s="107"/>
      <c r="I67" s="107"/>
      <c r="J67" s="107"/>
      <c r="K67" s="107"/>
      <c r="L67" s="107"/>
      <c r="M67" s="107"/>
      <c r="N67" s="107"/>
      <c r="O67" s="107"/>
      <c r="P67" s="107"/>
      <c r="Q67" s="107"/>
      <c r="R67" s="22" t="s">
        <v>133</v>
      </c>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row>
    <row r="68" spans="1:96" ht="15" customHeight="1">
      <c r="A68" s="97"/>
      <c r="B68" s="104" t="s">
        <v>89</v>
      </c>
      <c r="C68" s="54"/>
      <c r="D68" s="107"/>
      <c r="E68" s="107"/>
      <c r="F68" s="107"/>
      <c r="G68" s="107"/>
      <c r="H68" s="107"/>
      <c r="I68" s="107"/>
      <c r="J68" s="107"/>
      <c r="K68" s="107"/>
      <c r="L68" s="107"/>
      <c r="M68" s="107"/>
      <c r="N68" s="107"/>
      <c r="O68" s="107"/>
      <c r="P68" s="107"/>
      <c r="Q68" s="107"/>
      <c r="R68" s="22" t="s">
        <v>134</v>
      </c>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row>
    <row r="69" spans="1:96" ht="15" customHeight="1">
      <c r="A69" s="97"/>
      <c r="B69" s="104" t="s">
        <v>90</v>
      </c>
      <c r="C69" s="54"/>
      <c r="D69" s="107"/>
      <c r="E69" s="107"/>
      <c r="F69" s="107"/>
      <c r="G69" s="107"/>
      <c r="H69" s="107"/>
      <c r="I69" s="107"/>
      <c r="J69" s="107"/>
      <c r="K69" s="107"/>
      <c r="L69" s="107"/>
      <c r="M69" s="107"/>
      <c r="N69" s="107"/>
      <c r="O69" s="107"/>
      <c r="P69" s="107"/>
      <c r="Q69" s="107"/>
      <c r="R69" s="22" t="s">
        <v>135</v>
      </c>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row>
    <row r="70" spans="1:96" ht="15" customHeight="1">
      <c r="A70" s="97"/>
      <c r="B70" s="104" t="s">
        <v>91</v>
      </c>
      <c r="C70" s="54"/>
      <c r="D70" s="107"/>
      <c r="E70" s="107"/>
      <c r="F70" s="107"/>
      <c r="G70" s="107"/>
      <c r="H70" s="107"/>
      <c r="I70" s="107"/>
      <c r="J70" s="107"/>
      <c r="K70" s="107"/>
      <c r="L70" s="107"/>
      <c r="M70" s="107"/>
      <c r="N70" s="107"/>
      <c r="O70" s="107"/>
      <c r="P70" s="107"/>
      <c r="Q70" s="107"/>
      <c r="R70" s="22" t="s">
        <v>136</v>
      </c>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row>
    <row r="71" spans="1:96" s="7" customFormat="1" ht="15" customHeight="1">
      <c r="B71" s="104" t="s">
        <v>92</v>
      </c>
      <c r="C71" s="54"/>
      <c r="D71" s="107"/>
      <c r="E71" s="107"/>
      <c r="F71" s="107"/>
      <c r="G71" s="107"/>
      <c r="H71" s="107"/>
      <c r="I71" s="107"/>
      <c r="J71" s="107"/>
      <c r="K71" s="107"/>
      <c r="L71" s="107"/>
      <c r="M71" s="107"/>
      <c r="N71" s="107"/>
      <c r="O71" s="107"/>
      <c r="P71" s="107"/>
      <c r="Q71" s="107"/>
      <c r="R71" s="22" t="s">
        <v>137</v>
      </c>
    </row>
    <row r="72" spans="1:96" s="7" customFormat="1" ht="15" customHeight="1">
      <c r="B72" s="104" t="s">
        <v>93</v>
      </c>
      <c r="C72" s="55"/>
      <c r="D72" s="107"/>
      <c r="E72" s="107"/>
      <c r="F72" s="107"/>
      <c r="G72" s="107"/>
      <c r="H72" s="107"/>
      <c r="I72" s="107"/>
      <c r="J72" s="107"/>
      <c r="K72" s="107"/>
      <c r="L72" s="107"/>
      <c r="M72" s="107"/>
      <c r="N72" s="107"/>
      <c r="O72" s="107"/>
      <c r="P72" s="107"/>
      <c r="Q72" s="107"/>
      <c r="R72" s="22" t="s">
        <v>138</v>
      </c>
    </row>
    <row r="73" spans="1:96" ht="15" customHeight="1">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row>
    <row r="74" spans="1:96" ht="15" customHeight="1">
      <c r="A74" s="97"/>
      <c r="B74" s="104" t="s">
        <v>109</v>
      </c>
      <c r="C74" s="60" t="s">
        <v>79</v>
      </c>
      <c r="D74" s="61" t="s">
        <v>80</v>
      </c>
      <c r="E74" s="104" t="s">
        <v>81</v>
      </c>
      <c r="F74" s="104" t="s">
        <v>82</v>
      </c>
      <c r="G74" s="104" t="s">
        <v>83</v>
      </c>
      <c r="H74" s="104" t="s">
        <v>84</v>
      </c>
      <c r="I74" s="104" t="s">
        <v>85</v>
      </c>
      <c r="J74" s="104" t="s">
        <v>86</v>
      </c>
      <c r="K74" s="104" t="s">
        <v>87</v>
      </c>
      <c r="L74" s="104" t="s">
        <v>88</v>
      </c>
      <c r="M74" s="104" t="s">
        <v>89</v>
      </c>
      <c r="N74" s="104" t="s">
        <v>90</v>
      </c>
      <c r="O74" s="104" t="s">
        <v>91</v>
      </c>
      <c r="P74" s="104" t="s">
        <v>92</v>
      </c>
      <c r="Q74" s="104" t="s">
        <v>93</v>
      </c>
      <c r="R74" s="23"/>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3"/>
    </row>
    <row r="75" spans="1:96" ht="15" customHeight="1">
      <c r="A75" s="97"/>
      <c r="B75" s="60" t="s">
        <v>94</v>
      </c>
      <c r="C75" s="54"/>
      <c r="D75" s="105"/>
      <c r="E75" s="105"/>
      <c r="F75" s="105"/>
      <c r="G75" s="105"/>
      <c r="H75" s="105"/>
      <c r="I75" s="105"/>
      <c r="J75" s="105"/>
      <c r="K75" s="105"/>
      <c r="L75" s="105"/>
      <c r="M75" s="105"/>
      <c r="N75" s="105"/>
      <c r="O75" s="105"/>
      <c r="P75" s="105"/>
      <c r="Q75" s="106"/>
      <c r="R75" s="23"/>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3"/>
    </row>
    <row r="76" spans="1:96" ht="15" customHeight="1">
      <c r="A76" s="97"/>
      <c r="B76" s="61" t="s">
        <v>80</v>
      </c>
      <c r="C76" s="54"/>
      <c r="D76" s="107"/>
      <c r="E76" s="107"/>
      <c r="F76" s="107"/>
      <c r="G76" s="107"/>
      <c r="H76" s="107"/>
      <c r="I76" s="107"/>
      <c r="J76" s="107"/>
      <c r="K76" s="107"/>
      <c r="L76" s="107"/>
      <c r="M76" s="107"/>
      <c r="N76" s="107"/>
      <c r="O76" s="107"/>
      <c r="P76" s="107"/>
      <c r="Q76" s="107"/>
      <c r="R76" s="22" t="s">
        <v>139</v>
      </c>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3"/>
    </row>
    <row r="77" spans="1:96" ht="15" customHeight="1">
      <c r="A77" s="97"/>
      <c r="B77" s="104" t="s">
        <v>81</v>
      </c>
      <c r="C77" s="54"/>
      <c r="D77" s="107"/>
      <c r="E77" s="107"/>
      <c r="F77" s="107"/>
      <c r="G77" s="107"/>
      <c r="H77" s="107"/>
      <c r="I77" s="107"/>
      <c r="J77" s="107"/>
      <c r="K77" s="107"/>
      <c r="L77" s="107"/>
      <c r="M77" s="107"/>
      <c r="N77" s="107"/>
      <c r="O77" s="107"/>
      <c r="P77" s="107"/>
      <c r="Q77" s="107"/>
      <c r="R77" s="22" t="s">
        <v>140</v>
      </c>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3"/>
    </row>
    <row r="78" spans="1:96" ht="15" customHeight="1">
      <c r="A78" s="97"/>
      <c r="B78" s="104" t="s">
        <v>82</v>
      </c>
      <c r="C78" s="54"/>
      <c r="D78" s="107"/>
      <c r="E78" s="107"/>
      <c r="F78" s="107"/>
      <c r="G78" s="107"/>
      <c r="H78" s="107"/>
      <c r="I78" s="107"/>
      <c r="J78" s="107"/>
      <c r="K78" s="107"/>
      <c r="L78" s="107"/>
      <c r="M78" s="107"/>
      <c r="N78" s="107"/>
      <c r="O78" s="107"/>
      <c r="P78" s="107"/>
      <c r="Q78" s="107"/>
      <c r="R78" s="22" t="s">
        <v>141</v>
      </c>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3"/>
    </row>
    <row r="79" spans="1:96" ht="15" customHeight="1">
      <c r="A79" s="97"/>
      <c r="B79" s="104" t="s">
        <v>83</v>
      </c>
      <c r="C79" s="54"/>
      <c r="D79" s="107"/>
      <c r="E79" s="107"/>
      <c r="F79" s="107"/>
      <c r="G79" s="107"/>
      <c r="H79" s="107"/>
      <c r="I79" s="107"/>
      <c r="J79" s="107"/>
      <c r="K79" s="107"/>
      <c r="L79" s="107"/>
      <c r="M79" s="107"/>
      <c r="N79" s="107"/>
      <c r="O79" s="107"/>
      <c r="P79" s="107"/>
      <c r="Q79" s="107"/>
      <c r="R79" s="22" t="s">
        <v>142</v>
      </c>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3"/>
    </row>
    <row r="80" spans="1:96" ht="15" customHeight="1">
      <c r="A80" s="97"/>
      <c r="B80" s="104" t="s">
        <v>84</v>
      </c>
      <c r="C80" s="54"/>
      <c r="D80" s="107"/>
      <c r="E80" s="107"/>
      <c r="F80" s="107"/>
      <c r="G80" s="107"/>
      <c r="H80" s="107"/>
      <c r="I80" s="107"/>
      <c r="J80" s="107"/>
      <c r="K80" s="107"/>
      <c r="L80" s="107"/>
      <c r="M80" s="107"/>
      <c r="N80" s="107"/>
      <c r="O80" s="107"/>
      <c r="P80" s="107"/>
      <c r="Q80" s="107"/>
      <c r="R80" s="22" t="s">
        <v>143</v>
      </c>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3"/>
    </row>
    <row r="81" spans="1:18" s="62" customFormat="1" ht="15" customHeight="1">
      <c r="B81" s="104" t="s">
        <v>85</v>
      </c>
      <c r="C81" s="54"/>
      <c r="D81" s="107"/>
      <c r="E81" s="107"/>
      <c r="F81" s="107"/>
      <c r="G81" s="107"/>
      <c r="H81" s="107"/>
      <c r="I81" s="107"/>
      <c r="J81" s="107"/>
      <c r="K81" s="107"/>
      <c r="L81" s="107"/>
      <c r="M81" s="107"/>
      <c r="N81" s="107"/>
      <c r="O81" s="107"/>
      <c r="P81" s="107"/>
      <c r="Q81" s="107"/>
      <c r="R81" s="22" t="s">
        <v>144</v>
      </c>
    </row>
    <row r="82" spans="1:18" s="62" customFormat="1" ht="15" customHeight="1">
      <c r="A82" s="63"/>
      <c r="B82" s="104" t="s">
        <v>86</v>
      </c>
      <c r="C82" s="54"/>
      <c r="D82" s="107"/>
      <c r="E82" s="107"/>
      <c r="F82" s="107"/>
      <c r="G82" s="107"/>
      <c r="H82" s="107"/>
      <c r="I82" s="107"/>
      <c r="J82" s="107"/>
      <c r="K82" s="107"/>
      <c r="L82" s="107"/>
      <c r="M82" s="107"/>
      <c r="N82" s="107"/>
      <c r="O82" s="107"/>
      <c r="P82" s="107"/>
      <c r="Q82" s="107"/>
      <c r="R82" s="22" t="s">
        <v>145</v>
      </c>
    </row>
    <row r="83" spans="1:18" s="62" customFormat="1" ht="15" customHeight="1">
      <c r="A83" s="64"/>
      <c r="B83" s="104" t="s">
        <v>87</v>
      </c>
      <c r="C83" s="54"/>
      <c r="D83" s="107"/>
      <c r="E83" s="107"/>
      <c r="F83" s="107"/>
      <c r="G83" s="107"/>
      <c r="H83" s="107"/>
      <c r="I83" s="107"/>
      <c r="J83" s="107"/>
      <c r="K83" s="107"/>
      <c r="L83" s="107"/>
      <c r="M83" s="107"/>
      <c r="N83" s="107"/>
      <c r="O83" s="107"/>
      <c r="P83" s="107"/>
      <c r="Q83" s="107"/>
      <c r="R83" s="22" t="s">
        <v>146</v>
      </c>
    </row>
    <row r="84" spans="1:18" ht="15" customHeight="1">
      <c r="A84" s="97"/>
      <c r="B84" s="104" t="s">
        <v>88</v>
      </c>
      <c r="C84" s="54"/>
      <c r="D84" s="107"/>
      <c r="E84" s="107"/>
      <c r="F84" s="107"/>
      <c r="G84" s="107"/>
      <c r="H84" s="107"/>
      <c r="I84" s="107"/>
      <c r="J84" s="107"/>
      <c r="K84" s="107"/>
      <c r="L84" s="107"/>
      <c r="M84" s="107"/>
      <c r="N84" s="107"/>
      <c r="O84" s="107"/>
      <c r="P84" s="107"/>
      <c r="Q84" s="107"/>
      <c r="R84" s="22" t="s">
        <v>147</v>
      </c>
    </row>
    <row r="85" spans="1:18" ht="15" customHeight="1">
      <c r="A85" s="97"/>
      <c r="B85" s="104" t="s">
        <v>89</v>
      </c>
      <c r="C85" s="54"/>
      <c r="D85" s="107"/>
      <c r="E85" s="107"/>
      <c r="F85" s="107"/>
      <c r="G85" s="107"/>
      <c r="H85" s="107"/>
      <c r="I85" s="107"/>
      <c r="J85" s="107"/>
      <c r="K85" s="107"/>
      <c r="L85" s="107"/>
      <c r="M85" s="107"/>
      <c r="N85" s="107"/>
      <c r="O85" s="107"/>
      <c r="P85" s="107"/>
      <c r="Q85" s="107"/>
      <c r="R85" s="22" t="s">
        <v>148</v>
      </c>
    </row>
    <row r="86" spans="1:18" ht="15" customHeight="1">
      <c r="A86" s="97"/>
      <c r="B86" s="104" t="s">
        <v>90</v>
      </c>
      <c r="C86" s="54"/>
      <c r="D86" s="107"/>
      <c r="E86" s="107"/>
      <c r="F86" s="107"/>
      <c r="G86" s="107"/>
      <c r="H86" s="107"/>
      <c r="I86" s="107"/>
      <c r="J86" s="107"/>
      <c r="K86" s="107"/>
      <c r="L86" s="107"/>
      <c r="M86" s="107"/>
      <c r="N86" s="107"/>
      <c r="O86" s="107"/>
      <c r="P86" s="107"/>
      <c r="Q86" s="107"/>
      <c r="R86" s="22" t="s">
        <v>149</v>
      </c>
    </row>
    <row r="87" spans="1:18" ht="15" customHeight="1">
      <c r="A87" s="97"/>
      <c r="B87" s="104" t="s">
        <v>91</v>
      </c>
      <c r="C87" s="54"/>
      <c r="D87" s="107"/>
      <c r="E87" s="107"/>
      <c r="F87" s="107"/>
      <c r="G87" s="107"/>
      <c r="H87" s="107"/>
      <c r="I87" s="107"/>
      <c r="J87" s="107"/>
      <c r="K87" s="107"/>
      <c r="L87" s="107"/>
      <c r="M87" s="107"/>
      <c r="N87" s="107"/>
      <c r="O87" s="107"/>
      <c r="P87" s="107"/>
      <c r="Q87" s="107"/>
      <c r="R87" s="22" t="s">
        <v>150</v>
      </c>
    </row>
    <row r="88" spans="1:18" s="7" customFormat="1" ht="15" customHeight="1">
      <c r="B88" s="104" t="s">
        <v>92</v>
      </c>
      <c r="C88" s="54"/>
      <c r="D88" s="107"/>
      <c r="E88" s="107"/>
      <c r="F88" s="107"/>
      <c r="G88" s="107"/>
      <c r="H88" s="107"/>
      <c r="I88" s="107"/>
      <c r="J88" s="107"/>
      <c r="K88" s="107"/>
      <c r="L88" s="107"/>
      <c r="M88" s="107"/>
      <c r="N88" s="107"/>
      <c r="O88" s="107"/>
      <c r="P88" s="107"/>
      <c r="Q88" s="107"/>
      <c r="R88" s="22" t="s">
        <v>151</v>
      </c>
    </row>
    <row r="89" spans="1:18" s="7" customFormat="1" ht="15" customHeight="1">
      <c r="B89" s="104" t="s">
        <v>93</v>
      </c>
      <c r="C89" s="55"/>
      <c r="D89" s="107"/>
      <c r="E89" s="107"/>
      <c r="F89" s="107"/>
      <c r="G89" s="107"/>
      <c r="H89" s="107"/>
      <c r="I89" s="107"/>
      <c r="J89" s="107"/>
      <c r="K89" s="107"/>
      <c r="L89" s="107"/>
      <c r="M89" s="107"/>
      <c r="N89" s="107"/>
      <c r="O89" s="107"/>
      <c r="P89" s="107"/>
      <c r="Q89" s="107"/>
      <c r="R89" s="22" t="s">
        <v>152</v>
      </c>
    </row>
    <row r="90" spans="1:18" ht="15" customHeight="1">
      <c r="A90" s="97"/>
      <c r="B90" s="97"/>
      <c r="C90" s="97"/>
      <c r="D90" s="97"/>
      <c r="E90" s="97"/>
      <c r="F90" s="97"/>
      <c r="G90" s="97"/>
      <c r="H90" s="97"/>
      <c r="I90" s="97"/>
      <c r="J90" s="97"/>
      <c r="K90" s="97"/>
      <c r="L90" s="97"/>
      <c r="M90" s="97"/>
      <c r="N90" s="97"/>
      <c r="O90" s="97"/>
      <c r="P90" s="97"/>
      <c r="Q90" s="97"/>
      <c r="R90" s="97"/>
    </row>
    <row r="91" spans="1:18" s="2" customFormat="1" ht="18.600000000000001">
      <c r="B91" s="2" t="s">
        <v>153</v>
      </c>
    </row>
    <row r="92" spans="1:18" s="62" customFormat="1" ht="15" customHeight="1">
      <c r="B92" s="65"/>
    </row>
    <row r="93" spans="1:18" s="62" customFormat="1" ht="15" customHeight="1">
      <c r="B93" s="108" t="s">
        <v>154</v>
      </c>
      <c r="C93" s="108"/>
      <c r="D93" s="109">
        <v>2010</v>
      </c>
      <c r="E93" s="3" t="s">
        <v>155</v>
      </c>
    </row>
    <row r="94" spans="1:18" s="62" customFormat="1" ht="15" customHeight="1">
      <c r="B94" s="108" t="s">
        <v>156</v>
      </c>
      <c r="C94" s="108"/>
      <c r="D94" s="109">
        <v>2010</v>
      </c>
      <c r="E94" s="3" t="s">
        <v>157</v>
      </c>
    </row>
    <row r="95" spans="1:18" ht="15" customHeight="1">
      <c r="A95" s="97"/>
      <c r="B95" s="97" t="s">
        <v>158</v>
      </c>
      <c r="C95" s="97"/>
      <c r="D95" s="110">
        <v>2.2999999999999998</v>
      </c>
      <c r="E95" s="3" t="s">
        <v>159</v>
      </c>
      <c r="F95" s="3"/>
      <c r="G95" s="97"/>
      <c r="H95" s="97"/>
      <c r="I95" s="97"/>
      <c r="J95" s="97"/>
      <c r="K95" s="97"/>
      <c r="L95" s="97"/>
      <c r="M95" s="97"/>
      <c r="N95" s="97"/>
      <c r="O95" s="97"/>
      <c r="P95" s="97"/>
      <c r="Q95" s="97"/>
      <c r="R95" s="97"/>
    </row>
    <row r="96" spans="1:18" s="62" customFormat="1" ht="15" customHeight="1">
      <c r="B96" s="65"/>
    </row>
    <row r="97" spans="2:44" s="5" customFormat="1" ht="15.6">
      <c r="B97" s="5" t="s">
        <v>160</v>
      </c>
    </row>
    <row r="98" spans="2:44" ht="15" customHeight="1">
      <c r="B98" s="97"/>
      <c r="C98" s="111"/>
      <c r="D98" s="3"/>
      <c r="E98" s="3"/>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row>
    <row r="99" spans="2:44" ht="15" customHeight="1">
      <c r="B99" s="96" t="s">
        <v>161</v>
      </c>
      <c r="C99" s="97"/>
      <c r="D99" s="57" t="s">
        <v>162</v>
      </c>
      <c r="E99" s="56">
        <v>45</v>
      </c>
      <c r="F99" s="56">
        <v>46</v>
      </c>
      <c r="G99" s="56">
        <v>47</v>
      </c>
      <c r="H99" s="56">
        <v>48</v>
      </c>
      <c r="I99" s="56">
        <v>49</v>
      </c>
      <c r="J99" s="56">
        <v>50</v>
      </c>
      <c r="K99" s="56">
        <v>51</v>
      </c>
      <c r="L99" s="56">
        <v>52</v>
      </c>
      <c r="M99" s="56">
        <v>53</v>
      </c>
      <c r="N99" s="56">
        <v>54</v>
      </c>
      <c r="O99" s="56">
        <v>55</v>
      </c>
      <c r="P99" s="56">
        <v>56</v>
      </c>
      <c r="Q99" s="56">
        <v>57</v>
      </c>
      <c r="R99" s="56">
        <v>58</v>
      </c>
      <c r="S99" s="56">
        <v>59</v>
      </c>
      <c r="T99" s="56">
        <v>60</v>
      </c>
      <c r="U99" s="56">
        <v>61</v>
      </c>
      <c r="V99" s="56">
        <v>62</v>
      </c>
      <c r="W99" s="56">
        <v>63</v>
      </c>
      <c r="X99" s="56">
        <v>64</v>
      </c>
      <c r="Y99" s="56">
        <v>65</v>
      </c>
      <c r="Z99" s="56">
        <v>66</v>
      </c>
      <c r="AA99" s="56">
        <v>67</v>
      </c>
      <c r="AB99" s="56">
        <v>68</v>
      </c>
      <c r="AC99" s="56">
        <v>69</v>
      </c>
      <c r="AD99" s="56">
        <v>70</v>
      </c>
      <c r="AE99" s="56">
        <v>71</v>
      </c>
      <c r="AF99" s="56">
        <v>72</v>
      </c>
      <c r="AG99" s="56">
        <v>73</v>
      </c>
      <c r="AH99" s="56">
        <v>74</v>
      </c>
      <c r="AI99" s="56">
        <v>75</v>
      </c>
      <c r="AJ99" s="56">
        <v>76</v>
      </c>
      <c r="AK99" s="56">
        <v>77</v>
      </c>
      <c r="AL99" s="56">
        <v>78</v>
      </c>
      <c r="AM99" s="56">
        <v>79</v>
      </c>
      <c r="AN99" s="56">
        <v>80</v>
      </c>
      <c r="AO99" s="56">
        <v>81</v>
      </c>
      <c r="AP99" s="56">
        <v>82</v>
      </c>
      <c r="AQ99" s="56">
        <v>83</v>
      </c>
      <c r="AR99" s="97"/>
    </row>
    <row r="100" spans="2:44" ht="15" customHeight="1">
      <c r="B100" s="96"/>
      <c r="C100" s="97"/>
      <c r="D100" s="57">
        <v>45</v>
      </c>
      <c r="E100" s="56">
        <v>46</v>
      </c>
      <c r="F100" s="57">
        <v>47</v>
      </c>
      <c r="G100" s="56">
        <v>48</v>
      </c>
      <c r="H100" s="57">
        <v>49</v>
      </c>
      <c r="I100" s="56">
        <v>50</v>
      </c>
      <c r="J100" s="57">
        <v>51</v>
      </c>
      <c r="K100" s="56">
        <v>52</v>
      </c>
      <c r="L100" s="57">
        <v>53</v>
      </c>
      <c r="M100" s="56">
        <v>54</v>
      </c>
      <c r="N100" s="57">
        <v>55</v>
      </c>
      <c r="O100" s="56">
        <v>56</v>
      </c>
      <c r="P100" s="57">
        <v>57</v>
      </c>
      <c r="Q100" s="56">
        <v>58</v>
      </c>
      <c r="R100" s="57">
        <v>59</v>
      </c>
      <c r="S100" s="56">
        <v>60</v>
      </c>
      <c r="T100" s="57">
        <v>61</v>
      </c>
      <c r="U100" s="56">
        <v>62</v>
      </c>
      <c r="V100" s="57">
        <v>63</v>
      </c>
      <c r="W100" s="56">
        <v>64</v>
      </c>
      <c r="X100" s="57">
        <v>65</v>
      </c>
      <c r="Y100" s="56">
        <v>66</v>
      </c>
      <c r="Z100" s="57">
        <v>67</v>
      </c>
      <c r="AA100" s="56">
        <v>68</v>
      </c>
      <c r="AB100" s="57">
        <v>69</v>
      </c>
      <c r="AC100" s="56">
        <v>70</v>
      </c>
      <c r="AD100" s="57">
        <v>71</v>
      </c>
      <c r="AE100" s="56">
        <v>72</v>
      </c>
      <c r="AF100" s="57">
        <v>73</v>
      </c>
      <c r="AG100" s="56">
        <v>74</v>
      </c>
      <c r="AH100" s="57">
        <v>75</v>
      </c>
      <c r="AI100" s="56">
        <v>76</v>
      </c>
      <c r="AJ100" s="57">
        <v>77</v>
      </c>
      <c r="AK100" s="56">
        <v>78</v>
      </c>
      <c r="AL100" s="57">
        <v>79</v>
      </c>
      <c r="AM100" s="56">
        <v>80</v>
      </c>
      <c r="AN100" s="57">
        <v>81</v>
      </c>
      <c r="AO100" s="56">
        <v>82</v>
      </c>
      <c r="AP100" s="57">
        <v>83</v>
      </c>
      <c r="AQ100" s="56">
        <v>84</v>
      </c>
      <c r="AR100" s="97"/>
    </row>
    <row r="101" spans="2:44" ht="15" customHeight="1">
      <c r="B101" s="112" t="s">
        <v>163</v>
      </c>
      <c r="C101" s="97"/>
      <c r="D101" s="90"/>
      <c r="E101" s="90">
        <v>0</v>
      </c>
      <c r="F101" s="90">
        <v>0</v>
      </c>
      <c r="G101" s="90">
        <v>0</v>
      </c>
      <c r="H101" s="90">
        <v>0</v>
      </c>
      <c r="I101" s="90">
        <v>0</v>
      </c>
      <c r="J101" s="90">
        <v>0</v>
      </c>
      <c r="K101" s="90">
        <v>0</v>
      </c>
      <c r="L101" s="90">
        <v>22.546606838768618</v>
      </c>
      <c r="M101" s="90">
        <v>24.585946000073541</v>
      </c>
      <c r="N101" s="90">
        <v>26.625285161375768</v>
      </c>
      <c r="O101" s="90">
        <v>28.664624322680396</v>
      </c>
      <c r="P101" s="90">
        <v>30.703963483983816</v>
      </c>
      <c r="Q101" s="90">
        <v>32.743302645287237</v>
      </c>
      <c r="R101" s="90">
        <v>34.782641806590966</v>
      </c>
      <c r="S101" s="90">
        <v>36.821980967894682</v>
      </c>
      <c r="T101" s="90">
        <v>38.861320129199306</v>
      </c>
      <c r="U101" s="90">
        <v>40.900659290501537</v>
      </c>
      <c r="V101" s="90">
        <v>42.939998451806758</v>
      </c>
      <c r="W101" s="90">
        <v>44.979337613110189</v>
      </c>
      <c r="X101" s="90">
        <v>47.01867677441421</v>
      </c>
      <c r="Y101" s="90">
        <v>49.058015935716426</v>
      </c>
      <c r="Z101" s="90">
        <v>51.097355097021058</v>
      </c>
      <c r="AA101" s="90">
        <v>53.136694258324482</v>
      </c>
      <c r="AB101" s="90">
        <v>55.176033419627899</v>
      </c>
      <c r="AC101" s="90">
        <v>57.215372580932531</v>
      </c>
      <c r="AD101" s="90">
        <v>59.254711742235948</v>
      </c>
      <c r="AE101" s="90">
        <v>61.294050903539365</v>
      </c>
      <c r="AF101" s="90">
        <v>63.333390064842796</v>
      </c>
      <c r="AG101" s="90">
        <v>65.37272922614801</v>
      </c>
      <c r="AH101" s="90">
        <v>67.412068387450248</v>
      </c>
      <c r="AI101" s="90">
        <v>67.412068387450248</v>
      </c>
      <c r="AJ101" s="90">
        <v>67.412068387450248</v>
      </c>
      <c r="AK101" s="90">
        <v>67.412068387450248</v>
      </c>
      <c r="AL101" s="90">
        <v>67.412068387450248</v>
      </c>
      <c r="AM101" s="90">
        <v>67.412068387450248</v>
      </c>
      <c r="AN101" s="90">
        <v>67.412068387450248</v>
      </c>
      <c r="AO101" s="90">
        <v>67.412068387450248</v>
      </c>
      <c r="AP101" s="90">
        <v>67.412068387450248</v>
      </c>
      <c r="AQ101" s="90">
        <v>67.412068387450248</v>
      </c>
      <c r="AR101" s="3" t="s">
        <v>164</v>
      </c>
    </row>
    <row r="102" spans="2:44" ht="15" customHeight="1">
      <c r="B102" s="112" t="s">
        <v>165</v>
      </c>
      <c r="C102" s="97"/>
      <c r="D102" s="90"/>
      <c r="E102" s="94">
        <v>9.9227629889971318</v>
      </c>
      <c r="F102" s="94">
        <v>10.105834346646247</v>
      </c>
      <c r="G102" s="94">
        <v>10.400497293870213</v>
      </c>
      <c r="H102" s="94">
        <v>10.806751830669237</v>
      </c>
      <c r="I102" s="94">
        <v>11.324597957043132</v>
      </c>
      <c r="J102" s="94">
        <v>11.954035672991939</v>
      </c>
      <c r="K102" s="94">
        <v>12.695064978515616</v>
      </c>
      <c r="L102" s="94">
        <v>13.547685873614345</v>
      </c>
      <c r="M102" s="94">
        <v>14.511898358287944</v>
      </c>
      <c r="N102" s="94">
        <v>15.587702432536508</v>
      </c>
      <c r="O102" s="94">
        <v>16.775098096359745</v>
      </c>
      <c r="P102" s="94">
        <v>18.074085349758274</v>
      </c>
      <c r="Q102" s="94">
        <v>19.484664192731611</v>
      </c>
      <c r="R102" s="94">
        <v>21.006834625279801</v>
      </c>
      <c r="S102" s="94">
        <v>22.640596647402802</v>
      </c>
      <c r="T102" s="94">
        <v>24.385950259101001</v>
      </c>
      <c r="U102" s="94">
        <v>26.242895460374093</v>
      </c>
      <c r="V102" s="94">
        <v>28.211432251221737</v>
      </c>
      <c r="W102" s="94">
        <v>30.291560631644877</v>
      </c>
      <c r="X102" s="94">
        <v>32.483280601642583</v>
      </c>
      <c r="Y102" s="94">
        <v>34.786592161215253</v>
      </c>
      <c r="Z102" s="94">
        <v>37.201495310362915</v>
      </c>
      <c r="AA102" s="94">
        <v>39.727990049085562</v>
      </c>
      <c r="AB102" s="94">
        <v>42.366076377383017</v>
      </c>
      <c r="AC102" s="94">
        <v>45.115754295255442</v>
      </c>
      <c r="AD102" s="94">
        <v>47.977023802701922</v>
      </c>
      <c r="AE102" s="94">
        <v>50.949884899725006</v>
      </c>
      <c r="AF102" s="94">
        <v>54.034337586322316</v>
      </c>
      <c r="AG102" s="94">
        <v>57.23038186249407</v>
      </c>
      <c r="AH102" s="94">
        <v>60.53801772824167</v>
      </c>
      <c r="AI102" s="94">
        <v>63.957245183563224</v>
      </c>
      <c r="AJ102" s="94">
        <v>63.957245183563224</v>
      </c>
      <c r="AK102" s="94">
        <v>63.957245183563224</v>
      </c>
      <c r="AL102" s="94">
        <v>63.957245183563224</v>
      </c>
      <c r="AM102" s="94">
        <v>63.957245183563224</v>
      </c>
      <c r="AN102" s="94">
        <v>63.957245183563224</v>
      </c>
      <c r="AO102" s="94">
        <v>63.957245183563224</v>
      </c>
      <c r="AP102" s="94">
        <v>63.957245183563224</v>
      </c>
      <c r="AQ102" s="94">
        <v>63.957245183563224</v>
      </c>
      <c r="AR102" s="95" t="s">
        <v>166</v>
      </c>
    </row>
    <row r="103" spans="2:44" ht="15" customHeight="1">
      <c r="B103" s="112" t="s">
        <v>167</v>
      </c>
      <c r="C103" s="97"/>
      <c r="D103" s="90"/>
      <c r="E103" s="94">
        <v>0</v>
      </c>
      <c r="F103" s="94">
        <v>0</v>
      </c>
      <c r="G103" s="94">
        <v>0</v>
      </c>
      <c r="H103" s="94">
        <v>0</v>
      </c>
      <c r="I103" s="94">
        <v>0</v>
      </c>
      <c r="J103" s="94">
        <v>0</v>
      </c>
      <c r="K103" s="94">
        <v>0</v>
      </c>
      <c r="L103" s="94">
        <v>0</v>
      </c>
      <c r="M103" s="94">
        <v>0</v>
      </c>
      <c r="N103" s="94">
        <v>0</v>
      </c>
      <c r="O103" s="94">
        <v>0</v>
      </c>
      <c r="P103" s="94">
        <v>1.3633799997762388</v>
      </c>
      <c r="Q103" s="94">
        <v>2.6955674133126162</v>
      </c>
      <c r="R103" s="94">
        <v>3.8168934223567632</v>
      </c>
      <c r="S103" s="94">
        <v>4.9729580534882496</v>
      </c>
      <c r="T103" s="94">
        <v>6.163761306707892</v>
      </c>
      <c r="U103" s="94">
        <v>7.3893031820142623</v>
      </c>
      <c r="V103" s="94">
        <v>8.6495836794089911</v>
      </c>
      <c r="W103" s="94">
        <v>9.9446027988916743</v>
      </c>
      <c r="X103" s="94">
        <v>11.274360540461284</v>
      </c>
      <c r="Y103" s="94">
        <v>12.638856904118239</v>
      </c>
      <c r="Z103" s="94">
        <v>14.038091889863759</v>
      </c>
      <c r="AA103" s="94">
        <v>15.472065497697429</v>
      </c>
      <c r="AB103" s="94">
        <v>16.940777727617217</v>
      </c>
      <c r="AC103" s="94">
        <v>18.444228579625165</v>
      </c>
      <c r="AD103" s="94">
        <v>19.982418053721265</v>
      </c>
      <c r="AE103" s="94">
        <v>21.555346149905116</v>
      </c>
      <c r="AF103" s="94">
        <v>23.163012868176299</v>
      </c>
      <c r="AG103" s="94">
        <v>24.805418208534824</v>
      </c>
      <c r="AH103" s="94">
        <v>26.482562170981105</v>
      </c>
      <c r="AI103" s="94">
        <v>28.194444755515942</v>
      </c>
      <c r="AJ103" s="94">
        <v>29.941065962137312</v>
      </c>
      <c r="AK103" s="94">
        <v>31.722425790846827</v>
      </c>
      <c r="AL103" s="94">
        <v>33.538524241644495</v>
      </c>
      <c r="AM103" s="94">
        <v>33.538524241644495</v>
      </c>
      <c r="AN103" s="94">
        <v>33.538524241644495</v>
      </c>
      <c r="AO103" s="94">
        <v>33.538524241644495</v>
      </c>
      <c r="AP103" s="94">
        <v>33.538524241644495</v>
      </c>
      <c r="AQ103" s="94">
        <v>33.538524241644495</v>
      </c>
      <c r="AR103" s="95" t="s">
        <v>168</v>
      </c>
    </row>
    <row r="104" spans="2:44" ht="15" customHeight="1">
      <c r="B104" s="112" t="s">
        <v>169</v>
      </c>
      <c r="C104" s="97"/>
      <c r="D104" s="90"/>
      <c r="E104" s="94">
        <v>0</v>
      </c>
      <c r="F104" s="94">
        <v>0</v>
      </c>
      <c r="G104" s="94">
        <v>2.2832115388980325</v>
      </c>
      <c r="H104" s="94">
        <v>2.2889408996969767</v>
      </c>
      <c r="I104" s="94">
        <v>2.2946865155608926</v>
      </c>
      <c r="J104" s="94">
        <v>2.3004484388281226</v>
      </c>
      <c r="K104" s="94">
        <v>2.3062267220256496</v>
      </c>
      <c r="L104" s="94">
        <v>2.3120214178699552</v>
      </c>
      <c r="M104" s="94">
        <v>2.3178325792678374</v>
      </c>
      <c r="N104" s="94">
        <v>2.3236602593169988</v>
      </c>
      <c r="O104" s="94">
        <v>2.3295045113069328</v>
      </c>
      <c r="P104" s="94">
        <v>2.3353653887197585</v>
      </c>
      <c r="Q104" s="94">
        <v>2.3412429452306451</v>
      </c>
      <c r="R104" s="94">
        <v>2.3471372347089847</v>
      </c>
      <c r="S104" s="94">
        <v>2.3530483112189167</v>
      </c>
      <c r="T104" s="94">
        <v>2.3589762290201088</v>
      </c>
      <c r="U104" s="94">
        <v>2.3649210425686777</v>
      </c>
      <c r="V104" s="94">
        <v>2.3708828065176974</v>
      </c>
      <c r="W104" s="94">
        <v>2.3768615757182827</v>
      </c>
      <c r="X104" s="94">
        <v>2.3828574052203382</v>
      </c>
      <c r="Y104" s="94">
        <v>2.3888703502728776</v>
      </c>
      <c r="Z104" s="94">
        <v>2.3949004663256166</v>
      </c>
      <c r="AA104" s="94">
        <v>2.4009478090288212</v>
      </c>
      <c r="AB104" s="94">
        <v>2.4070124342352113</v>
      </c>
      <c r="AC104" s="94">
        <v>2.4130943979997079</v>
      </c>
      <c r="AD104" s="94">
        <v>2.419193756580746</v>
      </c>
      <c r="AE104" s="94">
        <v>2.4253105664411687</v>
      </c>
      <c r="AF104" s="94">
        <v>2.431444884248839</v>
      </c>
      <c r="AG104" s="94">
        <v>2.4375967668774448</v>
      </c>
      <c r="AH104" s="94">
        <v>2.4437662714075006</v>
      </c>
      <c r="AI104" s="94">
        <v>2.4499534551266842</v>
      </c>
      <c r="AJ104" s="94">
        <v>2.4499534551266842</v>
      </c>
      <c r="AK104" s="94">
        <v>2.4499534551266842</v>
      </c>
      <c r="AL104" s="94">
        <v>2.4499534551266842</v>
      </c>
      <c r="AM104" s="94">
        <v>2.4499534551266842</v>
      </c>
      <c r="AN104" s="94">
        <v>2.4499534551266842</v>
      </c>
      <c r="AO104" s="94">
        <v>2.4499534551266842</v>
      </c>
      <c r="AP104" s="94">
        <v>2.4499534551266842</v>
      </c>
      <c r="AQ104" s="94">
        <v>2.4499534551266842</v>
      </c>
      <c r="AR104" s="95" t="s">
        <v>170</v>
      </c>
    </row>
    <row r="105" spans="2:44" ht="15" customHeight="1">
      <c r="B105" s="97" t="s">
        <v>171</v>
      </c>
      <c r="C105" s="97"/>
      <c r="D105" s="90"/>
      <c r="E105" s="94">
        <v>0</v>
      </c>
      <c r="F105" s="94">
        <v>0</v>
      </c>
      <c r="G105" s="94">
        <v>3.4603393611306714</v>
      </c>
      <c r="H105" s="94">
        <v>3.4677214765155657</v>
      </c>
      <c r="I105" s="94">
        <v>3.4751200119787371</v>
      </c>
      <c r="J105" s="94">
        <v>3.4825350055150599</v>
      </c>
      <c r="K105" s="94">
        <v>3.4899664952103446</v>
      </c>
      <c r="L105" s="94">
        <v>3.4974145192418145</v>
      </c>
      <c r="M105" s="94">
        <v>3.5048791158782882</v>
      </c>
      <c r="N105" s="94">
        <v>3.5123603234804213</v>
      </c>
      <c r="O105" s="94">
        <v>3.5198581805006501</v>
      </c>
      <c r="P105" s="94">
        <v>3.5273727254842955</v>
      </c>
      <c r="Q105" s="94">
        <v>3.5349039970684046</v>
      </c>
      <c r="R105" s="94">
        <v>3.5424520339833632</v>
      </c>
      <c r="S105" s="94">
        <v>3.5500168750522225</v>
      </c>
      <c r="T105" s="94">
        <v>3.557598559191292</v>
      </c>
      <c r="U105" s="94">
        <v>3.5651971254103314</v>
      </c>
      <c r="V105" s="94">
        <v>3.5728126128126547</v>
      </c>
      <c r="W105" s="94">
        <v>3.5804450605955433</v>
      </c>
      <c r="X105" s="94">
        <v>3.5880945080505318</v>
      </c>
      <c r="Y105" s="94">
        <v>3.5957609945631379</v>
      </c>
      <c r="Z105" s="94">
        <v>3.6034445596138887</v>
      </c>
      <c r="AA105" s="94">
        <v>3.6111452427776185</v>
      </c>
      <c r="AB105" s="94">
        <v>3.6188630837248317</v>
      </c>
      <c r="AC105" s="94">
        <v>3.6265981222209738</v>
      </c>
      <c r="AD105" s="94">
        <v>3.6343503981267826</v>
      </c>
      <c r="AE105" s="94">
        <v>3.6421199513991875</v>
      </c>
      <c r="AF105" s="94">
        <v>3.6499068220910438</v>
      </c>
      <c r="AG105" s="94">
        <v>3.657711050351208</v>
      </c>
      <c r="AH105" s="94">
        <v>3.6655326764253391</v>
      </c>
      <c r="AI105" s="94">
        <v>3.6733717406551727</v>
      </c>
      <c r="AJ105" s="94">
        <v>3.6733717406551727</v>
      </c>
      <c r="AK105" s="94">
        <v>3.6733717406551727</v>
      </c>
      <c r="AL105" s="94">
        <v>3.6733717406551727</v>
      </c>
      <c r="AM105" s="94">
        <v>3.6733717406551727</v>
      </c>
      <c r="AN105" s="94">
        <v>3.6733717406551727</v>
      </c>
      <c r="AO105" s="94">
        <v>3.6733717406551727</v>
      </c>
      <c r="AP105" s="94">
        <v>3.6733717406551727</v>
      </c>
      <c r="AQ105" s="94">
        <v>3.6733717406551727</v>
      </c>
      <c r="AR105" s="95" t="s">
        <v>172</v>
      </c>
    </row>
    <row r="106" spans="2:44" ht="15" customHeight="1">
      <c r="B106" s="97"/>
      <c r="C106" s="97"/>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3"/>
    </row>
    <row r="107" spans="2:44" ht="15" customHeight="1">
      <c r="B107" s="96" t="s">
        <v>173</v>
      </c>
      <c r="C107" s="97"/>
      <c r="D107" s="57" t="s">
        <v>162</v>
      </c>
      <c r="E107" s="56">
        <v>45</v>
      </c>
      <c r="F107" s="56">
        <v>46</v>
      </c>
      <c r="G107" s="56">
        <v>47</v>
      </c>
      <c r="H107" s="56">
        <v>48</v>
      </c>
      <c r="I107" s="56">
        <v>49</v>
      </c>
      <c r="J107" s="56">
        <v>50</v>
      </c>
      <c r="K107" s="56">
        <v>51</v>
      </c>
      <c r="L107" s="56">
        <v>52</v>
      </c>
      <c r="M107" s="56">
        <v>53</v>
      </c>
      <c r="N107" s="56">
        <v>54</v>
      </c>
      <c r="O107" s="56">
        <v>55</v>
      </c>
      <c r="P107" s="56">
        <v>56</v>
      </c>
      <c r="Q107" s="56">
        <v>57</v>
      </c>
      <c r="R107" s="56">
        <v>58</v>
      </c>
      <c r="S107" s="56">
        <v>59</v>
      </c>
      <c r="T107" s="56">
        <v>60</v>
      </c>
      <c r="U107" s="56">
        <v>61</v>
      </c>
      <c r="V107" s="56">
        <v>62</v>
      </c>
      <c r="W107" s="56">
        <v>63</v>
      </c>
      <c r="X107" s="56">
        <v>64</v>
      </c>
      <c r="Y107" s="56">
        <v>65</v>
      </c>
      <c r="Z107" s="56">
        <v>66</v>
      </c>
      <c r="AA107" s="56">
        <v>67</v>
      </c>
      <c r="AB107" s="56">
        <v>68</v>
      </c>
      <c r="AC107" s="56">
        <v>69</v>
      </c>
      <c r="AD107" s="56">
        <v>70</v>
      </c>
      <c r="AE107" s="56">
        <v>71</v>
      </c>
      <c r="AF107" s="56">
        <v>72</v>
      </c>
      <c r="AG107" s="56">
        <v>73</v>
      </c>
      <c r="AH107" s="56">
        <v>74</v>
      </c>
      <c r="AI107" s="56">
        <v>75</v>
      </c>
      <c r="AJ107" s="56">
        <v>76</v>
      </c>
      <c r="AK107" s="56">
        <v>77</v>
      </c>
      <c r="AL107" s="56">
        <v>78</v>
      </c>
      <c r="AM107" s="56">
        <v>79</v>
      </c>
      <c r="AN107" s="56">
        <v>80</v>
      </c>
      <c r="AO107" s="56">
        <v>81</v>
      </c>
      <c r="AP107" s="56">
        <v>82</v>
      </c>
      <c r="AQ107" s="56">
        <v>83</v>
      </c>
      <c r="AR107" s="3"/>
    </row>
    <row r="108" spans="2:44" ht="15" customHeight="1">
      <c r="B108" s="96"/>
      <c r="C108" s="97"/>
      <c r="D108" s="57">
        <v>45</v>
      </c>
      <c r="E108" s="56">
        <v>46</v>
      </c>
      <c r="F108" s="57">
        <v>47</v>
      </c>
      <c r="G108" s="56">
        <v>48</v>
      </c>
      <c r="H108" s="57">
        <v>49</v>
      </c>
      <c r="I108" s="56">
        <v>50</v>
      </c>
      <c r="J108" s="57">
        <v>51</v>
      </c>
      <c r="K108" s="56">
        <v>52</v>
      </c>
      <c r="L108" s="57">
        <v>53</v>
      </c>
      <c r="M108" s="56">
        <v>54</v>
      </c>
      <c r="N108" s="57">
        <v>55</v>
      </c>
      <c r="O108" s="56">
        <v>56</v>
      </c>
      <c r="P108" s="57">
        <v>57</v>
      </c>
      <c r="Q108" s="56">
        <v>58</v>
      </c>
      <c r="R108" s="57">
        <v>59</v>
      </c>
      <c r="S108" s="56">
        <v>60</v>
      </c>
      <c r="T108" s="57">
        <v>61</v>
      </c>
      <c r="U108" s="56">
        <v>62</v>
      </c>
      <c r="V108" s="57">
        <v>63</v>
      </c>
      <c r="W108" s="56">
        <v>64</v>
      </c>
      <c r="X108" s="57">
        <v>65</v>
      </c>
      <c r="Y108" s="56">
        <v>66</v>
      </c>
      <c r="Z108" s="57">
        <v>67</v>
      </c>
      <c r="AA108" s="56">
        <v>68</v>
      </c>
      <c r="AB108" s="57">
        <v>69</v>
      </c>
      <c r="AC108" s="56">
        <v>70</v>
      </c>
      <c r="AD108" s="57">
        <v>71</v>
      </c>
      <c r="AE108" s="56">
        <v>72</v>
      </c>
      <c r="AF108" s="57">
        <v>73</v>
      </c>
      <c r="AG108" s="56">
        <v>74</v>
      </c>
      <c r="AH108" s="57">
        <v>75</v>
      </c>
      <c r="AI108" s="56">
        <v>76</v>
      </c>
      <c r="AJ108" s="57">
        <v>77</v>
      </c>
      <c r="AK108" s="56">
        <v>78</v>
      </c>
      <c r="AL108" s="57">
        <v>79</v>
      </c>
      <c r="AM108" s="56">
        <v>80</v>
      </c>
      <c r="AN108" s="57">
        <v>81</v>
      </c>
      <c r="AO108" s="56">
        <v>82</v>
      </c>
      <c r="AP108" s="57">
        <v>83</v>
      </c>
      <c r="AQ108" s="56">
        <v>84</v>
      </c>
      <c r="AR108" s="3"/>
    </row>
    <row r="109" spans="2:44" ht="15" customHeight="1">
      <c r="B109" s="112" t="s">
        <v>163</v>
      </c>
      <c r="C109" s="97"/>
      <c r="D109" s="90"/>
      <c r="E109" s="90">
        <v>25.60567996343045</v>
      </c>
      <c r="F109" s="90">
        <v>28.123382631707337</v>
      </c>
      <c r="G109" s="90">
        <v>30.641085299982414</v>
      </c>
      <c r="H109" s="90">
        <v>33.158787968259603</v>
      </c>
      <c r="I109" s="90">
        <v>35.676490636535561</v>
      </c>
      <c r="J109" s="90">
        <v>38.194193304811854</v>
      </c>
      <c r="K109" s="90">
        <v>40.71189597308814</v>
      </c>
      <c r="L109" s="90">
        <v>43.229598641362912</v>
      </c>
      <c r="M109" s="90">
        <v>45.747301309640697</v>
      </c>
      <c r="N109" s="90">
        <v>48.265003977916678</v>
      </c>
      <c r="O109" s="90">
        <v>50.782706646192658</v>
      </c>
      <c r="P109" s="90">
        <v>53.300409314469235</v>
      </c>
      <c r="Q109" s="90">
        <v>55.818111982744014</v>
      </c>
      <c r="R109" s="90">
        <v>58.335814651021195</v>
      </c>
      <c r="S109" s="90">
        <v>60.853517319297779</v>
      </c>
      <c r="T109" s="90">
        <v>63.371219987573753</v>
      </c>
      <c r="U109" s="90">
        <v>65.888922655848532</v>
      </c>
      <c r="V109" s="90">
        <v>68.40662532412631</v>
      </c>
      <c r="W109" s="90">
        <v>70.924327992402283</v>
      </c>
      <c r="X109" s="90">
        <v>73.442030660678256</v>
      </c>
      <c r="Y109" s="90">
        <v>75.959733328954854</v>
      </c>
      <c r="Z109" s="90">
        <v>75.959733328954854</v>
      </c>
      <c r="AA109" s="90">
        <v>75.959733328954854</v>
      </c>
      <c r="AB109" s="90">
        <v>75.959733328954854</v>
      </c>
      <c r="AC109" s="90">
        <v>75.959733328954854</v>
      </c>
      <c r="AD109" s="90">
        <v>75.959733328954854</v>
      </c>
      <c r="AE109" s="90">
        <v>75.959733328954854</v>
      </c>
      <c r="AF109" s="90">
        <v>75.959733328954854</v>
      </c>
      <c r="AG109" s="90">
        <v>75.959733328954854</v>
      </c>
      <c r="AH109" s="90">
        <v>75.959733328954854</v>
      </c>
      <c r="AI109" s="90">
        <v>75.959733328954854</v>
      </c>
      <c r="AJ109" s="90">
        <v>75.959733328954854</v>
      </c>
      <c r="AK109" s="90">
        <v>75.959733328954854</v>
      </c>
      <c r="AL109" s="90">
        <v>75.959733328954854</v>
      </c>
      <c r="AM109" s="90">
        <v>75.959733328954854</v>
      </c>
      <c r="AN109" s="90">
        <v>75.959733328954854</v>
      </c>
      <c r="AO109" s="90">
        <v>75.959733328954854</v>
      </c>
      <c r="AP109" s="90">
        <v>75.959733328954854</v>
      </c>
      <c r="AQ109" s="90">
        <v>75.959733328954854</v>
      </c>
      <c r="AR109" s="3" t="s">
        <v>174</v>
      </c>
    </row>
    <row r="110" spans="2:44" ht="15" customHeight="1">
      <c r="B110" s="97"/>
      <c r="C110" s="97"/>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3"/>
    </row>
    <row r="111" spans="2:44" s="5" customFormat="1" ht="15.6">
      <c r="B111" s="5" t="s">
        <v>175</v>
      </c>
    </row>
    <row r="112" spans="2:44" ht="15" customHeight="1">
      <c r="B112" s="97"/>
      <c r="C112" s="111"/>
      <c r="D112" s="66"/>
      <c r="E112" s="66"/>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97"/>
    </row>
    <row r="113" spans="2:44" ht="15" customHeight="1">
      <c r="B113" s="96" t="s">
        <v>161</v>
      </c>
      <c r="C113" s="97"/>
      <c r="D113" s="57" t="s">
        <v>162</v>
      </c>
      <c r="E113" s="56">
        <v>45</v>
      </c>
      <c r="F113" s="56">
        <v>46</v>
      </c>
      <c r="G113" s="56">
        <v>47</v>
      </c>
      <c r="H113" s="56">
        <v>48</v>
      </c>
      <c r="I113" s="56">
        <v>49</v>
      </c>
      <c r="J113" s="56">
        <v>50</v>
      </c>
      <c r="K113" s="56">
        <v>51</v>
      </c>
      <c r="L113" s="56">
        <v>52</v>
      </c>
      <c r="M113" s="56">
        <v>53</v>
      </c>
      <c r="N113" s="56">
        <v>54</v>
      </c>
      <c r="O113" s="56">
        <v>55</v>
      </c>
      <c r="P113" s="56">
        <v>56</v>
      </c>
      <c r="Q113" s="56">
        <v>57</v>
      </c>
      <c r="R113" s="56">
        <v>58</v>
      </c>
      <c r="S113" s="56">
        <v>59</v>
      </c>
      <c r="T113" s="56">
        <v>60</v>
      </c>
      <c r="U113" s="56">
        <v>61</v>
      </c>
      <c r="V113" s="56">
        <v>62</v>
      </c>
      <c r="W113" s="56">
        <v>63</v>
      </c>
      <c r="X113" s="56">
        <v>64</v>
      </c>
      <c r="Y113" s="56">
        <v>65</v>
      </c>
      <c r="Z113" s="56">
        <v>66</v>
      </c>
      <c r="AA113" s="56">
        <v>67</v>
      </c>
      <c r="AB113" s="56">
        <v>68</v>
      </c>
      <c r="AC113" s="56">
        <v>69</v>
      </c>
      <c r="AD113" s="56">
        <v>70</v>
      </c>
      <c r="AE113" s="56">
        <v>71</v>
      </c>
      <c r="AF113" s="56">
        <v>72</v>
      </c>
      <c r="AG113" s="56">
        <v>73</v>
      </c>
      <c r="AH113" s="56">
        <v>74</v>
      </c>
      <c r="AI113" s="56">
        <v>75</v>
      </c>
      <c r="AJ113" s="56">
        <v>76</v>
      </c>
      <c r="AK113" s="56">
        <v>77</v>
      </c>
      <c r="AL113" s="56">
        <v>78</v>
      </c>
      <c r="AM113" s="56">
        <v>79</v>
      </c>
      <c r="AN113" s="56">
        <v>80</v>
      </c>
      <c r="AO113" s="56">
        <v>81</v>
      </c>
      <c r="AP113" s="56">
        <v>82</v>
      </c>
      <c r="AQ113" s="56">
        <v>83</v>
      </c>
      <c r="AR113" s="97"/>
    </row>
    <row r="114" spans="2:44" ht="15" customHeight="1">
      <c r="B114" s="96"/>
      <c r="C114" s="97"/>
      <c r="D114" s="57">
        <v>45</v>
      </c>
      <c r="E114" s="56">
        <v>46</v>
      </c>
      <c r="F114" s="57">
        <v>47</v>
      </c>
      <c r="G114" s="56">
        <v>48</v>
      </c>
      <c r="H114" s="57">
        <v>49</v>
      </c>
      <c r="I114" s="56">
        <v>50</v>
      </c>
      <c r="J114" s="57">
        <v>51</v>
      </c>
      <c r="K114" s="56">
        <v>52</v>
      </c>
      <c r="L114" s="57">
        <v>53</v>
      </c>
      <c r="M114" s="56">
        <v>54</v>
      </c>
      <c r="N114" s="57">
        <v>55</v>
      </c>
      <c r="O114" s="56">
        <v>56</v>
      </c>
      <c r="P114" s="57">
        <v>57</v>
      </c>
      <c r="Q114" s="56">
        <v>58</v>
      </c>
      <c r="R114" s="57">
        <v>59</v>
      </c>
      <c r="S114" s="56">
        <v>60</v>
      </c>
      <c r="T114" s="57">
        <v>61</v>
      </c>
      <c r="U114" s="56">
        <v>62</v>
      </c>
      <c r="V114" s="57">
        <v>63</v>
      </c>
      <c r="W114" s="56">
        <v>64</v>
      </c>
      <c r="X114" s="57">
        <v>65</v>
      </c>
      <c r="Y114" s="56">
        <v>66</v>
      </c>
      <c r="Z114" s="57">
        <v>67</v>
      </c>
      <c r="AA114" s="56">
        <v>68</v>
      </c>
      <c r="AB114" s="57">
        <v>69</v>
      </c>
      <c r="AC114" s="56">
        <v>70</v>
      </c>
      <c r="AD114" s="57">
        <v>71</v>
      </c>
      <c r="AE114" s="56">
        <v>72</v>
      </c>
      <c r="AF114" s="57">
        <v>73</v>
      </c>
      <c r="AG114" s="56">
        <v>74</v>
      </c>
      <c r="AH114" s="57">
        <v>75</v>
      </c>
      <c r="AI114" s="56">
        <v>76</v>
      </c>
      <c r="AJ114" s="57">
        <v>77</v>
      </c>
      <c r="AK114" s="56">
        <v>78</v>
      </c>
      <c r="AL114" s="57">
        <v>79</v>
      </c>
      <c r="AM114" s="56">
        <v>80</v>
      </c>
      <c r="AN114" s="57">
        <v>81</v>
      </c>
      <c r="AO114" s="56">
        <v>82</v>
      </c>
      <c r="AP114" s="57">
        <v>83</v>
      </c>
      <c r="AQ114" s="56">
        <v>84</v>
      </c>
      <c r="AR114" s="97"/>
    </row>
    <row r="115" spans="2:44" ht="15" customHeight="1">
      <c r="B115" s="112" t="s">
        <v>165</v>
      </c>
      <c r="C115" s="97"/>
      <c r="D115" s="90"/>
      <c r="E115" s="90">
        <v>3.4206894857745564</v>
      </c>
      <c r="F115" s="90">
        <v>3.4611489337681185</v>
      </c>
      <c r="G115" s="90">
        <v>3.6067361434362768</v>
      </c>
      <c r="H115" s="90">
        <v>3.8574511147790171</v>
      </c>
      <c r="I115" s="90">
        <v>4.2132938477963453</v>
      </c>
      <c r="J115" s="90">
        <v>4.6742643424882688</v>
      </c>
      <c r="K115" s="90">
        <v>5.2403625988547775</v>
      </c>
      <c r="L115" s="90">
        <v>5.9115886168958856</v>
      </c>
      <c r="M115" s="90">
        <v>6.687942396611577</v>
      </c>
      <c r="N115" s="90">
        <v>7.5694239380018438</v>
      </c>
      <c r="O115" s="90">
        <v>8.5560332410667232</v>
      </c>
      <c r="P115" s="90">
        <v>9.6477703058061781</v>
      </c>
      <c r="Q115" s="90">
        <v>10.844635132220219</v>
      </c>
      <c r="R115" s="90">
        <v>12.146627720308873</v>
      </c>
      <c r="S115" s="90">
        <v>13.55374807007208</v>
      </c>
      <c r="T115" s="90">
        <v>15.065996181509881</v>
      </c>
      <c r="U115" s="90">
        <v>16.683372054622332</v>
      </c>
      <c r="V115" s="90">
        <v>18.405875689409303</v>
      </c>
      <c r="W115" s="90">
        <v>20.233507085870901</v>
      </c>
      <c r="X115" s="90">
        <v>22.166266244007041</v>
      </c>
      <c r="Y115" s="90">
        <v>24.204153163817868</v>
      </c>
      <c r="Z115" s="90">
        <v>26.347167845303151</v>
      </c>
      <c r="AA115" s="90">
        <v>28.595310288463143</v>
      </c>
      <c r="AB115" s="90">
        <v>30.948580493297598</v>
      </c>
      <c r="AC115" s="90">
        <v>33.406978459806808</v>
      </c>
      <c r="AD115" s="90">
        <v>35.970504187990521</v>
      </c>
      <c r="AE115" s="90">
        <v>38.63915767784885</v>
      </c>
      <c r="AF115" s="90">
        <v>41.412938929381646</v>
      </c>
      <c r="AG115" s="90">
        <v>44.291847942589094</v>
      </c>
      <c r="AH115" s="90">
        <v>47.275884717471143</v>
      </c>
      <c r="AI115" s="90">
        <v>50.365049254028115</v>
      </c>
      <c r="AJ115" s="90">
        <v>50.365049254028115</v>
      </c>
      <c r="AK115" s="90">
        <v>50.365049254028115</v>
      </c>
      <c r="AL115" s="90">
        <v>50.365049254028115</v>
      </c>
      <c r="AM115" s="90">
        <v>50.365049254028115</v>
      </c>
      <c r="AN115" s="90">
        <v>50.365049254028115</v>
      </c>
      <c r="AO115" s="90">
        <v>50.365049254028115</v>
      </c>
      <c r="AP115" s="90">
        <v>50.365049254028115</v>
      </c>
      <c r="AQ115" s="90">
        <v>50.365049254028115</v>
      </c>
      <c r="AR115" s="3" t="s">
        <v>176</v>
      </c>
    </row>
    <row r="116" spans="2:44" ht="15" customHeight="1">
      <c r="B116" s="112" t="s">
        <v>167</v>
      </c>
      <c r="C116" s="97"/>
      <c r="D116" s="90"/>
      <c r="E116" s="90">
        <v>0</v>
      </c>
      <c r="F116" s="90">
        <v>0</v>
      </c>
      <c r="G116" s="90">
        <v>0</v>
      </c>
      <c r="H116" s="90">
        <v>0</v>
      </c>
      <c r="I116" s="90">
        <v>0</v>
      </c>
      <c r="J116" s="90">
        <v>0</v>
      </c>
      <c r="K116" s="90">
        <v>0</v>
      </c>
      <c r="L116" s="90">
        <v>0</v>
      </c>
      <c r="M116" s="90">
        <v>0</v>
      </c>
      <c r="N116" s="90">
        <v>0</v>
      </c>
      <c r="O116" s="90">
        <v>0</v>
      </c>
      <c r="P116" s="90">
        <v>0</v>
      </c>
      <c r="Q116" s="90">
        <v>0</v>
      </c>
      <c r="R116" s="90">
        <v>1.3633799997762388</v>
      </c>
      <c r="S116" s="90">
        <v>2.6955674133126162</v>
      </c>
      <c r="T116" s="90">
        <v>3.8168934223567632</v>
      </c>
      <c r="U116" s="90">
        <v>4.9729580534882496</v>
      </c>
      <c r="V116" s="90">
        <v>6.163761306707892</v>
      </c>
      <c r="W116" s="90">
        <v>7.3893031820142623</v>
      </c>
      <c r="X116" s="90">
        <v>8.6495836794089911</v>
      </c>
      <c r="Y116" s="90">
        <v>9.9446027988916743</v>
      </c>
      <c r="Z116" s="90">
        <v>11.274360540461284</v>
      </c>
      <c r="AA116" s="90">
        <v>12.638856904118239</v>
      </c>
      <c r="AB116" s="90">
        <v>14.038091889863759</v>
      </c>
      <c r="AC116" s="90">
        <v>15.472065497697429</v>
      </c>
      <c r="AD116" s="90">
        <v>16.940777727617217</v>
      </c>
      <c r="AE116" s="90">
        <v>18.444228579625165</v>
      </c>
      <c r="AF116" s="90">
        <v>19.982418053721265</v>
      </c>
      <c r="AG116" s="90">
        <v>21.555346149905116</v>
      </c>
      <c r="AH116" s="90">
        <v>23.163012868176299</v>
      </c>
      <c r="AI116" s="90">
        <v>24.805418208534824</v>
      </c>
      <c r="AJ116" s="90">
        <v>26.482562170981105</v>
      </c>
      <c r="AK116" s="90">
        <v>28.194444755515942</v>
      </c>
      <c r="AL116" s="90">
        <v>29.941065962137312</v>
      </c>
      <c r="AM116" s="90">
        <v>31.722425790846827</v>
      </c>
      <c r="AN116" s="90">
        <v>33.538524241644495</v>
      </c>
      <c r="AO116" s="90">
        <v>33.538524241644495</v>
      </c>
      <c r="AP116" s="90">
        <v>33.538524241644495</v>
      </c>
      <c r="AQ116" s="90">
        <v>33.538524241644495</v>
      </c>
      <c r="AR116" s="3" t="s">
        <v>177</v>
      </c>
    </row>
    <row r="117" spans="2:44" ht="15" customHeight="1">
      <c r="B117" s="112" t="s">
        <v>169</v>
      </c>
      <c r="C117" s="97"/>
      <c r="D117" s="90"/>
      <c r="E117" s="90">
        <v>0</v>
      </c>
      <c r="F117" s="90">
        <v>0</v>
      </c>
      <c r="G117" s="90">
        <v>0</v>
      </c>
      <c r="H117" s="90">
        <v>0</v>
      </c>
      <c r="I117" s="90">
        <v>0</v>
      </c>
      <c r="J117" s="90">
        <v>2.4874371442961722</v>
      </c>
      <c r="K117" s="90">
        <v>2.4942246074653522</v>
      </c>
      <c r="L117" s="90">
        <v>2.5010330127931595</v>
      </c>
      <c r="M117" s="90">
        <v>2.5078624336124733</v>
      </c>
      <c r="N117" s="90">
        <v>2.5147129435440179</v>
      </c>
      <c r="O117" s="90">
        <v>2.5215846164972135</v>
      </c>
      <c r="P117" s="90">
        <v>2.5284775266718009</v>
      </c>
      <c r="Q117" s="90">
        <v>2.5353917485583022</v>
      </c>
      <c r="R117" s="90">
        <v>2.5423273569406999</v>
      </c>
      <c r="S117" s="90">
        <v>2.5492844268960519</v>
      </c>
      <c r="T117" s="90">
        <v>2.556263033797026</v>
      </c>
      <c r="U117" s="90">
        <v>2.563263253312273</v>
      </c>
      <c r="V117" s="90">
        <v>2.5702851614084961</v>
      </c>
      <c r="W117" s="90">
        <v>2.5773288343509675</v>
      </c>
      <c r="X117" s="90">
        <v>2.5843943487055041</v>
      </c>
      <c r="Y117" s="90">
        <v>2.5914817813392208</v>
      </c>
      <c r="Z117" s="90">
        <v>2.5985912094220822</v>
      </c>
      <c r="AA117" s="90">
        <v>2.6057227104280996</v>
      </c>
      <c r="AB117" s="90">
        <v>2.6128763621370568</v>
      </c>
      <c r="AC117" s="90">
        <v>2.6200522426349124</v>
      </c>
      <c r="AD117" s="90">
        <v>2.6272504303160926</v>
      </c>
      <c r="AE117" s="90">
        <v>2.6344710038843218</v>
      </c>
      <c r="AF117" s="90">
        <v>2.6417140423539065</v>
      </c>
      <c r="AG117" s="90">
        <v>2.6489796250514539</v>
      </c>
      <c r="AH117" s="90">
        <v>2.6562678316166548</v>
      </c>
      <c r="AI117" s="90">
        <v>2.6635787420043582</v>
      </c>
      <c r="AJ117" s="90">
        <v>2.6635787420043582</v>
      </c>
      <c r="AK117" s="90">
        <v>2.6635787420043582</v>
      </c>
      <c r="AL117" s="90">
        <v>2.6635787420043582</v>
      </c>
      <c r="AM117" s="90">
        <v>2.6635787420043582</v>
      </c>
      <c r="AN117" s="90">
        <v>2.6635787420043582</v>
      </c>
      <c r="AO117" s="90">
        <v>2.6635787420043582</v>
      </c>
      <c r="AP117" s="90">
        <v>2.6635787420043582</v>
      </c>
      <c r="AQ117" s="90">
        <v>2.6635787420043582</v>
      </c>
      <c r="AR117" s="3" t="s">
        <v>178</v>
      </c>
    </row>
    <row r="118" spans="2:44" ht="15" customHeight="1">
      <c r="B118" s="112" t="s">
        <v>171</v>
      </c>
      <c r="C118" s="97"/>
      <c r="D118" s="90"/>
      <c r="E118" s="90">
        <v>0</v>
      </c>
      <c r="F118" s="90">
        <v>0</v>
      </c>
      <c r="G118" s="90">
        <v>0</v>
      </c>
      <c r="H118" s="90">
        <v>0</v>
      </c>
      <c r="I118" s="90">
        <v>0</v>
      </c>
      <c r="J118" s="90">
        <v>3.7685641590021577</v>
      </c>
      <c r="K118" s="90">
        <v>3.7773044961144473</v>
      </c>
      <c r="L118" s="90">
        <v>3.7860659688744884</v>
      </c>
      <c r="M118" s="90">
        <v>3.7948486304509577</v>
      </c>
      <c r="N118" s="90">
        <v>3.8036525341515812</v>
      </c>
      <c r="O118" s="90">
        <v>3.8124777334228104</v>
      </c>
      <c r="P118" s="90">
        <v>3.8213242818508832</v>
      </c>
      <c r="Q118" s="90">
        <v>3.8301922331609441</v>
      </c>
      <c r="R118" s="90">
        <v>3.839081641219571</v>
      </c>
      <c r="S118" s="90">
        <v>3.8479925600327829</v>
      </c>
      <c r="T118" s="90">
        <v>3.8569250437481521</v>
      </c>
      <c r="U118" s="90">
        <v>3.865879146653985</v>
      </c>
      <c r="V118" s="90">
        <v>3.8748549231809233</v>
      </c>
      <c r="W118" s="90">
        <v>3.8838524279009654</v>
      </c>
      <c r="X118" s="90">
        <v>3.8928717155291883</v>
      </c>
      <c r="Y118" s="90">
        <v>3.9019128409229777</v>
      </c>
      <c r="Z118" s="90">
        <v>3.9109758590832464</v>
      </c>
      <c r="AA118" s="90">
        <v>3.9200608251540152</v>
      </c>
      <c r="AB118" s="90">
        <v>3.9291677944243126</v>
      </c>
      <c r="AC118" s="90">
        <v>3.9382968223261541</v>
      </c>
      <c r="AD118" s="90">
        <v>3.9474479644372638</v>
      </c>
      <c r="AE118" s="90">
        <v>3.9566212764803343</v>
      </c>
      <c r="AF118" s="90">
        <v>3.9658168143232344</v>
      </c>
      <c r="AG118" s="90">
        <v>3.9750346339803033</v>
      </c>
      <c r="AH118" s="90">
        <v>3.9842747916115631</v>
      </c>
      <c r="AI118" s="90">
        <v>3.9935373435243915</v>
      </c>
      <c r="AJ118" s="90">
        <v>3.9935373435243915</v>
      </c>
      <c r="AK118" s="90">
        <v>3.9935373435243915</v>
      </c>
      <c r="AL118" s="90">
        <v>3.9935373435243915</v>
      </c>
      <c r="AM118" s="90">
        <v>3.9935373435243915</v>
      </c>
      <c r="AN118" s="90">
        <v>3.9935373435243915</v>
      </c>
      <c r="AO118" s="90">
        <v>3.9935373435243915</v>
      </c>
      <c r="AP118" s="90">
        <v>3.9935373435243915</v>
      </c>
      <c r="AQ118" s="90">
        <v>3.9935373435243915</v>
      </c>
      <c r="AR118" s="3" t="s">
        <v>179</v>
      </c>
    </row>
    <row r="119" spans="2:44" ht="15" customHeight="1">
      <c r="B119" s="112"/>
      <c r="C119" s="97"/>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3"/>
    </row>
    <row r="120" spans="2:44" ht="15" customHeight="1">
      <c r="B120" s="96" t="s">
        <v>173</v>
      </c>
      <c r="C120" s="97"/>
      <c r="D120" s="57" t="s">
        <v>162</v>
      </c>
      <c r="E120" s="56">
        <v>45</v>
      </c>
      <c r="F120" s="56">
        <v>46</v>
      </c>
      <c r="G120" s="56">
        <v>47</v>
      </c>
      <c r="H120" s="56">
        <v>48</v>
      </c>
      <c r="I120" s="56">
        <v>49</v>
      </c>
      <c r="J120" s="56">
        <v>50</v>
      </c>
      <c r="K120" s="56">
        <v>51</v>
      </c>
      <c r="L120" s="56">
        <v>52</v>
      </c>
      <c r="M120" s="56">
        <v>53</v>
      </c>
      <c r="N120" s="56">
        <v>54</v>
      </c>
      <c r="O120" s="56">
        <v>55</v>
      </c>
      <c r="P120" s="56">
        <v>56</v>
      </c>
      <c r="Q120" s="56">
        <v>57</v>
      </c>
      <c r="R120" s="56">
        <v>58</v>
      </c>
      <c r="S120" s="56">
        <v>59</v>
      </c>
      <c r="T120" s="56">
        <v>60</v>
      </c>
      <c r="U120" s="56">
        <v>61</v>
      </c>
      <c r="V120" s="56">
        <v>62</v>
      </c>
      <c r="W120" s="56">
        <v>63</v>
      </c>
      <c r="X120" s="56">
        <v>64</v>
      </c>
      <c r="Y120" s="56">
        <v>65</v>
      </c>
      <c r="Z120" s="56">
        <v>66</v>
      </c>
      <c r="AA120" s="56">
        <v>67</v>
      </c>
      <c r="AB120" s="56">
        <v>68</v>
      </c>
      <c r="AC120" s="56">
        <v>69</v>
      </c>
      <c r="AD120" s="56">
        <v>70</v>
      </c>
      <c r="AE120" s="56">
        <v>71</v>
      </c>
      <c r="AF120" s="56">
        <v>72</v>
      </c>
      <c r="AG120" s="56">
        <v>73</v>
      </c>
      <c r="AH120" s="56">
        <v>74</v>
      </c>
      <c r="AI120" s="56">
        <v>75</v>
      </c>
      <c r="AJ120" s="56">
        <v>76</v>
      </c>
      <c r="AK120" s="56">
        <v>77</v>
      </c>
      <c r="AL120" s="56">
        <v>78</v>
      </c>
      <c r="AM120" s="56">
        <v>79</v>
      </c>
      <c r="AN120" s="56">
        <v>80</v>
      </c>
      <c r="AO120" s="56">
        <v>81</v>
      </c>
      <c r="AP120" s="56">
        <v>82</v>
      </c>
      <c r="AQ120" s="56">
        <v>83</v>
      </c>
      <c r="AR120" s="3"/>
    </row>
    <row r="121" spans="2:44" ht="15" customHeight="1">
      <c r="B121" s="96"/>
      <c r="C121" s="97"/>
      <c r="D121" s="57">
        <v>45</v>
      </c>
      <c r="E121" s="56">
        <v>46</v>
      </c>
      <c r="F121" s="57">
        <v>47</v>
      </c>
      <c r="G121" s="56">
        <v>48</v>
      </c>
      <c r="H121" s="57">
        <v>49</v>
      </c>
      <c r="I121" s="56">
        <v>50</v>
      </c>
      <c r="J121" s="57">
        <v>51</v>
      </c>
      <c r="K121" s="56">
        <v>52</v>
      </c>
      <c r="L121" s="57">
        <v>53</v>
      </c>
      <c r="M121" s="56">
        <v>54</v>
      </c>
      <c r="N121" s="57">
        <v>55</v>
      </c>
      <c r="O121" s="56">
        <v>56</v>
      </c>
      <c r="P121" s="57">
        <v>57</v>
      </c>
      <c r="Q121" s="56">
        <v>58</v>
      </c>
      <c r="R121" s="57">
        <v>59</v>
      </c>
      <c r="S121" s="56">
        <v>60</v>
      </c>
      <c r="T121" s="57">
        <v>61</v>
      </c>
      <c r="U121" s="56">
        <v>62</v>
      </c>
      <c r="V121" s="57">
        <v>63</v>
      </c>
      <c r="W121" s="56">
        <v>64</v>
      </c>
      <c r="X121" s="57">
        <v>65</v>
      </c>
      <c r="Y121" s="56">
        <v>66</v>
      </c>
      <c r="Z121" s="57">
        <v>67</v>
      </c>
      <c r="AA121" s="56">
        <v>68</v>
      </c>
      <c r="AB121" s="57">
        <v>69</v>
      </c>
      <c r="AC121" s="56">
        <v>70</v>
      </c>
      <c r="AD121" s="57">
        <v>71</v>
      </c>
      <c r="AE121" s="56">
        <v>72</v>
      </c>
      <c r="AF121" s="57">
        <v>73</v>
      </c>
      <c r="AG121" s="56">
        <v>74</v>
      </c>
      <c r="AH121" s="57">
        <v>75</v>
      </c>
      <c r="AI121" s="56">
        <v>76</v>
      </c>
      <c r="AJ121" s="57">
        <v>77</v>
      </c>
      <c r="AK121" s="56">
        <v>78</v>
      </c>
      <c r="AL121" s="57">
        <v>79</v>
      </c>
      <c r="AM121" s="56">
        <v>80</v>
      </c>
      <c r="AN121" s="57">
        <v>81</v>
      </c>
      <c r="AO121" s="56">
        <v>82</v>
      </c>
      <c r="AP121" s="57">
        <v>83</v>
      </c>
      <c r="AQ121" s="56">
        <v>84</v>
      </c>
      <c r="AR121" s="3"/>
    </row>
    <row r="122" spans="2:44" ht="15" customHeight="1">
      <c r="B122" s="112" t="s">
        <v>163</v>
      </c>
      <c r="C122" s="97"/>
      <c r="D122" s="90"/>
      <c r="E122" s="90">
        <v>11.918424912509415</v>
      </c>
      <c r="F122" s="90">
        <v>13.204384754515814</v>
      </c>
      <c r="G122" s="90">
        <v>14.490344596522368</v>
      </c>
      <c r="H122" s="90">
        <v>15.776304438528616</v>
      </c>
      <c r="I122" s="90">
        <v>17.062264280535171</v>
      </c>
      <c r="J122" s="90">
        <v>18.348224122542021</v>
      </c>
      <c r="K122" s="90">
        <v>19.634183964547969</v>
      </c>
      <c r="L122" s="90">
        <v>20.920143806554826</v>
      </c>
      <c r="M122" s="90">
        <v>22.206103648561072</v>
      </c>
      <c r="N122" s="90">
        <v>23.492063490567325</v>
      </c>
      <c r="O122" s="90">
        <v>24.778023332574179</v>
      </c>
      <c r="P122" s="90">
        <v>26.063983174580727</v>
      </c>
      <c r="Q122" s="90">
        <v>27.34994301658698</v>
      </c>
      <c r="R122" s="90">
        <v>28.635902858593532</v>
      </c>
      <c r="S122" s="90">
        <v>29.921862700600382</v>
      </c>
      <c r="T122" s="90">
        <v>31.207822542606031</v>
      </c>
      <c r="U122" s="90">
        <v>32.493782384613183</v>
      </c>
      <c r="V122" s="90">
        <v>33.779742226619128</v>
      </c>
      <c r="W122" s="90">
        <v>35.06570206862628</v>
      </c>
      <c r="X122" s="90">
        <v>36.351661910632849</v>
      </c>
      <c r="Y122" s="90">
        <v>37.637621752638488</v>
      </c>
      <c r="Z122" s="90">
        <v>37.637621752638488</v>
      </c>
      <c r="AA122" s="90">
        <v>37.637621752638488</v>
      </c>
      <c r="AB122" s="90">
        <v>37.637621752638488</v>
      </c>
      <c r="AC122" s="90">
        <v>37.637621752638488</v>
      </c>
      <c r="AD122" s="90">
        <v>37.637621752638488</v>
      </c>
      <c r="AE122" s="90">
        <v>37.637621752638488</v>
      </c>
      <c r="AF122" s="90">
        <v>37.637621752638488</v>
      </c>
      <c r="AG122" s="90">
        <v>37.637621752638488</v>
      </c>
      <c r="AH122" s="90">
        <v>37.637621752638488</v>
      </c>
      <c r="AI122" s="90">
        <v>37.637621752638488</v>
      </c>
      <c r="AJ122" s="90">
        <v>37.637621752638488</v>
      </c>
      <c r="AK122" s="90">
        <v>37.637621752638488</v>
      </c>
      <c r="AL122" s="90">
        <v>37.637621752638488</v>
      </c>
      <c r="AM122" s="90">
        <v>37.637621752638488</v>
      </c>
      <c r="AN122" s="90">
        <v>37.637621752638488</v>
      </c>
      <c r="AO122" s="90">
        <v>37.637621752638488</v>
      </c>
      <c r="AP122" s="90">
        <v>37.637621752638488</v>
      </c>
      <c r="AQ122" s="90">
        <v>37.637621752638488</v>
      </c>
      <c r="AR122" s="3" t="s">
        <v>180</v>
      </c>
    </row>
    <row r="123" spans="2:44" ht="15" customHeight="1">
      <c r="B123" s="97"/>
      <c r="C123" s="97"/>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3"/>
    </row>
    <row r="124" spans="2:44" s="5" customFormat="1" ht="15.6">
      <c r="B124" s="5" t="s">
        <v>181</v>
      </c>
    </row>
    <row r="125" spans="2:44" ht="15" customHeight="1">
      <c r="B125" s="97"/>
      <c r="C125" s="111"/>
      <c r="D125" s="66"/>
      <c r="E125" s="66"/>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97"/>
    </row>
    <row r="126" spans="2:44" ht="15" customHeight="1">
      <c r="B126" s="96" t="s">
        <v>161</v>
      </c>
      <c r="C126" s="97"/>
      <c r="D126" s="57" t="s">
        <v>162</v>
      </c>
      <c r="E126" s="56">
        <v>45</v>
      </c>
      <c r="F126" s="56">
        <v>46</v>
      </c>
      <c r="G126" s="56">
        <v>47</v>
      </c>
      <c r="H126" s="56">
        <v>48</v>
      </c>
      <c r="I126" s="56">
        <v>49</v>
      </c>
      <c r="J126" s="56">
        <v>50</v>
      </c>
      <c r="K126" s="56">
        <v>51</v>
      </c>
      <c r="L126" s="56">
        <v>52</v>
      </c>
      <c r="M126" s="56">
        <v>53</v>
      </c>
      <c r="N126" s="56">
        <v>54</v>
      </c>
      <c r="O126" s="56">
        <v>55</v>
      </c>
      <c r="P126" s="56">
        <v>56</v>
      </c>
      <c r="Q126" s="56">
        <v>57</v>
      </c>
      <c r="R126" s="56">
        <v>58</v>
      </c>
      <c r="S126" s="56">
        <v>59</v>
      </c>
      <c r="T126" s="56">
        <v>60</v>
      </c>
      <c r="U126" s="56">
        <v>61</v>
      </c>
      <c r="V126" s="56">
        <v>62</v>
      </c>
      <c r="W126" s="56">
        <v>63</v>
      </c>
      <c r="X126" s="56">
        <v>64</v>
      </c>
      <c r="Y126" s="56">
        <v>65</v>
      </c>
      <c r="Z126" s="56">
        <v>66</v>
      </c>
      <c r="AA126" s="56">
        <v>67</v>
      </c>
      <c r="AB126" s="56">
        <v>68</v>
      </c>
      <c r="AC126" s="56">
        <v>69</v>
      </c>
      <c r="AD126" s="56">
        <v>70</v>
      </c>
      <c r="AE126" s="56">
        <v>71</v>
      </c>
      <c r="AF126" s="56">
        <v>72</v>
      </c>
      <c r="AG126" s="56">
        <v>73</v>
      </c>
      <c r="AH126" s="56">
        <v>74</v>
      </c>
      <c r="AI126" s="56">
        <v>75</v>
      </c>
      <c r="AJ126" s="56">
        <v>76</v>
      </c>
      <c r="AK126" s="56">
        <v>77</v>
      </c>
      <c r="AL126" s="56">
        <v>78</v>
      </c>
      <c r="AM126" s="56">
        <v>79</v>
      </c>
      <c r="AN126" s="56">
        <v>80</v>
      </c>
      <c r="AO126" s="56">
        <v>81</v>
      </c>
      <c r="AP126" s="56">
        <v>82</v>
      </c>
      <c r="AQ126" s="56">
        <v>83</v>
      </c>
      <c r="AR126" s="97"/>
    </row>
    <row r="127" spans="2:44" ht="15" customHeight="1">
      <c r="B127" s="96"/>
      <c r="C127" s="97"/>
      <c r="D127" s="57">
        <v>45</v>
      </c>
      <c r="E127" s="56">
        <v>46</v>
      </c>
      <c r="F127" s="57">
        <v>47</v>
      </c>
      <c r="G127" s="56">
        <v>48</v>
      </c>
      <c r="H127" s="57">
        <v>49</v>
      </c>
      <c r="I127" s="56">
        <v>50</v>
      </c>
      <c r="J127" s="57">
        <v>51</v>
      </c>
      <c r="K127" s="56">
        <v>52</v>
      </c>
      <c r="L127" s="57">
        <v>53</v>
      </c>
      <c r="M127" s="56">
        <v>54</v>
      </c>
      <c r="N127" s="57">
        <v>55</v>
      </c>
      <c r="O127" s="56">
        <v>56</v>
      </c>
      <c r="P127" s="57">
        <v>57</v>
      </c>
      <c r="Q127" s="56">
        <v>58</v>
      </c>
      <c r="R127" s="57">
        <v>59</v>
      </c>
      <c r="S127" s="56">
        <v>60</v>
      </c>
      <c r="T127" s="57">
        <v>61</v>
      </c>
      <c r="U127" s="56">
        <v>62</v>
      </c>
      <c r="V127" s="57">
        <v>63</v>
      </c>
      <c r="W127" s="56">
        <v>64</v>
      </c>
      <c r="X127" s="57">
        <v>65</v>
      </c>
      <c r="Y127" s="56">
        <v>66</v>
      </c>
      <c r="Z127" s="57">
        <v>67</v>
      </c>
      <c r="AA127" s="56">
        <v>68</v>
      </c>
      <c r="AB127" s="57">
        <v>69</v>
      </c>
      <c r="AC127" s="56">
        <v>70</v>
      </c>
      <c r="AD127" s="57">
        <v>71</v>
      </c>
      <c r="AE127" s="56">
        <v>72</v>
      </c>
      <c r="AF127" s="57">
        <v>73</v>
      </c>
      <c r="AG127" s="56">
        <v>74</v>
      </c>
      <c r="AH127" s="57">
        <v>75</v>
      </c>
      <c r="AI127" s="56">
        <v>76</v>
      </c>
      <c r="AJ127" s="57">
        <v>77</v>
      </c>
      <c r="AK127" s="56">
        <v>78</v>
      </c>
      <c r="AL127" s="57">
        <v>79</v>
      </c>
      <c r="AM127" s="56">
        <v>80</v>
      </c>
      <c r="AN127" s="57">
        <v>81</v>
      </c>
      <c r="AO127" s="56">
        <v>82</v>
      </c>
      <c r="AP127" s="57">
        <v>83</v>
      </c>
      <c r="AQ127" s="56">
        <v>84</v>
      </c>
      <c r="AR127" s="97"/>
    </row>
    <row r="128" spans="2:44" ht="15" customHeight="1">
      <c r="B128" s="112" t="s">
        <v>165</v>
      </c>
      <c r="C128" s="97"/>
      <c r="D128" s="90"/>
      <c r="E128" s="90">
        <v>13.693097176407283</v>
      </c>
      <c r="F128" s="90">
        <v>15.543065015191422</v>
      </c>
      <c r="G128" s="90">
        <v>17.379673684481912</v>
      </c>
      <c r="H128" s="90">
        <v>19.202923184278777</v>
      </c>
      <c r="I128" s="90">
        <v>21.012813514581985</v>
      </c>
      <c r="J128" s="90">
        <v>22.809344675391568</v>
      </c>
      <c r="K128" s="90">
        <v>24.592516666707517</v>
      </c>
      <c r="L128" s="90">
        <v>26.362329488529824</v>
      </c>
      <c r="M128" s="90">
        <v>28.118783140858483</v>
      </c>
      <c r="N128" s="90">
        <v>29.861877623693509</v>
      </c>
      <c r="O128" s="90">
        <v>31.591612937034878</v>
      </c>
      <c r="P128" s="90">
        <v>33.30798908088267</v>
      </c>
      <c r="Q128" s="90">
        <v>35.011006055236706</v>
      </c>
      <c r="R128" s="90">
        <v>36.700663860097244</v>
      </c>
      <c r="S128" s="90">
        <v>38.376962495464035</v>
      </c>
      <c r="T128" s="90">
        <v>40.039901961337243</v>
      </c>
      <c r="U128" s="90">
        <v>41.68948225771679</v>
      </c>
      <c r="V128" s="90">
        <v>43.325703384602662</v>
      </c>
      <c r="W128" s="90">
        <v>44.948565341994865</v>
      </c>
      <c r="X128" s="90">
        <v>46.55806812989367</v>
      </c>
      <c r="Y128" s="90">
        <v>48.154211748298643</v>
      </c>
      <c r="Z128" s="90">
        <v>49.736996197209841</v>
      </c>
      <c r="AA128" s="90">
        <v>51.306421476627634</v>
      </c>
      <c r="AB128" s="90">
        <v>52.862487586551765</v>
      </c>
      <c r="AC128" s="90">
        <v>54.40519452698215</v>
      </c>
      <c r="AD128" s="90">
        <v>55.934542297918867</v>
      </c>
      <c r="AE128" s="90">
        <v>57.450530899362079</v>
      </c>
      <c r="AF128" s="90">
        <v>58.9531603313118</v>
      </c>
      <c r="AG128" s="90">
        <v>60.442430593767497</v>
      </c>
      <c r="AH128" s="90">
        <v>61.918341686729555</v>
      </c>
      <c r="AI128" s="90">
        <v>63.380893610198456</v>
      </c>
      <c r="AJ128" s="90">
        <v>63.380893610198456</v>
      </c>
      <c r="AK128" s="90">
        <v>63.380893610198456</v>
      </c>
      <c r="AL128" s="90">
        <v>63.380893610198456</v>
      </c>
      <c r="AM128" s="90">
        <v>63.380893610198456</v>
      </c>
      <c r="AN128" s="90">
        <v>63.380893610198456</v>
      </c>
      <c r="AO128" s="90">
        <v>63.380893610198456</v>
      </c>
      <c r="AP128" s="90">
        <v>63.380893610198456</v>
      </c>
      <c r="AQ128" s="90">
        <v>63.380893610198456</v>
      </c>
      <c r="AR128" s="3" t="s">
        <v>182</v>
      </c>
    </row>
    <row r="129" spans="2:44" ht="15" customHeight="1">
      <c r="B129" s="112" t="s">
        <v>167</v>
      </c>
      <c r="C129" s="97"/>
      <c r="D129" s="90"/>
      <c r="E129" s="90">
        <v>0</v>
      </c>
      <c r="F129" s="90">
        <v>0</v>
      </c>
      <c r="G129" s="90">
        <v>0</v>
      </c>
      <c r="H129" s="90">
        <v>0</v>
      </c>
      <c r="I129" s="90">
        <v>0</v>
      </c>
      <c r="J129" s="90">
        <v>0</v>
      </c>
      <c r="K129" s="90">
        <v>0</v>
      </c>
      <c r="L129" s="90">
        <v>0</v>
      </c>
      <c r="M129" s="90">
        <v>0</v>
      </c>
      <c r="N129" s="90">
        <v>0</v>
      </c>
      <c r="O129" s="90">
        <v>0</v>
      </c>
      <c r="P129" s="90">
        <v>0</v>
      </c>
      <c r="Q129" s="90">
        <v>0</v>
      </c>
      <c r="R129" s="90">
        <v>1.3633799997762388</v>
      </c>
      <c r="S129" s="90">
        <v>2.6955674133126162</v>
      </c>
      <c r="T129" s="90">
        <v>3.8168934223567632</v>
      </c>
      <c r="U129" s="90">
        <v>4.9729580534882496</v>
      </c>
      <c r="V129" s="90">
        <v>6.163761306707892</v>
      </c>
      <c r="W129" s="90">
        <v>7.3893031820142623</v>
      </c>
      <c r="X129" s="90">
        <v>8.6495836794089911</v>
      </c>
      <c r="Y129" s="90">
        <v>9.9446027988916743</v>
      </c>
      <c r="Z129" s="90">
        <v>11.274360540461284</v>
      </c>
      <c r="AA129" s="90">
        <v>12.638856904118239</v>
      </c>
      <c r="AB129" s="90">
        <v>14.038091889863759</v>
      </c>
      <c r="AC129" s="90">
        <v>15.472065497697429</v>
      </c>
      <c r="AD129" s="90">
        <v>16.940777727617217</v>
      </c>
      <c r="AE129" s="90">
        <v>18.444228579625165</v>
      </c>
      <c r="AF129" s="90">
        <v>19.982418053721265</v>
      </c>
      <c r="AG129" s="90">
        <v>21.555346149905116</v>
      </c>
      <c r="AH129" s="90">
        <v>23.163012868176299</v>
      </c>
      <c r="AI129" s="90">
        <v>24.805418208534824</v>
      </c>
      <c r="AJ129" s="90">
        <v>26.482562170981105</v>
      </c>
      <c r="AK129" s="90">
        <v>28.194444755515942</v>
      </c>
      <c r="AL129" s="90">
        <v>29.941065962137312</v>
      </c>
      <c r="AM129" s="90">
        <v>31.722425790846827</v>
      </c>
      <c r="AN129" s="90">
        <v>33.538524241644495</v>
      </c>
      <c r="AO129" s="90">
        <v>33.538524241644495</v>
      </c>
      <c r="AP129" s="90">
        <v>33.538524241644495</v>
      </c>
      <c r="AQ129" s="90">
        <v>33.538524241644495</v>
      </c>
      <c r="AR129" s="3" t="s">
        <v>183</v>
      </c>
    </row>
    <row r="130" spans="2:44" ht="15" customHeight="1">
      <c r="B130" s="112" t="s">
        <v>169</v>
      </c>
      <c r="C130" s="97"/>
      <c r="D130" s="90"/>
      <c r="E130" s="90">
        <v>0</v>
      </c>
      <c r="F130" s="90">
        <v>0</v>
      </c>
      <c r="G130" s="90">
        <v>0</v>
      </c>
      <c r="H130" s="90">
        <v>0</v>
      </c>
      <c r="I130" s="90">
        <v>0</v>
      </c>
      <c r="J130" s="90">
        <v>4.4347824041069934</v>
      </c>
      <c r="K130" s="90">
        <v>4.4563853200068992</v>
      </c>
      <c r="L130" s="90">
        <v>4.478107700925535</v>
      </c>
      <c r="M130" s="90">
        <v>4.4999502994498952</v>
      </c>
      <c r="N130" s="90">
        <v>4.5219138734902513</v>
      </c>
      <c r="O130" s="90">
        <v>4.5439991863218596</v>
      </c>
      <c r="P130" s="90">
        <v>4.566207006625719</v>
      </c>
      <c r="Q130" s="90">
        <v>4.5885381085311359</v>
      </c>
      <c r="R130" s="90">
        <v>4.6109932716577715</v>
      </c>
      <c r="S130" s="90">
        <v>4.6335732811583314</v>
      </c>
      <c r="T130" s="90">
        <v>4.6562789277611403</v>
      </c>
      <c r="U130" s="90">
        <v>4.679111007814039</v>
      </c>
      <c r="V130" s="90">
        <v>4.7020703233274945</v>
      </c>
      <c r="W130" s="90">
        <v>4.7251576820191712</v>
      </c>
      <c r="X130" s="90">
        <v>4.7483738973576388</v>
      </c>
      <c r="Y130" s="90">
        <v>4.7717197886079568</v>
      </c>
      <c r="Z130" s="90">
        <v>4.7951961808760775</v>
      </c>
      <c r="AA130" s="90">
        <v>4.8188039051548168</v>
      </c>
      <c r="AB130" s="90">
        <v>4.8425437983693875</v>
      </c>
      <c r="AC130" s="90">
        <v>4.8664167034243082</v>
      </c>
      <c r="AD130" s="90">
        <v>4.8904234692488835</v>
      </c>
      <c r="AE130" s="90">
        <v>4.9145649508455849</v>
      </c>
      <c r="AF130" s="90">
        <v>4.9388420093366632</v>
      </c>
      <c r="AG130" s="90">
        <v>4.9632555120119441</v>
      </c>
      <c r="AH130" s="90">
        <v>4.9878063323777084</v>
      </c>
      <c r="AI130" s="90">
        <v>5.0124953502042802</v>
      </c>
      <c r="AJ130" s="90">
        <v>5.0124953502042802</v>
      </c>
      <c r="AK130" s="90">
        <v>5.0124953502042802</v>
      </c>
      <c r="AL130" s="90">
        <v>5.0124953502042802</v>
      </c>
      <c r="AM130" s="90">
        <v>5.0124953502042802</v>
      </c>
      <c r="AN130" s="90">
        <v>5.0124953502042802</v>
      </c>
      <c r="AO130" s="90">
        <v>5.0124953502042802</v>
      </c>
      <c r="AP130" s="90">
        <v>5.0124953502042802</v>
      </c>
      <c r="AQ130" s="90">
        <v>5.0124953502042802</v>
      </c>
      <c r="AR130" s="3" t="s">
        <v>184</v>
      </c>
    </row>
    <row r="131" spans="2:44" ht="15" customHeight="1">
      <c r="B131" s="97" t="s">
        <v>171</v>
      </c>
      <c r="C131" s="97"/>
      <c r="D131" s="90"/>
      <c r="E131" s="90">
        <v>0</v>
      </c>
      <c r="F131" s="90">
        <v>0</v>
      </c>
      <c r="G131" s="90">
        <v>0</v>
      </c>
      <c r="H131" s="90">
        <v>0</v>
      </c>
      <c r="I131" s="90">
        <v>0</v>
      </c>
      <c r="J131" s="90">
        <v>6.7046187194066977</v>
      </c>
      <c r="K131" s="90">
        <v>6.7322594862305536</v>
      </c>
      <c r="L131" s="90">
        <v>6.7600191645682823</v>
      </c>
      <c r="M131" s="90">
        <v>6.7878982869901066</v>
      </c>
      <c r="N131" s="90">
        <v>6.8158973885402645</v>
      </c>
      <c r="O131" s="90">
        <v>6.844017006749552</v>
      </c>
      <c r="P131" s="90">
        <v>6.8722576816459959</v>
      </c>
      <c r="Q131" s="90">
        <v>6.9006199557677572</v>
      </c>
      <c r="R131" s="90">
        <v>6.929104374175191</v>
      </c>
      <c r="S131" s="90">
        <v>6.9577114844628296</v>
      </c>
      <c r="T131" s="90">
        <v>6.9864418367709309</v>
      </c>
      <c r="U131" s="90">
        <v>7.0152959837987856</v>
      </c>
      <c r="V131" s="90">
        <v>7.0442744808160391</v>
      </c>
      <c r="W131" s="90">
        <v>7.0733778856759288</v>
      </c>
      <c r="X131" s="90">
        <v>7.1026067588265267</v>
      </c>
      <c r="Y131" s="90">
        <v>7.1319616633245717</v>
      </c>
      <c r="Z131" s="90">
        <v>7.1614431648469976</v>
      </c>
      <c r="AA131" s="90">
        <v>7.1910518317039553</v>
      </c>
      <c r="AB131" s="90">
        <v>7.2207882348510477</v>
      </c>
      <c r="AC131" s="90">
        <v>7.2506529479031174</v>
      </c>
      <c r="AD131" s="90">
        <v>7.2806465471453388</v>
      </c>
      <c r="AE131" s="90">
        <v>7.3107696115477516</v>
      </c>
      <c r="AF131" s="90">
        <v>7.3410227227771578</v>
      </c>
      <c r="AG131" s="90">
        <v>7.3714064652100433</v>
      </c>
      <c r="AH131" s="90">
        <v>7.4019214259467727</v>
      </c>
      <c r="AI131" s="90">
        <v>7.4325681948227311</v>
      </c>
      <c r="AJ131" s="90">
        <v>7.4325681948227311</v>
      </c>
      <c r="AK131" s="90">
        <v>7.4325681948227311</v>
      </c>
      <c r="AL131" s="90">
        <v>7.4325681948227311</v>
      </c>
      <c r="AM131" s="90">
        <v>7.4325681948227311</v>
      </c>
      <c r="AN131" s="90">
        <v>7.4325681948227311</v>
      </c>
      <c r="AO131" s="90">
        <v>7.4325681948227311</v>
      </c>
      <c r="AP131" s="90">
        <v>7.4325681948227311</v>
      </c>
      <c r="AQ131" s="90">
        <v>7.4325681948227311</v>
      </c>
      <c r="AR131" s="3" t="s">
        <v>185</v>
      </c>
    </row>
    <row r="132" spans="2:44" ht="15" customHeight="1">
      <c r="B132" s="97"/>
      <c r="C132" s="97"/>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97"/>
    </row>
    <row r="133" spans="2:44" ht="15" customHeight="1">
      <c r="B133" s="96" t="s">
        <v>173</v>
      </c>
      <c r="C133" s="97"/>
      <c r="D133" s="57" t="s">
        <v>162</v>
      </c>
      <c r="E133" s="56">
        <v>45</v>
      </c>
      <c r="F133" s="56">
        <v>46</v>
      </c>
      <c r="G133" s="56">
        <v>47</v>
      </c>
      <c r="H133" s="56">
        <v>48</v>
      </c>
      <c r="I133" s="56">
        <v>49</v>
      </c>
      <c r="J133" s="56">
        <v>50</v>
      </c>
      <c r="K133" s="56">
        <v>51</v>
      </c>
      <c r="L133" s="56">
        <v>52</v>
      </c>
      <c r="M133" s="56">
        <v>53</v>
      </c>
      <c r="N133" s="56">
        <v>54</v>
      </c>
      <c r="O133" s="56">
        <v>55</v>
      </c>
      <c r="P133" s="56">
        <v>56</v>
      </c>
      <c r="Q133" s="56">
        <v>57</v>
      </c>
      <c r="R133" s="56">
        <v>58</v>
      </c>
      <c r="S133" s="56">
        <v>59</v>
      </c>
      <c r="T133" s="56">
        <v>60</v>
      </c>
      <c r="U133" s="56">
        <v>61</v>
      </c>
      <c r="V133" s="56">
        <v>62</v>
      </c>
      <c r="W133" s="56">
        <v>63</v>
      </c>
      <c r="X133" s="56">
        <v>64</v>
      </c>
      <c r="Y133" s="56">
        <v>65</v>
      </c>
      <c r="Z133" s="56">
        <v>66</v>
      </c>
      <c r="AA133" s="56">
        <v>67</v>
      </c>
      <c r="AB133" s="56">
        <v>68</v>
      </c>
      <c r="AC133" s="56">
        <v>69</v>
      </c>
      <c r="AD133" s="56">
        <v>70</v>
      </c>
      <c r="AE133" s="56">
        <v>71</v>
      </c>
      <c r="AF133" s="56">
        <v>72</v>
      </c>
      <c r="AG133" s="56">
        <v>73</v>
      </c>
      <c r="AH133" s="56">
        <v>74</v>
      </c>
      <c r="AI133" s="56">
        <v>75</v>
      </c>
      <c r="AJ133" s="56">
        <v>76</v>
      </c>
      <c r="AK133" s="56">
        <v>77</v>
      </c>
      <c r="AL133" s="56">
        <v>78</v>
      </c>
      <c r="AM133" s="56">
        <v>79</v>
      </c>
      <c r="AN133" s="56">
        <v>80</v>
      </c>
      <c r="AO133" s="56">
        <v>81</v>
      </c>
      <c r="AP133" s="56">
        <v>82</v>
      </c>
      <c r="AQ133" s="56">
        <v>83</v>
      </c>
      <c r="AR133" s="97"/>
    </row>
    <row r="134" spans="2:44" ht="15" customHeight="1">
      <c r="B134" s="96"/>
      <c r="C134" s="97"/>
      <c r="D134" s="57">
        <v>45</v>
      </c>
      <c r="E134" s="56">
        <v>46</v>
      </c>
      <c r="F134" s="57">
        <v>47</v>
      </c>
      <c r="G134" s="56">
        <v>48</v>
      </c>
      <c r="H134" s="57">
        <v>49</v>
      </c>
      <c r="I134" s="56">
        <v>50</v>
      </c>
      <c r="J134" s="57">
        <v>51</v>
      </c>
      <c r="K134" s="56">
        <v>52</v>
      </c>
      <c r="L134" s="57">
        <v>53</v>
      </c>
      <c r="M134" s="56">
        <v>54</v>
      </c>
      <c r="N134" s="57">
        <v>55</v>
      </c>
      <c r="O134" s="56">
        <v>56</v>
      </c>
      <c r="P134" s="57">
        <v>57</v>
      </c>
      <c r="Q134" s="56">
        <v>58</v>
      </c>
      <c r="R134" s="57">
        <v>59</v>
      </c>
      <c r="S134" s="56">
        <v>60</v>
      </c>
      <c r="T134" s="57">
        <v>61</v>
      </c>
      <c r="U134" s="56">
        <v>62</v>
      </c>
      <c r="V134" s="57">
        <v>63</v>
      </c>
      <c r="W134" s="56">
        <v>64</v>
      </c>
      <c r="X134" s="57">
        <v>65</v>
      </c>
      <c r="Y134" s="56">
        <v>66</v>
      </c>
      <c r="Z134" s="57">
        <v>67</v>
      </c>
      <c r="AA134" s="56">
        <v>68</v>
      </c>
      <c r="AB134" s="57">
        <v>69</v>
      </c>
      <c r="AC134" s="56">
        <v>70</v>
      </c>
      <c r="AD134" s="57">
        <v>71</v>
      </c>
      <c r="AE134" s="56">
        <v>72</v>
      </c>
      <c r="AF134" s="57">
        <v>73</v>
      </c>
      <c r="AG134" s="56">
        <v>74</v>
      </c>
      <c r="AH134" s="57">
        <v>75</v>
      </c>
      <c r="AI134" s="56">
        <v>76</v>
      </c>
      <c r="AJ134" s="57">
        <v>77</v>
      </c>
      <c r="AK134" s="56">
        <v>78</v>
      </c>
      <c r="AL134" s="57">
        <v>79</v>
      </c>
      <c r="AM134" s="56">
        <v>80</v>
      </c>
      <c r="AN134" s="57">
        <v>81</v>
      </c>
      <c r="AO134" s="56">
        <v>82</v>
      </c>
      <c r="AP134" s="57">
        <v>83</v>
      </c>
      <c r="AQ134" s="56">
        <v>84</v>
      </c>
      <c r="AR134" s="97"/>
    </row>
    <row r="135" spans="2:44" ht="15" customHeight="1">
      <c r="B135" s="112" t="s">
        <v>163</v>
      </c>
      <c r="C135" s="97"/>
      <c r="D135" s="90"/>
      <c r="E135" s="90">
        <v>33.260444872765504</v>
      </c>
      <c r="F135" s="90">
        <v>35.771370414075236</v>
      </c>
      <c r="G135" s="90">
        <v>38.282295955383482</v>
      </c>
      <c r="H135" s="90">
        <v>40.793221496692617</v>
      </c>
      <c r="I135" s="90">
        <v>43.304147038002363</v>
      </c>
      <c r="J135" s="90">
        <v>45.815072579310893</v>
      </c>
      <c r="K135" s="90">
        <v>48.325998120620639</v>
      </c>
      <c r="L135" s="90">
        <v>50.836923661929177</v>
      </c>
      <c r="M135" s="90">
        <v>53.347849203238916</v>
      </c>
      <c r="N135" s="90">
        <v>55.858774744547461</v>
      </c>
      <c r="O135" s="90">
        <v>58.369700285856602</v>
      </c>
      <c r="P135" s="90">
        <v>60.880625827165737</v>
      </c>
      <c r="Q135" s="90">
        <v>63.391551368474886</v>
      </c>
      <c r="R135" s="90">
        <v>65.902476909783999</v>
      </c>
      <c r="S135" s="90">
        <v>68.413402451092551</v>
      </c>
      <c r="T135" s="90">
        <v>70.92432799240288</v>
      </c>
      <c r="U135" s="90">
        <v>73.435253533710835</v>
      </c>
      <c r="V135" s="90">
        <v>75.946179075020581</v>
      </c>
      <c r="W135" s="90">
        <v>78.457104616329119</v>
      </c>
      <c r="X135" s="90">
        <v>80.968030157638253</v>
      </c>
      <c r="Y135" s="90">
        <v>83.478955698947985</v>
      </c>
      <c r="Z135" s="90">
        <v>83.478955698947985</v>
      </c>
      <c r="AA135" s="90">
        <v>83.478955698947985</v>
      </c>
      <c r="AB135" s="90">
        <v>83.478955698947985</v>
      </c>
      <c r="AC135" s="90">
        <v>83.478955698947985</v>
      </c>
      <c r="AD135" s="90">
        <v>83.478955698947985</v>
      </c>
      <c r="AE135" s="90">
        <v>83.478955698947985</v>
      </c>
      <c r="AF135" s="90">
        <v>83.478955698947985</v>
      </c>
      <c r="AG135" s="90">
        <v>83.478955698947985</v>
      </c>
      <c r="AH135" s="90">
        <v>83.478955698947985</v>
      </c>
      <c r="AI135" s="90">
        <v>83.478955698947985</v>
      </c>
      <c r="AJ135" s="90">
        <v>83.478955698947985</v>
      </c>
      <c r="AK135" s="90">
        <v>83.478955698947985</v>
      </c>
      <c r="AL135" s="90">
        <v>83.478955698947985</v>
      </c>
      <c r="AM135" s="90">
        <v>83.478955698947985</v>
      </c>
      <c r="AN135" s="90">
        <v>83.478955698947985</v>
      </c>
      <c r="AO135" s="90">
        <v>83.478955698947985</v>
      </c>
      <c r="AP135" s="90">
        <v>83.478955698947985</v>
      </c>
      <c r="AQ135" s="90">
        <v>83.478955698947985</v>
      </c>
      <c r="AR135" s="3" t="s">
        <v>186</v>
      </c>
    </row>
    <row r="136" spans="2:44" ht="15" customHeight="1">
      <c r="B136" s="112"/>
      <c r="C136" s="97"/>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3"/>
    </row>
    <row r="137" spans="2:44" ht="15" customHeight="1">
      <c r="B137" s="67" t="s">
        <v>187</v>
      </c>
      <c r="C137" s="97"/>
      <c r="D137" s="67" t="s">
        <v>188</v>
      </c>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3"/>
    </row>
    <row r="138" spans="2:44" ht="15" customHeight="1">
      <c r="B138" s="97"/>
      <c r="C138" s="97"/>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97"/>
    </row>
    <row r="139" spans="2:44" s="2" customFormat="1" ht="18.600000000000001">
      <c r="B139" s="2" t="s">
        <v>189</v>
      </c>
    </row>
    <row r="140" spans="2:44" ht="15" customHeight="1">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row>
    <row r="141" spans="2:44" ht="15" customHeight="1">
      <c r="B141" s="97" t="s">
        <v>190</v>
      </c>
      <c r="C141" s="97"/>
      <c r="D141" s="115">
        <v>60</v>
      </c>
      <c r="E141" s="3" t="s">
        <v>191</v>
      </c>
      <c r="F141" s="3"/>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row>
    <row r="142" spans="2:44" ht="15" customHeight="1">
      <c r="B142" s="97" t="s">
        <v>192</v>
      </c>
      <c r="C142" s="97"/>
      <c r="D142" s="115">
        <v>2010</v>
      </c>
      <c r="E142" s="3" t="s">
        <v>193</v>
      </c>
      <c r="F142" s="3"/>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row>
    <row r="143" spans="2:44" ht="15" customHeight="1">
      <c r="B143" s="97" t="s">
        <v>194</v>
      </c>
      <c r="C143" s="97"/>
      <c r="D143" s="115">
        <v>2010</v>
      </c>
      <c r="E143" s="3" t="s">
        <v>195</v>
      </c>
      <c r="F143" s="3"/>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row>
    <row r="144" spans="2:44" ht="15" customHeight="1">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row>
    <row r="145" spans="1:96" ht="15" customHeight="1">
      <c r="A145" s="97"/>
      <c r="B145" s="97" t="s">
        <v>196</v>
      </c>
      <c r="C145" s="97"/>
      <c r="D145" s="115">
        <f>Current_year_in-PV_base_year_in</f>
        <v>14</v>
      </c>
      <c r="E145" s="3" t="s">
        <v>197</v>
      </c>
      <c r="F145" s="3"/>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row>
    <row r="146" spans="1:96" ht="15" customHeight="1">
      <c r="A146" s="97"/>
      <c r="B146" s="97" t="s">
        <v>198</v>
      </c>
      <c r="C146" s="97"/>
      <c r="D146" s="115">
        <v>30</v>
      </c>
      <c r="E146" s="3" t="s">
        <v>199</v>
      </c>
      <c r="F146" s="3"/>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row>
    <row r="147" spans="1:96" ht="15" customHeight="1">
      <c r="A147" s="97"/>
      <c r="B147" s="97" t="s">
        <v>200</v>
      </c>
      <c r="C147" s="97"/>
      <c r="D147" s="115">
        <v>75</v>
      </c>
      <c r="E147" s="3" t="s">
        <v>201</v>
      </c>
      <c r="F147" s="3"/>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row>
    <row r="148" spans="1:96" ht="15" customHeight="1">
      <c r="A148" s="97"/>
      <c r="B148" s="97" t="s">
        <v>202</v>
      </c>
      <c r="C148" s="97"/>
      <c r="D148" s="116">
        <v>3.5000000000000003E-2</v>
      </c>
      <c r="E148" s="3" t="s">
        <v>203</v>
      </c>
      <c r="F148" s="3"/>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row>
    <row r="149" spans="1:96" ht="15" customHeight="1">
      <c r="A149" s="97"/>
      <c r="B149" s="97" t="s">
        <v>204</v>
      </c>
      <c r="C149" s="97"/>
      <c r="D149" s="116">
        <v>1.4999999999999999E-2</v>
      </c>
      <c r="E149" s="3" t="s">
        <v>205</v>
      </c>
      <c r="F149" s="3"/>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row>
    <row r="150" spans="1:96" ht="15" customHeight="1">
      <c r="A150" s="97"/>
      <c r="B150" s="97" t="s">
        <v>206</v>
      </c>
      <c r="C150" s="97"/>
      <c r="D150" s="116">
        <v>1.29E-2</v>
      </c>
      <c r="E150" s="3" t="s">
        <v>207</v>
      </c>
      <c r="F150" s="3"/>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row>
    <row r="151" spans="1:96" ht="15" customHeight="1">
      <c r="A151" s="97"/>
      <c r="B151" s="97"/>
      <c r="C151" s="97"/>
      <c r="D151" s="117"/>
      <c r="E151" s="3"/>
      <c r="F151" s="3"/>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row>
    <row r="152" spans="1:96" ht="15" customHeight="1">
      <c r="A152" s="97"/>
      <c r="B152" s="67" t="s">
        <v>187</v>
      </c>
      <c r="C152" s="67"/>
      <c r="D152" s="67" t="s">
        <v>208</v>
      </c>
      <c r="E152" s="3"/>
      <c r="F152" s="3"/>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row>
    <row r="153" spans="1:96" ht="15" customHeight="1">
      <c r="A153" s="97"/>
      <c r="B153" s="97"/>
      <c r="C153" s="97"/>
      <c r="D153" s="11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row>
    <row r="154" spans="1:96" ht="15" customHeight="1">
      <c r="A154" s="97"/>
      <c r="B154" s="97"/>
      <c r="C154" s="97"/>
      <c r="D154" s="12">
        <v>2010</v>
      </c>
      <c r="E154" s="12">
        <v>2011</v>
      </c>
      <c r="F154" s="12">
        <v>2012</v>
      </c>
      <c r="G154" s="12">
        <v>2013</v>
      </c>
      <c r="H154" s="12">
        <v>2014</v>
      </c>
      <c r="I154" s="12">
        <v>2015</v>
      </c>
      <c r="J154" s="12">
        <v>2016</v>
      </c>
      <c r="K154" s="12">
        <v>2017</v>
      </c>
      <c r="L154" s="12">
        <v>2018</v>
      </c>
      <c r="M154" s="12">
        <v>2019</v>
      </c>
      <c r="N154" s="12">
        <v>2020</v>
      </c>
      <c r="O154" s="12">
        <v>2021</v>
      </c>
      <c r="P154" s="12">
        <v>2022</v>
      </c>
      <c r="Q154" s="12">
        <v>2023</v>
      </c>
      <c r="R154" s="12">
        <v>2024</v>
      </c>
      <c r="S154" s="12">
        <v>2025</v>
      </c>
      <c r="T154" s="12">
        <v>2026</v>
      </c>
      <c r="U154" s="12">
        <v>2027</v>
      </c>
      <c r="V154" s="12">
        <v>2028</v>
      </c>
      <c r="W154" s="12">
        <v>2029</v>
      </c>
      <c r="X154" s="12">
        <v>2030</v>
      </c>
      <c r="Y154" s="12">
        <v>2031</v>
      </c>
      <c r="Z154" s="12">
        <v>2032</v>
      </c>
      <c r="AA154" s="12">
        <v>2033</v>
      </c>
      <c r="AB154" s="12">
        <v>2034</v>
      </c>
      <c r="AC154" s="12">
        <v>2035</v>
      </c>
      <c r="AD154" s="12">
        <v>2036</v>
      </c>
      <c r="AE154" s="12">
        <v>2037</v>
      </c>
      <c r="AF154" s="12">
        <v>2038</v>
      </c>
      <c r="AG154" s="12">
        <v>2039</v>
      </c>
      <c r="AH154" s="12">
        <v>2040</v>
      </c>
      <c r="AI154" s="12">
        <v>2041</v>
      </c>
      <c r="AJ154" s="12">
        <v>2042</v>
      </c>
      <c r="AK154" s="12">
        <v>2043</v>
      </c>
      <c r="AL154" s="12">
        <v>2044</v>
      </c>
      <c r="AM154" s="12">
        <v>2045</v>
      </c>
      <c r="AN154" s="12">
        <v>2046</v>
      </c>
      <c r="AO154" s="12">
        <v>2047</v>
      </c>
      <c r="AP154" s="12">
        <v>2048</v>
      </c>
      <c r="AQ154" s="12">
        <v>2049</v>
      </c>
      <c r="AR154" s="12">
        <v>2050</v>
      </c>
      <c r="AS154" s="12">
        <v>2051</v>
      </c>
      <c r="AT154" s="12">
        <v>2052</v>
      </c>
      <c r="AU154" s="12">
        <v>2053</v>
      </c>
      <c r="AV154" s="12">
        <v>2054</v>
      </c>
      <c r="AW154" s="12">
        <v>2055</v>
      </c>
      <c r="AX154" s="12">
        <v>2056</v>
      </c>
      <c r="AY154" s="12">
        <v>2057</v>
      </c>
      <c r="AZ154" s="12">
        <v>2058</v>
      </c>
      <c r="BA154" s="12">
        <v>2059</v>
      </c>
      <c r="BB154" s="12">
        <v>2060</v>
      </c>
      <c r="BC154" s="12">
        <v>2061</v>
      </c>
      <c r="BD154" s="12">
        <v>2062</v>
      </c>
      <c r="BE154" s="12">
        <v>2063</v>
      </c>
      <c r="BF154" s="12">
        <v>2064</v>
      </c>
      <c r="BG154" s="12">
        <v>2065</v>
      </c>
      <c r="BH154" s="12">
        <v>2066</v>
      </c>
      <c r="BI154" s="12">
        <v>2067</v>
      </c>
      <c r="BJ154" s="12">
        <v>2068</v>
      </c>
      <c r="BK154" s="12">
        <v>2069</v>
      </c>
      <c r="BL154" s="12">
        <v>2070</v>
      </c>
      <c r="BM154" s="12">
        <v>2071</v>
      </c>
      <c r="BN154" s="12">
        <v>2072</v>
      </c>
      <c r="BO154" s="12">
        <v>2073</v>
      </c>
      <c r="BP154" s="12">
        <v>2074</v>
      </c>
      <c r="BQ154" s="12">
        <v>2075</v>
      </c>
      <c r="BR154" s="12">
        <v>2076</v>
      </c>
      <c r="BS154" s="12">
        <v>2077</v>
      </c>
      <c r="BT154" s="12">
        <v>2078</v>
      </c>
      <c r="BU154" s="12">
        <v>2079</v>
      </c>
      <c r="BV154" s="12">
        <v>2080</v>
      </c>
      <c r="BW154" s="12">
        <v>2081</v>
      </c>
      <c r="BX154" s="12">
        <v>2082</v>
      </c>
      <c r="BY154" s="12">
        <v>2083</v>
      </c>
      <c r="BZ154" s="12">
        <v>2084</v>
      </c>
      <c r="CA154" s="12">
        <v>2085</v>
      </c>
      <c r="CB154" s="12">
        <v>2086</v>
      </c>
      <c r="CC154" s="12">
        <v>2087</v>
      </c>
      <c r="CD154" s="12">
        <v>2088</v>
      </c>
      <c r="CE154" s="12">
        <v>2089</v>
      </c>
      <c r="CF154" s="12">
        <v>2090</v>
      </c>
      <c r="CG154" s="12">
        <v>2091</v>
      </c>
      <c r="CH154" s="12">
        <v>2092</v>
      </c>
      <c r="CI154" s="12">
        <v>2093</v>
      </c>
      <c r="CJ154" s="12">
        <v>2094</v>
      </c>
      <c r="CK154" s="12">
        <v>2095</v>
      </c>
      <c r="CL154" s="12">
        <v>2096</v>
      </c>
      <c r="CM154" s="12">
        <v>2097</v>
      </c>
      <c r="CN154" s="12">
        <v>2098</v>
      </c>
      <c r="CO154" s="12">
        <v>2099</v>
      </c>
      <c r="CP154" s="12">
        <v>2100</v>
      </c>
      <c r="CQ154" s="97"/>
      <c r="CR154" s="97"/>
    </row>
    <row r="155" spans="1:96" ht="15" customHeight="1">
      <c r="A155" s="118"/>
      <c r="B155" s="118" t="s">
        <v>209</v>
      </c>
      <c r="C155" s="118"/>
      <c r="D155" s="89">
        <v>100</v>
      </c>
      <c r="E155" s="89">
        <v>102.19056975817094</v>
      </c>
      <c r="F155" s="89">
        <v>103.76209248949486</v>
      </c>
      <c r="G155" s="89">
        <v>105.95694583200337</v>
      </c>
      <c r="H155" s="89">
        <v>107.35311796576727</v>
      </c>
      <c r="I155" s="89">
        <v>108.06488386650142</v>
      </c>
      <c r="J155" s="89">
        <v>110.18498175331253</v>
      </c>
      <c r="K155" s="89">
        <v>112.23239688652509</v>
      </c>
      <c r="L155" s="89">
        <v>114.39063249195446</v>
      </c>
      <c r="M155" s="89">
        <v>116.80933766113533</v>
      </c>
      <c r="N155" s="89">
        <v>123.00409151394307</v>
      </c>
      <c r="O155" s="89">
        <v>122.61165991656684</v>
      </c>
      <c r="P155" s="89">
        <v>128.91198339627439</v>
      </c>
      <c r="Q155" s="89">
        <v>138.1801399212097</v>
      </c>
      <c r="R155" s="89">
        <v>142.07327405106113</v>
      </c>
      <c r="S155" s="89">
        <v>145.6325526871409</v>
      </c>
      <c r="T155" s="89">
        <v>148.5328102225586</v>
      </c>
      <c r="U155" s="89">
        <v>151.43949486795384</v>
      </c>
      <c r="V155" s="89">
        <v>154.41797172483169</v>
      </c>
      <c r="W155" s="89">
        <v>157.46567190445177</v>
      </c>
      <c r="X155" s="89">
        <v>161.0873823582541</v>
      </c>
      <c r="Y155" s="89">
        <v>164.79239215249393</v>
      </c>
      <c r="Z155" s="89">
        <v>168.58261717200128</v>
      </c>
      <c r="AA155" s="89">
        <v>172.46001736695729</v>
      </c>
      <c r="AB155" s="89">
        <v>176.42659776639732</v>
      </c>
      <c r="AC155" s="89">
        <v>180.48440951502445</v>
      </c>
      <c r="AD155" s="89">
        <v>184.63555093386998</v>
      </c>
      <c r="AE155" s="89">
        <v>188.88216860534899</v>
      </c>
      <c r="AF155" s="89">
        <v>193.22645848327201</v>
      </c>
      <c r="AG155" s="89">
        <v>197.67066702838724</v>
      </c>
      <c r="AH155" s="89">
        <v>202.21709237004015</v>
      </c>
      <c r="AI155" s="89">
        <v>206.86808549455105</v>
      </c>
      <c r="AJ155" s="89">
        <v>211.62605146092571</v>
      </c>
      <c r="AK155" s="89">
        <v>216.49345064452697</v>
      </c>
      <c r="AL155" s="89">
        <v>221.47280000935109</v>
      </c>
      <c r="AM155" s="89">
        <v>226.56667440956616</v>
      </c>
      <c r="AN155" s="89">
        <v>231.77770792098613</v>
      </c>
      <c r="AO155" s="89">
        <v>237.10859520316882</v>
      </c>
      <c r="AP155" s="89">
        <v>242.56209289284166</v>
      </c>
      <c r="AQ155" s="89">
        <v>248.14102102937704</v>
      </c>
      <c r="AR155" s="89">
        <v>253.8482645130527</v>
      </c>
      <c r="AS155" s="89">
        <v>259.6867745968529</v>
      </c>
      <c r="AT155" s="89">
        <v>265.65957041258048</v>
      </c>
      <c r="AU155" s="89">
        <v>271.76974053206976</v>
      </c>
      <c r="AV155" s="89">
        <v>278.02044456430741</v>
      </c>
      <c r="AW155" s="89">
        <v>284.4149147892864</v>
      </c>
      <c r="AX155" s="89">
        <v>290.95645782944001</v>
      </c>
      <c r="AY155" s="89">
        <v>297.64845635951707</v>
      </c>
      <c r="AZ155" s="89">
        <v>304.49437085578597</v>
      </c>
      <c r="BA155" s="89">
        <v>311.497741385469</v>
      </c>
      <c r="BB155" s="89">
        <v>318.66218943733475</v>
      </c>
      <c r="BC155" s="89">
        <v>325.99141979439344</v>
      </c>
      <c r="BD155" s="89">
        <v>333.48922244966445</v>
      </c>
      <c r="BE155" s="89">
        <v>341.15947456600668</v>
      </c>
      <c r="BF155" s="89">
        <v>349.00614248102477</v>
      </c>
      <c r="BG155" s="89">
        <v>357.03328375808832</v>
      </c>
      <c r="BH155" s="89">
        <v>365.24504928452438</v>
      </c>
      <c r="BI155" s="89">
        <v>373.64568541806841</v>
      </c>
      <c r="BJ155" s="89">
        <v>382.23953618268399</v>
      </c>
      <c r="BK155" s="89">
        <v>391.0310455148857</v>
      </c>
      <c r="BL155" s="89">
        <v>400.02475956172799</v>
      </c>
      <c r="BM155" s="89">
        <v>409.22532903164768</v>
      </c>
      <c r="BN155" s="89">
        <v>418.6375115993755</v>
      </c>
      <c r="BO155" s="89">
        <v>428.26617436616107</v>
      </c>
      <c r="BP155" s="89">
        <v>438.11629637658268</v>
      </c>
      <c r="BQ155" s="89">
        <v>448.19297119324409</v>
      </c>
      <c r="BR155" s="89">
        <v>458.5014095306887</v>
      </c>
      <c r="BS155" s="89">
        <v>469.04694194989452</v>
      </c>
      <c r="BT155" s="89">
        <v>479.83502161474212</v>
      </c>
      <c r="BU155" s="89">
        <v>490.87122711188107</v>
      </c>
      <c r="BV155" s="89">
        <v>502.16126533545429</v>
      </c>
      <c r="BW155" s="89">
        <v>513.71097443816961</v>
      </c>
      <c r="BX155" s="89">
        <v>525.52632685024753</v>
      </c>
      <c r="BY155" s="89">
        <v>537.61343236780317</v>
      </c>
      <c r="BZ155" s="89">
        <v>549.97854131226256</v>
      </c>
      <c r="CA155" s="89">
        <v>562.62804776244457</v>
      </c>
      <c r="CB155" s="89">
        <v>575.56849286098077</v>
      </c>
      <c r="CC155" s="89">
        <v>588.80656819678325</v>
      </c>
      <c r="CD155" s="89">
        <v>602.34911926530924</v>
      </c>
      <c r="CE155" s="89">
        <v>616.20314900841129</v>
      </c>
      <c r="CF155" s="89">
        <v>630.37582143560473</v>
      </c>
      <c r="CG155" s="89">
        <v>644.8744653286235</v>
      </c>
      <c r="CH155" s="89">
        <v>659.70657803118183</v>
      </c>
      <c r="CI155" s="89">
        <v>674.87982932589898</v>
      </c>
      <c r="CJ155" s="89">
        <v>690.40206540039458</v>
      </c>
      <c r="CK155" s="89">
        <v>706.28131290460351</v>
      </c>
      <c r="CL155" s="89">
        <v>722.52578310140939</v>
      </c>
      <c r="CM155" s="89">
        <v>739.14387611274174</v>
      </c>
      <c r="CN155" s="89">
        <v>756.14418526333463</v>
      </c>
      <c r="CO155" s="89">
        <v>773.53550152439129</v>
      </c>
      <c r="CP155" s="89">
        <v>791.32681805945219</v>
      </c>
      <c r="CQ155" s="68" t="s">
        <v>210</v>
      </c>
      <c r="CR155" s="3"/>
    </row>
    <row r="156" spans="1:96" ht="15" customHeight="1">
      <c r="A156" s="97"/>
      <c r="B156" s="97" t="s">
        <v>211</v>
      </c>
      <c r="C156" s="97"/>
      <c r="D156" s="89">
        <v>135.33182670759209</v>
      </c>
      <c r="E156" s="89">
        <v>135.74467527809568</v>
      </c>
      <c r="F156" s="89">
        <v>136.87767108383409</v>
      </c>
      <c r="G156" s="89">
        <v>138.40141639885624</v>
      </c>
      <c r="H156" s="89">
        <v>141.7617425532344</v>
      </c>
      <c r="I156" s="89">
        <v>143.86594944976318</v>
      </c>
      <c r="J156" s="89">
        <v>145.46975764783977</v>
      </c>
      <c r="K156" s="89">
        <v>148.51961280768145</v>
      </c>
      <c r="L156" s="89">
        <v>149.87090937139365</v>
      </c>
      <c r="M156" s="89">
        <v>151.54978305646353</v>
      </c>
      <c r="N156" s="89">
        <v>135.61856413818404</v>
      </c>
      <c r="O156" s="89">
        <v>146.85659428467332</v>
      </c>
      <c r="P156" s="89">
        <v>151.83405837907182</v>
      </c>
      <c r="Q156" s="89">
        <v>150.57834744157515</v>
      </c>
      <c r="R156" s="89">
        <v>150.90529096944923</v>
      </c>
      <c r="S156" s="89">
        <v>152.98099582086763</v>
      </c>
      <c r="T156" s="89">
        <v>154.98267241696811</v>
      </c>
      <c r="U156" s="89">
        <v>156.56753876902923</v>
      </c>
      <c r="V156" s="89">
        <v>158.13256653059517</v>
      </c>
      <c r="W156" s="89">
        <v>159.79553409978939</v>
      </c>
      <c r="X156" s="89">
        <v>161.95532179581329</v>
      </c>
      <c r="Y156" s="89">
        <v>164.18671385604947</v>
      </c>
      <c r="Z156" s="89">
        <v>166.54370588226485</v>
      </c>
      <c r="AA156" s="89">
        <v>168.99134457135267</v>
      </c>
      <c r="AB156" s="89">
        <v>171.47029524447422</v>
      </c>
      <c r="AC156" s="89">
        <v>173.99518595405968</v>
      </c>
      <c r="AD156" s="89">
        <v>176.78012369227108</v>
      </c>
      <c r="AE156" s="89">
        <v>179.60173499087017</v>
      </c>
      <c r="AF156" s="89">
        <v>182.43576499307869</v>
      </c>
      <c r="AG156" s="89">
        <v>185.34859751384255</v>
      </c>
      <c r="AH156" s="89">
        <v>188.23067595515732</v>
      </c>
      <c r="AI156" s="89">
        <v>191.10868238482544</v>
      </c>
      <c r="AJ156" s="89">
        <v>193.99695394427584</v>
      </c>
      <c r="AK156" s="89">
        <v>196.87896789823884</v>
      </c>
      <c r="AL156" s="89">
        <v>199.74961864278328</v>
      </c>
      <c r="AM156" s="89">
        <v>202.66564311400438</v>
      </c>
      <c r="AN156" s="89">
        <v>205.64812040615874</v>
      </c>
      <c r="AO156" s="89">
        <v>208.66607297766637</v>
      </c>
      <c r="AP156" s="89">
        <v>211.70155169406229</v>
      </c>
      <c r="AQ156" s="89">
        <v>214.74762479404103</v>
      </c>
      <c r="AR156" s="89">
        <v>217.85012442613177</v>
      </c>
      <c r="AS156" s="89">
        <v>221.00975533264511</v>
      </c>
      <c r="AT156" s="89">
        <v>224.21109388097847</v>
      </c>
      <c r="AU156" s="89">
        <v>227.45404017756647</v>
      </c>
      <c r="AV156" s="89">
        <v>230.72634323704253</v>
      </c>
      <c r="AW156" s="89">
        <v>234.02739647786305</v>
      </c>
      <c r="AX156" s="89">
        <v>237.35783659891348</v>
      </c>
      <c r="AY156" s="89">
        <v>240.70300902319079</v>
      </c>
      <c r="AZ156" s="89">
        <v>244.08102805554998</v>
      </c>
      <c r="BA156" s="89">
        <v>247.46147148535132</v>
      </c>
      <c r="BB156" s="89">
        <v>250.92106836305774</v>
      </c>
      <c r="BC156" s="89">
        <v>254.38596957633044</v>
      </c>
      <c r="BD156" s="89">
        <v>257.84431557769364</v>
      </c>
      <c r="BE156" s="89">
        <v>261.31913521560875</v>
      </c>
      <c r="BF156" s="89">
        <v>264.84857641595113</v>
      </c>
      <c r="BG156" s="89">
        <v>268.44141145324068</v>
      </c>
      <c r="BH156" s="89">
        <v>272.1035017600401</v>
      </c>
      <c r="BI156" s="89">
        <v>275.88325632543933</v>
      </c>
      <c r="BJ156" s="89">
        <v>279.87042404520878</v>
      </c>
      <c r="BK156" s="89">
        <v>284.05095726638154</v>
      </c>
      <c r="BL156" s="89">
        <v>288.44805753917967</v>
      </c>
      <c r="BM156" s="89">
        <v>292.97413719031027</v>
      </c>
      <c r="BN156" s="89">
        <v>297.553813665863</v>
      </c>
      <c r="BO156" s="89">
        <v>302.19305641645195</v>
      </c>
      <c r="BP156" s="89">
        <v>306.03544999288374</v>
      </c>
      <c r="BQ156" s="89">
        <v>309.86884755180415</v>
      </c>
      <c r="BR156" s="89">
        <v>313.60218994468181</v>
      </c>
      <c r="BS156" s="89">
        <v>317.44873050819604</v>
      </c>
      <c r="BT156" s="89">
        <v>321.34523744636249</v>
      </c>
      <c r="BU156" s="89">
        <v>325.23735772020427</v>
      </c>
      <c r="BV156" s="89">
        <v>329.22250039504854</v>
      </c>
      <c r="BW156" s="89">
        <v>333.4144710092317</v>
      </c>
      <c r="BX156" s="89">
        <v>337.80251571598797</v>
      </c>
      <c r="BY156" s="89">
        <v>342.29740650151228</v>
      </c>
      <c r="BZ156" s="89">
        <v>346.83426137021206</v>
      </c>
      <c r="CA156" s="89">
        <v>351.59095854751149</v>
      </c>
      <c r="CB156" s="89">
        <v>356.54104758220325</v>
      </c>
      <c r="CC156" s="89">
        <v>361.64369516312064</v>
      </c>
      <c r="CD156" s="89">
        <v>366.90966775153754</v>
      </c>
      <c r="CE156" s="89">
        <v>372.4303547296268</v>
      </c>
      <c r="CF156" s="89">
        <v>377.94848895760464</v>
      </c>
      <c r="CG156" s="89">
        <v>383.77501233846533</v>
      </c>
      <c r="CH156" s="89">
        <v>389.37516907926636</v>
      </c>
      <c r="CI156" s="89">
        <v>395.01202985744015</v>
      </c>
      <c r="CJ156" s="89">
        <v>400.71285318620329</v>
      </c>
      <c r="CK156" s="89">
        <v>406.48227987494255</v>
      </c>
      <c r="CL156" s="89">
        <v>412.32570290466845</v>
      </c>
      <c r="CM156" s="89">
        <v>418.24719429649252</v>
      </c>
      <c r="CN156" s="89">
        <v>424.24619783100565</v>
      </c>
      <c r="CO156" s="89">
        <v>430.32228455159753</v>
      </c>
      <c r="CP156" s="89">
        <v>436.47378387351739</v>
      </c>
      <c r="CQ156" s="68" t="s">
        <v>212</v>
      </c>
      <c r="CR156" s="97"/>
    </row>
    <row r="157" spans="1:96" ht="15" customHeight="1">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row>
    <row r="158" spans="1:96" ht="15" customHeight="1">
      <c r="A158" s="97"/>
      <c r="B158" s="97" t="s">
        <v>187</v>
      </c>
      <c r="C158" s="97"/>
      <c r="D158" s="67" t="s">
        <v>213</v>
      </c>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3"/>
      <c r="CR158" s="97"/>
    </row>
    <row r="159" spans="1:96" ht="15" customHeight="1">
      <c r="A159" s="97"/>
      <c r="B159" s="97"/>
      <c r="C159" s="97"/>
      <c r="D159" s="67"/>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3"/>
      <c r="CR159" s="97"/>
    </row>
    <row r="160" spans="1:96" ht="15" customHeight="1">
      <c r="A160" s="97"/>
      <c r="B160" s="97" t="s">
        <v>214</v>
      </c>
      <c r="C160" s="97"/>
      <c r="D160" s="115">
        <v>1.3</v>
      </c>
      <c r="E160" s="68" t="s">
        <v>215</v>
      </c>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3"/>
      <c r="CR160" s="97"/>
    </row>
    <row r="161" spans="2:96" ht="15" customHeight="1">
      <c r="B161" s="97"/>
      <c r="C161" s="97"/>
      <c r="D161" s="67"/>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3"/>
      <c r="CR161" s="97"/>
    </row>
    <row r="162" spans="2:96" ht="15" customHeight="1">
      <c r="B162" s="97" t="s">
        <v>216</v>
      </c>
      <c r="C162" s="97"/>
      <c r="D162" s="119">
        <v>2.2999999999999998</v>
      </c>
      <c r="E162" s="119">
        <v>2.2999999999999998</v>
      </c>
      <c r="F162" s="119">
        <v>2.2999999999999998</v>
      </c>
      <c r="G162" s="119">
        <v>2.2999999999999998</v>
      </c>
      <c r="H162" s="119">
        <v>2.2999999999999998</v>
      </c>
      <c r="I162" s="119">
        <v>2.2999999999999998</v>
      </c>
      <c r="J162" s="119">
        <v>2.2999999999999998</v>
      </c>
      <c r="K162" s="119">
        <v>2.2999999999999998</v>
      </c>
      <c r="L162" s="119">
        <v>2.2999999999999998</v>
      </c>
      <c r="M162" s="119">
        <v>2.2999999999999998</v>
      </c>
      <c r="N162" s="119">
        <v>2.2999999999999998</v>
      </c>
      <c r="O162" s="119">
        <v>2.2999999999999998</v>
      </c>
      <c r="P162" s="119">
        <v>2.2999999999999998</v>
      </c>
      <c r="Q162" s="119">
        <v>2.2999999999999998</v>
      </c>
      <c r="R162" s="119">
        <v>2.2999999999999998</v>
      </c>
      <c r="S162" s="119">
        <v>2.2999999999999998</v>
      </c>
      <c r="T162" s="119">
        <v>2.2999999999999998</v>
      </c>
      <c r="U162" s="119">
        <v>2.2999999999999998</v>
      </c>
      <c r="V162" s="119">
        <v>2.2999999999999998</v>
      </c>
      <c r="W162" s="119">
        <v>2.2999999999999998</v>
      </c>
      <c r="X162" s="119">
        <v>2.2999999999999998</v>
      </c>
      <c r="Y162" s="119">
        <v>2.2999999999999998</v>
      </c>
      <c r="Z162" s="119">
        <v>2.2999999999999998</v>
      </c>
      <c r="AA162" s="119">
        <v>2.2999999999999998</v>
      </c>
      <c r="AB162" s="119">
        <v>2.2999999999999998</v>
      </c>
      <c r="AC162" s="119">
        <v>2.2999999999999998</v>
      </c>
      <c r="AD162" s="119">
        <v>2.2999999999999998</v>
      </c>
      <c r="AE162" s="119">
        <v>2.2999999999999998</v>
      </c>
      <c r="AF162" s="119">
        <v>2.2999999999999998</v>
      </c>
      <c r="AG162" s="119">
        <v>2.2999999999999998</v>
      </c>
      <c r="AH162" s="119">
        <v>2.2999999999999998</v>
      </c>
      <c r="AI162" s="119">
        <v>2.2999999999999998</v>
      </c>
      <c r="AJ162" s="119">
        <v>2.2999999999999998</v>
      </c>
      <c r="AK162" s="119">
        <v>2.2999999999999998</v>
      </c>
      <c r="AL162" s="119">
        <v>2.2999999999999998</v>
      </c>
      <c r="AM162" s="119">
        <v>2.2999999999999998</v>
      </c>
      <c r="AN162" s="119">
        <v>2.2999999999999998</v>
      </c>
      <c r="AO162" s="119">
        <v>2.2999999999999998</v>
      </c>
      <c r="AP162" s="119">
        <v>2.2999999999999998</v>
      </c>
      <c r="AQ162" s="119">
        <v>2.2999999999999998</v>
      </c>
      <c r="AR162" s="119">
        <v>2.2999999999999998</v>
      </c>
      <c r="AS162" s="119">
        <v>2.2999999999999998</v>
      </c>
      <c r="AT162" s="119">
        <v>2.2999999999999998</v>
      </c>
      <c r="AU162" s="119">
        <v>2.2999999999999998</v>
      </c>
      <c r="AV162" s="119">
        <v>2.2999999999999998</v>
      </c>
      <c r="AW162" s="119">
        <v>2.2999999999999998</v>
      </c>
      <c r="AX162" s="119">
        <v>2.2999999999999998</v>
      </c>
      <c r="AY162" s="119">
        <v>2.2999999999999998</v>
      </c>
      <c r="AZ162" s="119">
        <v>2.2999999999999998</v>
      </c>
      <c r="BA162" s="119">
        <v>2.2999999999999998</v>
      </c>
      <c r="BB162" s="119">
        <v>2.2999999999999998</v>
      </c>
      <c r="BC162" s="119">
        <v>2.2999999999999998</v>
      </c>
      <c r="BD162" s="119">
        <v>2.2999999999999998</v>
      </c>
      <c r="BE162" s="119">
        <v>2.2999999999999998</v>
      </c>
      <c r="BF162" s="119">
        <v>2.2999999999999998</v>
      </c>
      <c r="BG162" s="119">
        <v>2.2999999999999998</v>
      </c>
      <c r="BH162" s="119">
        <v>2.2999999999999998</v>
      </c>
      <c r="BI162" s="119">
        <v>2.2999999999999998</v>
      </c>
      <c r="BJ162" s="119">
        <v>2.2999999999999998</v>
      </c>
      <c r="BK162" s="119">
        <v>2.2999999999999998</v>
      </c>
      <c r="BL162" s="119">
        <v>2.2999999999999998</v>
      </c>
      <c r="BM162" s="119">
        <v>2.2999999999999998</v>
      </c>
      <c r="BN162" s="119">
        <v>2.2999999999999998</v>
      </c>
      <c r="BO162" s="119">
        <v>2.2999999999999998</v>
      </c>
      <c r="BP162" s="119">
        <v>2.2999999999999998</v>
      </c>
      <c r="BQ162" s="119">
        <v>2.2999999999999998</v>
      </c>
      <c r="BR162" s="119">
        <v>2.2999999999999998</v>
      </c>
      <c r="BS162" s="119">
        <v>2.2999999999999998</v>
      </c>
      <c r="BT162" s="119">
        <v>2.2999999999999998</v>
      </c>
      <c r="BU162" s="119">
        <v>2.2999999999999998</v>
      </c>
      <c r="BV162" s="119">
        <v>2.2999999999999998</v>
      </c>
      <c r="BW162" s="119">
        <v>2.2999999999999998</v>
      </c>
      <c r="BX162" s="119">
        <v>2.2999999999999998</v>
      </c>
      <c r="BY162" s="119">
        <v>2.2999999999999998</v>
      </c>
      <c r="BZ162" s="119">
        <v>2.2999999999999998</v>
      </c>
      <c r="CA162" s="119">
        <v>2.2999999999999998</v>
      </c>
      <c r="CB162" s="119">
        <v>2.2999999999999998</v>
      </c>
      <c r="CC162" s="119">
        <v>2.2999999999999998</v>
      </c>
      <c r="CD162" s="119">
        <v>2.2999999999999998</v>
      </c>
      <c r="CE162" s="119">
        <v>2.2999999999999998</v>
      </c>
      <c r="CF162" s="119">
        <v>2.2999999999999998</v>
      </c>
      <c r="CG162" s="119">
        <v>2.2999999999999998</v>
      </c>
      <c r="CH162" s="119">
        <v>2.2999999999999998</v>
      </c>
      <c r="CI162" s="119">
        <v>2.2999999999999998</v>
      </c>
      <c r="CJ162" s="119">
        <v>2.2999999999999998</v>
      </c>
      <c r="CK162" s="119">
        <v>2.2999999999999998</v>
      </c>
      <c r="CL162" s="119">
        <v>2.2999999999999998</v>
      </c>
      <c r="CM162" s="119">
        <v>2.2999999999999998</v>
      </c>
      <c r="CN162" s="119">
        <v>2.2999999999999998</v>
      </c>
      <c r="CO162" s="119">
        <v>2.2999999999999998</v>
      </c>
      <c r="CP162" s="119">
        <v>2.2999999999999998</v>
      </c>
      <c r="CQ162" s="3" t="s">
        <v>217</v>
      </c>
      <c r="CR162" s="97"/>
    </row>
    <row r="163" spans="2:96" s="83" customFormat="1" ht="15" customHeight="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row>
    <row r="164" spans="2:96" s="83" customFormat="1" hidden="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row>
    <row r="165" spans="2:96" s="83" customFormat="1" hidden="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row>
    <row r="166" spans="2:96" s="83" customFormat="1" hidden="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row>
    <row r="167" spans="2:96" s="83" customFormat="1" hidden="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row>
    <row r="168" spans="2:96" s="83" customFormat="1" hidden="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row>
    <row r="169" spans="2:96" s="83" customFormat="1" hidden="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row>
    <row r="170" spans="2:96" s="83" customFormat="1" hidden="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row>
    <row r="171" spans="2:96" s="83" customFormat="1" hidden="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row>
    <row r="172" spans="2:96" s="83" customFormat="1" hidden="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row>
    <row r="173" spans="2:96" s="83" customFormat="1" hidden="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row>
    <row r="174" spans="2:96" s="83" customFormat="1" hidden="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row>
    <row r="175" spans="2:96" s="83" customFormat="1" hidden="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row>
    <row r="176" spans="2:96" s="83" customFormat="1" hidden="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row>
    <row r="177" s="83" customFormat="1" hidden="1"/>
    <row r="178" s="83" customFormat="1" hidden="1"/>
    <row r="179" s="83" customFormat="1" hidden="1"/>
  </sheetData>
  <mergeCells count="7">
    <mergeCell ref="B133:B134"/>
    <mergeCell ref="D6:H6"/>
    <mergeCell ref="B99:B100"/>
    <mergeCell ref="B107:B108"/>
    <mergeCell ref="B113:B114"/>
    <mergeCell ref="B120:B121"/>
    <mergeCell ref="B126:B127"/>
  </mergeCells>
  <dataValidations count="2">
    <dataValidation type="list" allowBlank="1" showInputMessage="1" showErrorMessage="1" sqref="D9" xr:uid="{00000000-0002-0000-0100-000000000000}">
      <formula1>"road,rail,aviation"</formula1>
    </dataValidation>
    <dataValidation type="list" allowBlank="1" showInputMessage="1" showErrorMessage="1" sqref="D14 D16" xr:uid="{00000000-0002-0000-0100-000001000000}">
      <formula1>"yes, no"</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R945"/>
  <sheetViews>
    <sheetView zoomScale="98" zoomScaleNormal="100" workbookViewId="0">
      <pane xSplit="3" ySplit="2" topLeftCell="D692" activePane="bottomRight" state="frozen"/>
      <selection pane="bottomRight" activeCell="C657" sqref="C657"/>
      <selection pane="bottomLeft" activeCell="A3" sqref="A3"/>
      <selection pane="topRight" activeCell="D1" sqref="D1"/>
    </sheetView>
  </sheetViews>
  <sheetFormatPr defaultColWidth="0" defaultRowHeight="12.6" zeroHeight="1" outlineLevelRow="2"/>
  <cols>
    <col min="1" max="1" width="9.140625" customWidth="1"/>
    <col min="2" max="2" width="23" customWidth="1"/>
    <col min="3" max="3" width="15.85546875" customWidth="1"/>
    <col min="4" max="4" width="11.7109375" customWidth="1"/>
    <col min="5" max="94" width="9.140625" customWidth="1"/>
    <col min="95" max="95" width="45.5703125" bestFit="1" customWidth="1"/>
    <col min="96" max="16384" width="9.140625" hidden="1"/>
  </cols>
  <sheetData>
    <row r="1" spans="1:95"/>
    <row r="2" spans="1:95" s="1" customFormat="1" ht="26.1">
      <c r="B2" s="1" t="s">
        <v>218</v>
      </c>
    </row>
    <row r="3" spans="1:95" s="28" customFormat="1"/>
    <row r="4" spans="1:95" s="2" customFormat="1" ht="18.600000000000001">
      <c r="B4" s="2" t="s">
        <v>68</v>
      </c>
    </row>
    <row r="5" spans="1:95" s="28" customFormat="1"/>
    <row r="6" spans="1:95" s="5" customFormat="1" ht="15.6" outlineLevel="1">
      <c r="B6" s="5" t="s">
        <v>77</v>
      </c>
    </row>
    <row r="7" spans="1:95" s="28" customFormat="1" ht="15" customHeight="1" outlineLevel="1">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row>
    <row r="8" spans="1:95" s="21" customFormat="1" ht="15" customHeight="1" outlineLevel="1">
      <c r="A8" s="67"/>
      <c r="B8" s="104" t="s">
        <v>78</v>
      </c>
      <c r="C8" s="60" t="s">
        <v>79</v>
      </c>
      <c r="D8" s="61" t="s">
        <v>80</v>
      </c>
      <c r="E8" s="104" t="s">
        <v>81</v>
      </c>
      <c r="F8" s="104" t="s">
        <v>82</v>
      </c>
      <c r="G8" s="104" t="s">
        <v>83</v>
      </c>
      <c r="H8" s="104" t="s">
        <v>84</v>
      </c>
      <c r="I8" s="104" t="s">
        <v>85</v>
      </c>
      <c r="J8" s="104" t="s">
        <v>86</v>
      </c>
      <c r="K8" s="104" t="s">
        <v>87</v>
      </c>
      <c r="L8" s="104" t="s">
        <v>88</v>
      </c>
      <c r="M8" s="104" t="s">
        <v>89</v>
      </c>
      <c r="N8" s="104" t="s">
        <v>90</v>
      </c>
      <c r="O8" s="104" t="s">
        <v>91</v>
      </c>
      <c r="P8" s="104" t="s">
        <v>92</v>
      </c>
      <c r="Q8" s="104" t="s">
        <v>93</v>
      </c>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row>
    <row r="9" spans="1:95" s="21" customFormat="1" ht="15" customHeight="1" outlineLevel="1">
      <c r="A9" s="67"/>
      <c r="B9" s="60" t="s">
        <v>94</v>
      </c>
      <c r="C9" s="54"/>
      <c r="D9" s="105"/>
      <c r="E9" s="105"/>
      <c r="F9" s="105"/>
      <c r="G9" s="105"/>
      <c r="H9" s="105"/>
      <c r="I9" s="105"/>
      <c r="J9" s="105"/>
      <c r="K9" s="105"/>
      <c r="L9" s="105"/>
      <c r="M9" s="105"/>
      <c r="N9" s="105"/>
      <c r="O9" s="105"/>
      <c r="P9" s="105"/>
      <c r="Q9" s="106"/>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row>
    <row r="10" spans="1:95" s="21" customFormat="1" ht="15" customHeight="1" outlineLevel="1">
      <c r="A10" s="67"/>
      <c r="B10" s="61" t="s">
        <v>80</v>
      </c>
      <c r="C10" s="54"/>
      <c r="D10" s="107">
        <f t="shared" ref="D10:Q10" si="0">Opening_without_45_with_xx_in</f>
        <v>0</v>
      </c>
      <c r="E10" s="107">
        <f t="shared" si="0"/>
        <v>0</v>
      </c>
      <c r="F10" s="107">
        <f t="shared" si="0"/>
        <v>0</v>
      </c>
      <c r="G10" s="107">
        <f t="shared" si="0"/>
        <v>0</v>
      </c>
      <c r="H10" s="107">
        <f t="shared" si="0"/>
        <v>0</v>
      </c>
      <c r="I10" s="107">
        <f t="shared" si="0"/>
        <v>0</v>
      </c>
      <c r="J10" s="107">
        <f t="shared" si="0"/>
        <v>0</v>
      </c>
      <c r="K10" s="107">
        <f t="shared" si="0"/>
        <v>0</v>
      </c>
      <c r="L10" s="107">
        <f t="shared" si="0"/>
        <v>0</v>
      </c>
      <c r="M10" s="107">
        <f t="shared" si="0"/>
        <v>0</v>
      </c>
      <c r="N10" s="107">
        <f t="shared" si="0"/>
        <v>0</v>
      </c>
      <c r="O10" s="107">
        <f t="shared" si="0"/>
        <v>0</v>
      </c>
      <c r="P10" s="107">
        <f t="shared" si="0"/>
        <v>0</v>
      </c>
      <c r="Q10" s="107">
        <f t="shared" si="0"/>
        <v>0</v>
      </c>
      <c r="R10" s="22" t="s">
        <v>219</v>
      </c>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row>
    <row r="11" spans="1:95" s="21" customFormat="1" ht="15" customHeight="1" outlineLevel="1">
      <c r="A11" s="67"/>
      <c r="B11" s="104" t="s">
        <v>81</v>
      </c>
      <c r="C11" s="54"/>
      <c r="D11" s="107">
        <f t="shared" ref="D11:Q11" si="1">Opening_without_45_48_with_xx_in</f>
        <v>0</v>
      </c>
      <c r="E11" s="107">
        <f t="shared" si="1"/>
        <v>0</v>
      </c>
      <c r="F11" s="107">
        <f t="shared" si="1"/>
        <v>0</v>
      </c>
      <c r="G11" s="107">
        <f t="shared" si="1"/>
        <v>0</v>
      </c>
      <c r="H11" s="107">
        <f t="shared" si="1"/>
        <v>0</v>
      </c>
      <c r="I11" s="107">
        <f t="shared" si="1"/>
        <v>0</v>
      </c>
      <c r="J11" s="107">
        <f t="shared" si="1"/>
        <v>0</v>
      </c>
      <c r="K11" s="107">
        <f t="shared" si="1"/>
        <v>0</v>
      </c>
      <c r="L11" s="107">
        <f t="shared" si="1"/>
        <v>0</v>
      </c>
      <c r="M11" s="107">
        <f t="shared" si="1"/>
        <v>0</v>
      </c>
      <c r="N11" s="107">
        <f t="shared" si="1"/>
        <v>0</v>
      </c>
      <c r="O11" s="107">
        <f t="shared" si="1"/>
        <v>0</v>
      </c>
      <c r="P11" s="107">
        <f t="shared" si="1"/>
        <v>0</v>
      </c>
      <c r="Q11" s="107">
        <f t="shared" si="1"/>
        <v>0</v>
      </c>
      <c r="R11" s="22" t="s">
        <v>220</v>
      </c>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row>
    <row r="12" spans="1:95" s="21" customFormat="1" ht="15" customHeight="1" outlineLevel="1">
      <c r="A12" s="67"/>
      <c r="B12" s="104" t="s">
        <v>82</v>
      </c>
      <c r="C12" s="54"/>
      <c r="D12" s="107">
        <f t="shared" ref="D12:Q12" si="2">Opening_without_48_51_with_xx_in</f>
        <v>0</v>
      </c>
      <c r="E12" s="107">
        <f t="shared" si="2"/>
        <v>0</v>
      </c>
      <c r="F12" s="107">
        <f t="shared" si="2"/>
        <v>0</v>
      </c>
      <c r="G12" s="107">
        <f t="shared" si="2"/>
        <v>0</v>
      </c>
      <c r="H12" s="107">
        <f t="shared" si="2"/>
        <v>0</v>
      </c>
      <c r="I12" s="107">
        <f t="shared" si="2"/>
        <v>0</v>
      </c>
      <c r="J12" s="107">
        <f t="shared" si="2"/>
        <v>0</v>
      </c>
      <c r="K12" s="107">
        <f t="shared" si="2"/>
        <v>0</v>
      </c>
      <c r="L12" s="107">
        <f t="shared" si="2"/>
        <v>0</v>
      </c>
      <c r="M12" s="107">
        <f t="shared" si="2"/>
        <v>0</v>
      </c>
      <c r="N12" s="107">
        <f t="shared" si="2"/>
        <v>0</v>
      </c>
      <c r="O12" s="107">
        <f t="shared" si="2"/>
        <v>0</v>
      </c>
      <c r="P12" s="107">
        <f t="shared" si="2"/>
        <v>0</v>
      </c>
      <c r="Q12" s="107">
        <f t="shared" si="2"/>
        <v>0</v>
      </c>
      <c r="R12" s="22" t="s">
        <v>221</v>
      </c>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row>
    <row r="13" spans="1:95" s="21" customFormat="1" ht="15" customHeight="1" outlineLevel="1">
      <c r="A13" s="67"/>
      <c r="B13" s="104" t="s">
        <v>83</v>
      </c>
      <c r="C13" s="54"/>
      <c r="D13" s="107">
        <f t="shared" ref="D13:Q13" si="3">Opening_without_51_54_with_xx_in</f>
        <v>0</v>
      </c>
      <c r="E13" s="107">
        <f t="shared" si="3"/>
        <v>0</v>
      </c>
      <c r="F13" s="107">
        <f t="shared" si="3"/>
        <v>0</v>
      </c>
      <c r="G13" s="107">
        <f t="shared" si="3"/>
        <v>0</v>
      </c>
      <c r="H13" s="107">
        <f t="shared" si="3"/>
        <v>0</v>
      </c>
      <c r="I13" s="107">
        <f t="shared" si="3"/>
        <v>0</v>
      </c>
      <c r="J13" s="107">
        <f t="shared" si="3"/>
        <v>0</v>
      </c>
      <c r="K13" s="107">
        <f t="shared" si="3"/>
        <v>0</v>
      </c>
      <c r="L13" s="107">
        <f t="shared" si="3"/>
        <v>0</v>
      </c>
      <c r="M13" s="107">
        <f t="shared" si="3"/>
        <v>0</v>
      </c>
      <c r="N13" s="107">
        <f t="shared" si="3"/>
        <v>0</v>
      </c>
      <c r="O13" s="107">
        <f t="shared" si="3"/>
        <v>0</v>
      </c>
      <c r="P13" s="107">
        <f t="shared" si="3"/>
        <v>0</v>
      </c>
      <c r="Q13" s="107">
        <f t="shared" si="3"/>
        <v>0</v>
      </c>
      <c r="R13" s="22" t="s">
        <v>222</v>
      </c>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row>
    <row r="14" spans="1:95" s="21" customFormat="1" ht="15" customHeight="1" outlineLevel="1">
      <c r="A14" s="67"/>
      <c r="B14" s="104" t="s">
        <v>84</v>
      </c>
      <c r="C14" s="54"/>
      <c r="D14" s="107">
        <f t="shared" ref="D14:Q14" si="4">Opening_without_54_57_with_xx_in</f>
        <v>0</v>
      </c>
      <c r="E14" s="107">
        <f t="shared" si="4"/>
        <v>0</v>
      </c>
      <c r="F14" s="107">
        <f t="shared" si="4"/>
        <v>0</v>
      </c>
      <c r="G14" s="107">
        <f t="shared" si="4"/>
        <v>0</v>
      </c>
      <c r="H14" s="107">
        <f t="shared" si="4"/>
        <v>0</v>
      </c>
      <c r="I14" s="107">
        <f t="shared" si="4"/>
        <v>0</v>
      </c>
      <c r="J14" s="107">
        <f t="shared" si="4"/>
        <v>0</v>
      </c>
      <c r="K14" s="107">
        <f t="shared" si="4"/>
        <v>0</v>
      </c>
      <c r="L14" s="107">
        <f t="shared" si="4"/>
        <v>0</v>
      </c>
      <c r="M14" s="107">
        <f t="shared" si="4"/>
        <v>0</v>
      </c>
      <c r="N14" s="107">
        <f t="shared" si="4"/>
        <v>0</v>
      </c>
      <c r="O14" s="107">
        <f t="shared" si="4"/>
        <v>0</v>
      </c>
      <c r="P14" s="107">
        <f t="shared" si="4"/>
        <v>0</v>
      </c>
      <c r="Q14" s="107">
        <f t="shared" si="4"/>
        <v>0</v>
      </c>
      <c r="R14" s="22" t="s">
        <v>223</v>
      </c>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row>
    <row r="15" spans="1:95" s="21" customFormat="1" ht="15" customHeight="1" outlineLevel="1">
      <c r="A15" s="67"/>
      <c r="B15" s="104" t="s">
        <v>85</v>
      </c>
      <c r="C15" s="54"/>
      <c r="D15" s="107">
        <f t="shared" ref="D15:Q15" si="5">Opening_without_57_60_with_xx_in</f>
        <v>0</v>
      </c>
      <c r="E15" s="107">
        <f t="shared" si="5"/>
        <v>0</v>
      </c>
      <c r="F15" s="107">
        <f t="shared" si="5"/>
        <v>0</v>
      </c>
      <c r="G15" s="107">
        <f t="shared" si="5"/>
        <v>0</v>
      </c>
      <c r="H15" s="107">
        <f t="shared" si="5"/>
        <v>0</v>
      </c>
      <c r="I15" s="107">
        <f t="shared" si="5"/>
        <v>0</v>
      </c>
      <c r="J15" s="107">
        <f t="shared" si="5"/>
        <v>0</v>
      </c>
      <c r="K15" s="107">
        <f t="shared" si="5"/>
        <v>0</v>
      </c>
      <c r="L15" s="107">
        <f t="shared" si="5"/>
        <v>0</v>
      </c>
      <c r="M15" s="107">
        <f t="shared" si="5"/>
        <v>0</v>
      </c>
      <c r="N15" s="107">
        <f t="shared" si="5"/>
        <v>0</v>
      </c>
      <c r="O15" s="107">
        <f t="shared" si="5"/>
        <v>0</v>
      </c>
      <c r="P15" s="107">
        <f t="shared" si="5"/>
        <v>0</v>
      </c>
      <c r="Q15" s="107">
        <f t="shared" si="5"/>
        <v>0</v>
      </c>
      <c r="R15" s="22" t="s">
        <v>224</v>
      </c>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row>
    <row r="16" spans="1:95" s="21" customFormat="1" ht="15" customHeight="1" outlineLevel="1">
      <c r="A16" s="67"/>
      <c r="B16" s="104" t="s">
        <v>86</v>
      </c>
      <c r="C16" s="54"/>
      <c r="D16" s="107">
        <f t="shared" ref="D16:Q16" si="6">Opening_without_60_63_with_xx_in</f>
        <v>0</v>
      </c>
      <c r="E16" s="107">
        <f t="shared" si="6"/>
        <v>0</v>
      </c>
      <c r="F16" s="107">
        <f t="shared" si="6"/>
        <v>0</v>
      </c>
      <c r="G16" s="107">
        <f t="shared" si="6"/>
        <v>0</v>
      </c>
      <c r="H16" s="107">
        <f t="shared" si="6"/>
        <v>0</v>
      </c>
      <c r="I16" s="107">
        <f t="shared" si="6"/>
        <v>0</v>
      </c>
      <c r="J16" s="107">
        <f t="shared" si="6"/>
        <v>0</v>
      </c>
      <c r="K16" s="107">
        <f t="shared" si="6"/>
        <v>0</v>
      </c>
      <c r="L16" s="107">
        <f t="shared" si="6"/>
        <v>0</v>
      </c>
      <c r="M16" s="107">
        <f t="shared" si="6"/>
        <v>0</v>
      </c>
      <c r="N16" s="107">
        <f t="shared" si="6"/>
        <v>0</v>
      </c>
      <c r="O16" s="107">
        <f t="shared" si="6"/>
        <v>0</v>
      </c>
      <c r="P16" s="107">
        <f t="shared" si="6"/>
        <v>0</v>
      </c>
      <c r="Q16" s="107">
        <f t="shared" si="6"/>
        <v>0</v>
      </c>
      <c r="R16" s="22" t="s">
        <v>225</v>
      </c>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row>
    <row r="17" spans="1:96" s="21" customFormat="1" ht="15" customHeight="1" outlineLevel="1">
      <c r="A17" s="67"/>
      <c r="B17" s="104" t="s">
        <v>87</v>
      </c>
      <c r="C17" s="54"/>
      <c r="D17" s="107">
        <f t="shared" ref="D17:Q17" si="7">Opening_without_63_66_with_xx_in</f>
        <v>0</v>
      </c>
      <c r="E17" s="107">
        <f t="shared" si="7"/>
        <v>0</v>
      </c>
      <c r="F17" s="107">
        <f t="shared" si="7"/>
        <v>0</v>
      </c>
      <c r="G17" s="107">
        <f t="shared" si="7"/>
        <v>0</v>
      </c>
      <c r="H17" s="107">
        <f t="shared" si="7"/>
        <v>0</v>
      </c>
      <c r="I17" s="107">
        <f t="shared" si="7"/>
        <v>0</v>
      </c>
      <c r="J17" s="107">
        <f t="shared" si="7"/>
        <v>0</v>
      </c>
      <c r="K17" s="107">
        <f t="shared" si="7"/>
        <v>0</v>
      </c>
      <c r="L17" s="107">
        <f t="shared" si="7"/>
        <v>0</v>
      </c>
      <c r="M17" s="107">
        <f t="shared" si="7"/>
        <v>0</v>
      </c>
      <c r="N17" s="107">
        <f t="shared" si="7"/>
        <v>0</v>
      </c>
      <c r="O17" s="107">
        <f t="shared" si="7"/>
        <v>0</v>
      </c>
      <c r="P17" s="107">
        <f t="shared" si="7"/>
        <v>0</v>
      </c>
      <c r="Q17" s="107">
        <f t="shared" si="7"/>
        <v>0</v>
      </c>
      <c r="R17" s="22" t="s">
        <v>226</v>
      </c>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row>
    <row r="18" spans="1:96" ht="15" customHeight="1" outlineLevel="1">
      <c r="A18" s="67"/>
      <c r="B18" s="104" t="s">
        <v>88</v>
      </c>
      <c r="C18" s="54"/>
      <c r="D18" s="107">
        <f t="shared" ref="D18:Q18" si="8">Opening_without_66_69_with_xx_in</f>
        <v>0</v>
      </c>
      <c r="E18" s="107">
        <f t="shared" si="8"/>
        <v>0</v>
      </c>
      <c r="F18" s="107">
        <f t="shared" si="8"/>
        <v>0</v>
      </c>
      <c r="G18" s="107">
        <f t="shared" si="8"/>
        <v>0</v>
      </c>
      <c r="H18" s="107">
        <f t="shared" si="8"/>
        <v>0</v>
      </c>
      <c r="I18" s="107">
        <f t="shared" si="8"/>
        <v>0</v>
      </c>
      <c r="J18" s="107">
        <f t="shared" si="8"/>
        <v>0</v>
      </c>
      <c r="K18" s="107">
        <f t="shared" si="8"/>
        <v>0</v>
      </c>
      <c r="L18" s="107">
        <f t="shared" si="8"/>
        <v>0</v>
      </c>
      <c r="M18" s="107">
        <f t="shared" si="8"/>
        <v>0</v>
      </c>
      <c r="N18" s="107">
        <f t="shared" si="8"/>
        <v>0</v>
      </c>
      <c r="O18" s="107">
        <f t="shared" si="8"/>
        <v>0</v>
      </c>
      <c r="P18" s="107">
        <f t="shared" si="8"/>
        <v>0</v>
      </c>
      <c r="Q18" s="107">
        <f t="shared" si="8"/>
        <v>0</v>
      </c>
      <c r="R18" s="22" t="s">
        <v>227</v>
      </c>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row>
    <row r="19" spans="1:96" ht="15" customHeight="1" outlineLevel="1">
      <c r="A19" s="67"/>
      <c r="B19" s="104" t="s">
        <v>89</v>
      </c>
      <c r="C19" s="54"/>
      <c r="D19" s="107">
        <f t="shared" ref="D19:Q19" si="9">Opening_without_69_72_with_xx_in</f>
        <v>0</v>
      </c>
      <c r="E19" s="107">
        <f t="shared" si="9"/>
        <v>0</v>
      </c>
      <c r="F19" s="107">
        <f t="shared" si="9"/>
        <v>0</v>
      </c>
      <c r="G19" s="107">
        <f t="shared" si="9"/>
        <v>0</v>
      </c>
      <c r="H19" s="107">
        <f t="shared" si="9"/>
        <v>0</v>
      </c>
      <c r="I19" s="107">
        <f t="shared" si="9"/>
        <v>0</v>
      </c>
      <c r="J19" s="107">
        <f t="shared" si="9"/>
        <v>0</v>
      </c>
      <c r="K19" s="107">
        <f t="shared" si="9"/>
        <v>0</v>
      </c>
      <c r="L19" s="107">
        <f t="shared" si="9"/>
        <v>0</v>
      </c>
      <c r="M19" s="107">
        <f t="shared" si="9"/>
        <v>0</v>
      </c>
      <c r="N19" s="107">
        <f t="shared" si="9"/>
        <v>0</v>
      </c>
      <c r="O19" s="107">
        <f t="shared" si="9"/>
        <v>0</v>
      </c>
      <c r="P19" s="107">
        <f t="shared" si="9"/>
        <v>0</v>
      </c>
      <c r="Q19" s="107">
        <f t="shared" si="9"/>
        <v>0</v>
      </c>
      <c r="R19" s="22" t="s">
        <v>228</v>
      </c>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row>
    <row r="20" spans="1:96" ht="15" customHeight="1" outlineLevel="1">
      <c r="A20" s="67"/>
      <c r="B20" s="104" t="s">
        <v>90</v>
      </c>
      <c r="C20" s="54"/>
      <c r="D20" s="107">
        <f t="shared" ref="D20:Q20" si="10">Opening_without_72_75_with_xx_in</f>
        <v>0</v>
      </c>
      <c r="E20" s="107">
        <f t="shared" si="10"/>
        <v>0</v>
      </c>
      <c r="F20" s="107">
        <f t="shared" si="10"/>
        <v>0</v>
      </c>
      <c r="G20" s="107">
        <f t="shared" si="10"/>
        <v>0</v>
      </c>
      <c r="H20" s="107">
        <f t="shared" si="10"/>
        <v>0</v>
      </c>
      <c r="I20" s="107">
        <f t="shared" si="10"/>
        <v>0</v>
      </c>
      <c r="J20" s="107">
        <f t="shared" si="10"/>
        <v>0</v>
      </c>
      <c r="K20" s="107">
        <f t="shared" si="10"/>
        <v>0</v>
      </c>
      <c r="L20" s="107">
        <f t="shared" si="10"/>
        <v>0</v>
      </c>
      <c r="M20" s="107">
        <f t="shared" si="10"/>
        <v>0</v>
      </c>
      <c r="N20" s="107">
        <f t="shared" si="10"/>
        <v>0</v>
      </c>
      <c r="O20" s="107">
        <f t="shared" si="10"/>
        <v>0</v>
      </c>
      <c r="P20" s="107">
        <f t="shared" si="10"/>
        <v>0</v>
      </c>
      <c r="Q20" s="107">
        <f t="shared" si="10"/>
        <v>0</v>
      </c>
      <c r="R20" s="22" t="s">
        <v>229</v>
      </c>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row>
    <row r="21" spans="1:96" ht="15" customHeight="1" outlineLevel="1">
      <c r="A21" s="67"/>
      <c r="B21" s="104" t="s">
        <v>91</v>
      </c>
      <c r="C21" s="54"/>
      <c r="D21" s="107">
        <f t="shared" ref="D21:Q21" si="11">Opening_without_75_78_with_xx_in</f>
        <v>0</v>
      </c>
      <c r="E21" s="107">
        <f t="shared" si="11"/>
        <v>0</v>
      </c>
      <c r="F21" s="107">
        <f t="shared" si="11"/>
        <v>0</v>
      </c>
      <c r="G21" s="107">
        <f t="shared" si="11"/>
        <v>0</v>
      </c>
      <c r="H21" s="107">
        <f t="shared" si="11"/>
        <v>0</v>
      </c>
      <c r="I21" s="107">
        <f t="shared" si="11"/>
        <v>0</v>
      </c>
      <c r="J21" s="107">
        <f t="shared" si="11"/>
        <v>0</v>
      </c>
      <c r="K21" s="107">
        <f t="shared" si="11"/>
        <v>0</v>
      </c>
      <c r="L21" s="107">
        <f t="shared" si="11"/>
        <v>0</v>
      </c>
      <c r="M21" s="107">
        <f t="shared" si="11"/>
        <v>0</v>
      </c>
      <c r="N21" s="107">
        <f t="shared" si="11"/>
        <v>0</v>
      </c>
      <c r="O21" s="107">
        <f t="shared" si="11"/>
        <v>0</v>
      </c>
      <c r="P21" s="107">
        <f t="shared" si="11"/>
        <v>0</v>
      </c>
      <c r="Q21" s="107">
        <f t="shared" si="11"/>
        <v>0</v>
      </c>
      <c r="R21" s="22" t="s">
        <v>230</v>
      </c>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3"/>
    </row>
    <row r="22" spans="1:96" ht="15" customHeight="1" outlineLevel="1">
      <c r="A22" s="67"/>
      <c r="B22" s="104" t="s">
        <v>92</v>
      </c>
      <c r="C22" s="54"/>
      <c r="D22" s="107">
        <f t="shared" ref="D22:Q22" si="12">Opening_without_78_81_with_xx_in</f>
        <v>0</v>
      </c>
      <c r="E22" s="107">
        <f t="shared" si="12"/>
        <v>0</v>
      </c>
      <c r="F22" s="107">
        <f t="shared" si="12"/>
        <v>0</v>
      </c>
      <c r="G22" s="107">
        <f t="shared" si="12"/>
        <v>0</v>
      </c>
      <c r="H22" s="107">
        <f t="shared" si="12"/>
        <v>0</v>
      </c>
      <c r="I22" s="107">
        <f t="shared" si="12"/>
        <v>0</v>
      </c>
      <c r="J22" s="107">
        <f t="shared" si="12"/>
        <v>0</v>
      </c>
      <c r="K22" s="107">
        <f t="shared" si="12"/>
        <v>0</v>
      </c>
      <c r="L22" s="107">
        <f t="shared" si="12"/>
        <v>0</v>
      </c>
      <c r="M22" s="107">
        <f t="shared" si="12"/>
        <v>0</v>
      </c>
      <c r="N22" s="107">
        <f t="shared" si="12"/>
        <v>0</v>
      </c>
      <c r="O22" s="107">
        <f t="shared" si="12"/>
        <v>0</v>
      </c>
      <c r="P22" s="107">
        <f t="shared" si="12"/>
        <v>0</v>
      </c>
      <c r="Q22" s="107">
        <f t="shared" si="12"/>
        <v>0</v>
      </c>
      <c r="R22" s="22" t="s">
        <v>231</v>
      </c>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3"/>
    </row>
    <row r="23" spans="1:96" ht="15" customHeight="1" outlineLevel="1">
      <c r="A23" s="67"/>
      <c r="B23" s="104" t="s">
        <v>93</v>
      </c>
      <c r="C23" s="54"/>
      <c r="D23" s="107">
        <f t="shared" ref="D23:Q23" si="13">Opening_without_81_with_xx_in</f>
        <v>0</v>
      </c>
      <c r="E23" s="107">
        <f t="shared" si="13"/>
        <v>0</v>
      </c>
      <c r="F23" s="107">
        <f t="shared" si="13"/>
        <v>0</v>
      </c>
      <c r="G23" s="107">
        <f t="shared" si="13"/>
        <v>0</v>
      </c>
      <c r="H23" s="107">
        <f t="shared" si="13"/>
        <v>0</v>
      </c>
      <c r="I23" s="107">
        <f t="shared" si="13"/>
        <v>0</v>
      </c>
      <c r="J23" s="107">
        <f t="shared" si="13"/>
        <v>0</v>
      </c>
      <c r="K23" s="107">
        <f t="shared" si="13"/>
        <v>0</v>
      </c>
      <c r="L23" s="107">
        <f t="shared" si="13"/>
        <v>0</v>
      </c>
      <c r="M23" s="107">
        <f t="shared" si="13"/>
        <v>0</v>
      </c>
      <c r="N23" s="107">
        <f t="shared" si="13"/>
        <v>0</v>
      </c>
      <c r="O23" s="107">
        <f t="shared" si="13"/>
        <v>0</v>
      </c>
      <c r="P23" s="107">
        <f t="shared" si="13"/>
        <v>0</v>
      </c>
      <c r="Q23" s="107">
        <f t="shared" si="13"/>
        <v>0</v>
      </c>
      <c r="R23" s="22" t="s">
        <v>232</v>
      </c>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3"/>
    </row>
    <row r="24" spans="1:96" ht="15" customHeight="1" outlineLevel="1">
      <c r="A24" s="6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3"/>
    </row>
    <row r="25" spans="1:96" ht="15" customHeight="1" outlineLevel="1">
      <c r="A25" s="67"/>
      <c r="B25" s="104" t="s">
        <v>109</v>
      </c>
      <c r="C25" s="60" t="s">
        <v>79</v>
      </c>
      <c r="D25" s="61" t="s">
        <v>80</v>
      </c>
      <c r="E25" s="104" t="s">
        <v>81</v>
      </c>
      <c r="F25" s="104" t="s">
        <v>82</v>
      </c>
      <c r="G25" s="104" t="s">
        <v>83</v>
      </c>
      <c r="H25" s="104" t="s">
        <v>84</v>
      </c>
      <c r="I25" s="104" t="s">
        <v>85</v>
      </c>
      <c r="J25" s="104" t="s">
        <v>86</v>
      </c>
      <c r="K25" s="104" t="s">
        <v>87</v>
      </c>
      <c r="L25" s="104" t="s">
        <v>88</v>
      </c>
      <c r="M25" s="104" t="s">
        <v>89</v>
      </c>
      <c r="N25" s="104" t="s">
        <v>90</v>
      </c>
      <c r="O25" s="104" t="s">
        <v>91</v>
      </c>
      <c r="P25" s="104" t="s">
        <v>92</v>
      </c>
      <c r="Q25" s="104" t="s">
        <v>93</v>
      </c>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3"/>
    </row>
    <row r="26" spans="1:96" ht="15" customHeight="1" outlineLevel="1">
      <c r="A26" s="97"/>
      <c r="B26" s="60" t="s">
        <v>94</v>
      </c>
      <c r="C26" s="54"/>
      <c r="D26" s="105"/>
      <c r="E26" s="105"/>
      <c r="F26" s="105"/>
      <c r="G26" s="105"/>
      <c r="H26" s="105"/>
      <c r="I26" s="105"/>
      <c r="J26" s="105"/>
      <c r="K26" s="105"/>
      <c r="L26" s="105"/>
      <c r="M26" s="105"/>
      <c r="N26" s="105"/>
      <c r="O26" s="105"/>
      <c r="P26" s="105"/>
      <c r="Q26" s="106"/>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3"/>
    </row>
    <row r="27" spans="1:96" ht="15" customHeight="1" outlineLevel="1">
      <c r="A27" s="97"/>
      <c r="B27" s="61" t="s">
        <v>80</v>
      </c>
      <c r="C27" s="54"/>
      <c r="D27" s="107">
        <f t="shared" ref="D27:Q27" si="14">Opening_without_45_with_xx_night_in</f>
        <v>0</v>
      </c>
      <c r="E27" s="107">
        <f t="shared" si="14"/>
        <v>0</v>
      </c>
      <c r="F27" s="107">
        <f t="shared" si="14"/>
        <v>0</v>
      </c>
      <c r="G27" s="107">
        <f t="shared" si="14"/>
        <v>0</v>
      </c>
      <c r="H27" s="107">
        <f t="shared" si="14"/>
        <v>0</v>
      </c>
      <c r="I27" s="107">
        <f t="shared" si="14"/>
        <v>0</v>
      </c>
      <c r="J27" s="107">
        <f t="shared" si="14"/>
        <v>0</v>
      </c>
      <c r="K27" s="107">
        <f t="shared" si="14"/>
        <v>0</v>
      </c>
      <c r="L27" s="107">
        <f t="shared" si="14"/>
        <v>0</v>
      </c>
      <c r="M27" s="107">
        <f t="shared" si="14"/>
        <v>0</v>
      </c>
      <c r="N27" s="107">
        <f t="shared" si="14"/>
        <v>0</v>
      </c>
      <c r="O27" s="107">
        <f t="shared" si="14"/>
        <v>0</v>
      </c>
      <c r="P27" s="107">
        <f t="shared" si="14"/>
        <v>0</v>
      </c>
      <c r="Q27" s="107">
        <f t="shared" si="14"/>
        <v>0</v>
      </c>
      <c r="R27" s="6" t="s">
        <v>233</v>
      </c>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3"/>
    </row>
    <row r="28" spans="1:96" ht="15" customHeight="1" outlineLevel="1">
      <c r="A28" s="97"/>
      <c r="B28" s="104" t="s">
        <v>81</v>
      </c>
      <c r="C28" s="54"/>
      <c r="D28" s="107">
        <f t="shared" ref="D28:Q28" si="15">Opening_without_45_48_with_xx_night_in</f>
        <v>0</v>
      </c>
      <c r="E28" s="107">
        <f t="shared" si="15"/>
        <v>0</v>
      </c>
      <c r="F28" s="107">
        <f t="shared" si="15"/>
        <v>0</v>
      </c>
      <c r="G28" s="107">
        <f t="shared" si="15"/>
        <v>0</v>
      </c>
      <c r="H28" s="107">
        <f t="shared" si="15"/>
        <v>0</v>
      </c>
      <c r="I28" s="107">
        <f t="shared" si="15"/>
        <v>0</v>
      </c>
      <c r="J28" s="107">
        <f t="shared" si="15"/>
        <v>0</v>
      </c>
      <c r="K28" s="107">
        <f t="shared" si="15"/>
        <v>0</v>
      </c>
      <c r="L28" s="107">
        <f t="shared" si="15"/>
        <v>0</v>
      </c>
      <c r="M28" s="107">
        <f t="shared" si="15"/>
        <v>0</v>
      </c>
      <c r="N28" s="107">
        <f t="shared" si="15"/>
        <v>0</v>
      </c>
      <c r="O28" s="107">
        <f t="shared" si="15"/>
        <v>0</v>
      </c>
      <c r="P28" s="107">
        <f t="shared" si="15"/>
        <v>0</v>
      </c>
      <c r="Q28" s="107">
        <f t="shared" si="15"/>
        <v>0</v>
      </c>
      <c r="R28" s="6" t="s">
        <v>234</v>
      </c>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3"/>
    </row>
    <row r="29" spans="1:96" ht="15" customHeight="1" outlineLevel="1">
      <c r="A29" s="97"/>
      <c r="B29" s="104" t="s">
        <v>82</v>
      </c>
      <c r="C29" s="54"/>
      <c r="D29" s="107">
        <f t="shared" ref="D29:Q29" si="16">Opening_without_48_51_with_xx_night_in</f>
        <v>0</v>
      </c>
      <c r="E29" s="107">
        <f t="shared" si="16"/>
        <v>0</v>
      </c>
      <c r="F29" s="107">
        <f t="shared" si="16"/>
        <v>0</v>
      </c>
      <c r="G29" s="107">
        <f t="shared" si="16"/>
        <v>0</v>
      </c>
      <c r="H29" s="107">
        <f t="shared" si="16"/>
        <v>0</v>
      </c>
      <c r="I29" s="107">
        <f t="shared" si="16"/>
        <v>0</v>
      </c>
      <c r="J29" s="107">
        <f t="shared" si="16"/>
        <v>0</v>
      </c>
      <c r="K29" s="107">
        <f t="shared" si="16"/>
        <v>0</v>
      </c>
      <c r="L29" s="107">
        <f t="shared" si="16"/>
        <v>0</v>
      </c>
      <c r="M29" s="107">
        <f t="shared" si="16"/>
        <v>0</v>
      </c>
      <c r="N29" s="107">
        <f t="shared" si="16"/>
        <v>0</v>
      </c>
      <c r="O29" s="107">
        <f t="shared" si="16"/>
        <v>0</v>
      </c>
      <c r="P29" s="107">
        <f t="shared" si="16"/>
        <v>0</v>
      </c>
      <c r="Q29" s="107">
        <f t="shared" si="16"/>
        <v>0</v>
      </c>
      <c r="R29" s="6" t="s">
        <v>235</v>
      </c>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3"/>
    </row>
    <row r="30" spans="1:96" ht="15" customHeight="1" outlineLevel="1">
      <c r="A30" s="97"/>
      <c r="B30" s="104" t="s">
        <v>83</v>
      </c>
      <c r="C30" s="54"/>
      <c r="D30" s="107">
        <f t="shared" ref="D30:Q30" si="17">Opening_without_51_54_with_xx_night_in</f>
        <v>0</v>
      </c>
      <c r="E30" s="107">
        <f t="shared" si="17"/>
        <v>0</v>
      </c>
      <c r="F30" s="107">
        <f t="shared" si="17"/>
        <v>0</v>
      </c>
      <c r="G30" s="107">
        <f t="shared" si="17"/>
        <v>0</v>
      </c>
      <c r="H30" s="107">
        <f t="shared" si="17"/>
        <v>0</v>
      </c>
      <c r="I30" s="107">
        <f t="shared" si="17"/>
        <v>0</v>
      </c>
      <c r="J30" s="107">
        <f t="shared" si="17"/>
        <v>0</v>
      </c>
      <c r="K30" s="107">
        <f t="shared" si="17"/>
        <v>0</v>
      </c>
      <c r="L30" s="107">
        <f t="shared" si="17"/>
        <v>0</v>
      </c>
      <c r="M30" s="107">
        <f t="shared" si="17"/>
        <v>0</v>
      </c>
      <c r="N30" s="107">
        <f t="shared" si="17"/>
        <v>0</v>
      </c>
      <c r="O30" s="107">
        <f t="shared" si="17"/>
        <v>0</v>
      </c>
      <c r="P30" s="107">
        <f t="shared" si="17"/>
        <v>0</v>
      </c>
      <c r="Q30" s="107">
        <f t="shared" si="17"/>
        <v>0</v>
      </c>
      <c r="R30" s="6" t="s">
        <v>236</v>
      </c>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3"/>
    </row>
    <row r="31" spans="1:96" ht="15" customHeight="1" outlineLevel="1">
      <c r="A31" s="97"/>
      <c r="B31" s="104" t="s">
        <v>84</v>
      </c>
      <c r="C31" s="54"/>
      <c r="D31" s="107">
        <f t="shared" ref="D31:Q31" si="18">Opening_without_54_57_with_xx_night_in</f>
        <v>0</v>
      </c>
      <c r="E31" s="107">
        <f t="shared" si="18"/>
        <v>0</v>
      </c>
      <c r="F31" s="107">
        <f t="shared" si="18"/>
        <v>0</v>
      </c>
      <c r="G31" s="107">
        <f t="shared" si="18"/>
        <v>0</v>
      </c>
      <c r="H31" s="107">
        <f t="shared" si="18"/>
        <v>0</v>
      </c>
      <c r="I31" s="107">
        <f t="shared" si="18"/>
        <v>0</v>
      </c>
      <c r="J31" s="107">
        <f t="shared" si="18"/>
        <v>0</v>
      </c>
      <c r="K31" s="107">
        <f t="shared" si="18"/>
        <v>0</v>
      </c>
      <c r="L31" s="107">
        <f t="shared" si="18"/>
        <v>0</v>
      </c>
      <c r="M31" s="107">
        <f t="shared" si="18"/>
        <v>0</v>
      </c>
      <c r="N31" s="107">
        <f t="shared" si="18"/>
        <v>0</v>
      </c>
      <c r="O31" s="107">
        <f t="shared" si="18"/>
        <v>0</v>
      </c>
      <c r="P31" s="107">
        <f t="shared" si="18"/>
        <v>0</v>
      </c>
      <c r="Q31" s="107">
        <f t="shared" si="18"/>
        <v>0</v>
      </c>
      <c r="R31" s="6" t="s">
        <v>237</v>
      </c>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3"/>
    </row>
    <row r="32" spans="1:96" ht="15" customHeight="1" outlineLevel="1">
      <c r="A32" s="97"/>
      <c r="B32" s="104" t="s">
        <v>85</v>
      </c>
      <c r="C32" s="54"/>
      <c r="D32" s="107">
        <f t="shared" ref="D32:Q32" si="19">Opening_without_57_60_with_xx_night_in</f>
        <v>0</v>
      </c>
      <c r="E32" s="107">
        <f t="shared" si="19"/>
        <v>0</v>
      </c>
      <c r="F32" s="107">
        <f t="shared" si="19"/>
        <v>0</v>
      </c>
      <c r="G32" s="107">
        <f t="shared" si="19"/>
        <v>0</v>
      </c>
      <c r="H32" s="107">
        <f t="shared" si="19"/>
        <v>0</v>
      </c>
      <c r="I32" s="107">
        <f t="shared" si="19"/>
        <v>0</v>
      </c>
      <c r="J32" s="107">
        <f t="shared" si="19"/>
        <v>0</v>
      </c>
      <c r="K32" s="107">
        <f t="shared" si="19"/>
        <v>0</v>
      </c>
      <c r="L32" s="107">
        <f t="shared" si="19"/>
        <v>0</v>
      </c>
      <c r="M32" s="107">
        <f t="shared" si="19"/>
        <v>0</v>
      </c>
      <c r="N32" s="107">
        <f t="shared" si="19"/>
        <v>0</v>
      </c>
      <c r="O32" s="107">
        <f t="shared" si="19"/>
        <v>0</v>
      </c>
      <c r="P32" s="107">
        <f t="shared" si="19"/>
        <v>0</v>
      </c>
      <c r="Q32" s="107">
        <f t="shared" si="19"/>
        <v>0</v>
      </c>
      <c r="R32" s="6" t="s">
        <v>238</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3"/>
    </row>
    <row r="33" spans="1:96" ht="15" customHeight="1" outlineLevel="1">
      <c r="A33" s="97"/>
      <c r="B33" s="104" t="s">
        <v>86</v>
      </c>
      <c r="C33" s="54"/>
      <c r="D33" s="107">
        <f t="shared" ref="D33:Q33" si="20">Opening_without_60_63_with_xx_night_in</f>
        <v>0</v>
      </c>
      <c r="E33" s="107">
        <f t="shared" si="20"/>
        <v>0</v>
      </c>
      <c r="F33" s="107">
        <f t="shared" si="20"/>
        <v>0</v>
      </c>
      <c r="G33" s="107">
        <f t="shared" si="20"/>
        <v>0</v>
      </c>
      <c r="H33" s="107">
        <f t="shared" si="20"/>
        <v>0</v>
      </c>
      <c r="I33" s="107">
        <f t="shared" si="20"/>
        <v>0</v>
      </c>
      <c r="J33" s="107">
        <f t="shared" si="20"/>
        <v>0</v>
      </c>
      <c r="K33" s="107">
        <f t="shared" si="20"/>
        <v>0</v>
      </c>
      <c r="L33" s="107">
        <f t="shared" si="20"/>
        <v>0</v>
      </c>
      <c r="M33" s="107">
        <f t="shared" si="20"/>
        <v>0</v>
      </c>
      <c r="N33" s="107">
        <f t="shared" si="20"/>
        <v>0</v>
      </c>
      <c r="O33" s="107">
        <f t="shared" si="20"/>
        <v>0</v>
      </c>
      <c r="P33" s="107">
        <f t="shared" si="20"/>
        <v>0</v>
      </c>
      <c r="Q33" s="107">
        <f t="shared" si="20"/>
        <v>0</v>
      </c>
      <c r="R33" s="6" t="s">
        <v>239</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3"/>
    </row>
    <row r="34" spans="1:96" ht="15" customHeight="1" outlineLevel="1">
      <c r="A34" s="97"/>
      <c r="B34" s="104" t="s">
        <v>87</v>
      </c>
      <c r="C34" s="54"/>
      <c r="D34" s="107">
        <f t="shared" ref="D34:Q34" si="21">Opening_without_63_66_with_xx_night_in</f>
        <v>0</v>
      </c>
      <c r="E34" s="107">
        <f t="shared" si="21"/>
        <v>0</v>
      </c>
      <c r="F34" s="107">
        <f t="shared" si="21"/>
        <v>0</v>
      </c>
      <c r="G34" s="107">
        <f t="shared" si="21"/>
        <v>0</v>
      </c>
      <c r="H34" s="107">
        <f t="shared" si="21"/>
        <v>0</v>
      </c>
      <c r="I34" s="107">
        <f t="shared" si="21"/>
        <v>0</v>
      </c>
      <c r="J34" s="107">
        <f t="shared" si="21"/>
        <v>0</v>
      </c>
      <c r="K34" s="107">
        <f t="shared" si="21"/>
        <v>0</v>
      </c>
      <c r="L34" s="107">
        <f t="shared" si="21"/>
        <v>0</v>
      </c>
      <c r="M34" s="107">
        <f t="shared" si="21"/>
        <v>0</v>
      </c>
      <c r="N34" s="107">
        <f t="shared" si="21"/>
        <v>0</v>
      </c>
      <c r="O34" s="107">
        <f t="shared" si="21"/>
        <v>0</v>
      </c>
      <c r="P34" s="107">
        <f t="shared" si="21"/>
        <v>0</v>
      </c>
      <c r="Q34" s="107">
        <f t="shared" si="21"/>
        <v>0</v>
      </c>
      <c r="R34" s="6" t="s">
        <v>240</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3"/>
    </row>
    <row r="35" spans="1:96" ht="15" customHeight="1" outlineLevel="1">
      <c r="A35" s="97"/>
      <c r="B35" s="104" t="s">
        <v>88</v>
      </c>
      <c r="C35" s="54"/>
      <c r="D35" s="107">
        <f t="shared" ref="D35:Q35" si="22">Opening_without_66_69_with_xx_night_in</f>
        <v>0</v>
      </c>
      <c r="E35" s="107">
        <f t="shared" si="22"/>
        <v>0</v>
      </c>
      <c r="F35" s="107">
        <f t="shared" si="22"/>
        <v>0</v>
      </c>
      <c r="G35" s="107">
        <f t="shared" si="22"/>
        <v>0</v>
      </c>
      <c r="H35" s="107">
        <f t="shared" si="22"/>
        <v>0</v>
      </c>
      <c r="I35" s="107">
        <f t="shared" si="22"/>
        <v>0</v>
      </c>
      <c r="J35" s="107">
        <f t="shared" si="22"/>
        <v>0</v>
      </c>
      <c r="K35" s="107">
        <f t="shared" si="22"/>
        <v>0</v>
      </c>
      <c r="L35" s="107">
        <f t="shared" si="22"/>
        <v>0</v>
      </c>
      <c r="M35" s="107">
        <f t="shared" si="22"/>
        <v>0</v>
      </c>
      <c r="N35" s="107">
        <f t="shared" si="22"/>
        <v>0</v>
      </c>
      <c r="O35" s="107">
        <f t="shared" si="22"/>
        <v>0</v>
      </c>
      <c r="P35" s="107">
        <f t="shared" si="22"/>
        <v>0</v>
      </c>
      <c r="Q35" s="107">
        <f t="shared" si="22"/>
        <v>0</v>
      </c>
      <c r="R35" s="6" t="s">
        <v>241</v>
      </c>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3"/>
    </row>
    <row r="36" spans="1:96" ht="15" customHeight="1" outlineLevel="1">
      <c r="A36" s="97"/>
      <c r="B36" s="104" t="s">
        <v>89</v>
      </c>
      <c r="C36" s="54"/>
      <c r="D36" s="107">
        <f t="shared" ref="D36:Q36" si="23">Opening_without_69_72_with_xx_night_in</f>
        <v>0</v>
      </c>
      <c r="E36" s="107">
        <f t="shared" si="23"/>
        <v>0</v>
      </c>
      <c r="F36" s="107">
        <f t="shared" si="23"/>
        <v>0</v>
      </c>
      <c r="G36" s="107">
        <f t="shared" si="23"/>
        <v>0</v>
      </c>
      <c r="H36" s="107">
        <f t="shared" si="23"/>
        <v>0</v>
      </c>
      <c r="I36" s="107">
        <f t="shared" si="23"/>
        <v>0</v>
      </c>
      <c r="J36" s="107">
        <f t="shared" si="23"/>
        <v>0</v>
      </c>
      <c r="K36" s="107">
        <f t="shared" si="23"/>
        <v>0</v>
      </c>
      <c r="L36" s="107">
        <f t="shared" si="23"/>
        <v>0</v>
      </c>
      <c r="M36" s="107">
        <f t="shared" si="23"/>
        <v>0</v>
      </c>
      <c r="N36" s="107">
        <f t="shared" si="23"/>
        <v>0</v>
      </c>
      <c r="O36" s="107">
        <f t="shared" si="23"/>
        <v>0</v>
      </c>
      <c r="P36" s="107">
        <f t="shared" si="23"/>
        <v>0</v>
      </c>
      <c r="Q36" s="107">
        <f t="shared" si="23"/>
        <v>0</v>
      </c>
      <c r="R36" s="6" t="s">
        <v>242</v>
      </c>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3"/>
    </row>
    <row r="37" spans="1:96" ht="15" customHeight="1" outlineLevel="1">
      <c r="A37" s="97"/>
      <c r="B37" s="104" t="s">
        <v>90</v>
      </c>
      <c r="C37" s="54"/>
      <c r="D37" s="107">
        <f t="shared" ref="D37:Q37" si="24">Opening_without_72_75_with_xx_night_in</f>
        <v>0</v>
      </c>
      <c r="E37" s="107">
        <f t="shared" si="24"/>
        <v>0</v>
      </c>
      <c r="F37" s="107">
        <f t="shared" si="24"/>
        <v>0</v>
      </c>
      <c r="G37" s="107">
        <f t="shared" si="24"/>
        <v>0</v>
      </c>
      <c r="H37" s="107">
        <f t="shared" si="24"/>
        <v>0</v>
      </c>
      <c r="I37" s="107">
        <f t="shared" si="24"/>
        <v>0</v>
      </c>
      <c r="J37" s="107">
        <f t="shared" si="24"/>
        <v>0</v>
      </c>
      <c r="K37" s="107">
        <f t="shared" si="24"/>
        <v>0</v>
      </c>
      <c r="L37" s="107">
        <f t="shared" si="24"/>
        <v>0</v>
      </c>
      <c r="M37" s="107">
        <f t="shared" si="24"/>
        <v>0</v>
      </c>
      <c r="N37" s="107">
        <f t="shared" si="24"/>
        <v>0</v>
      </c>
      <c r="O37" s="107">
        <f t="shared" si="24"/>
        <v>0</v>
      </c>
      <c r="P37" s="107">
        <f t="shared" si="24"/>
        <v>0</v>
      </c>
      <c r="Q37" s="107">
        <f t="shared" si="24"/>
        <v>0</v>
      </c>
      <c r="R37" s="6" t="s">
        <v>243</v>
      </c>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3"/>
    </row>
    <row r="38" spans="1:96" ht="15" customHeight="1" outlineLevel="1">
      <c r="A38" s="97"/>
      <c r="B38" s="104" t="s">
        <v>91</v>
      </c>
      <c r="C38" s="54"/>
      <c r="D38" s="107">
        <f t="shared" ref="D38:Q38" si="25">Opening_without_75_78_with_xx_night_in</f>
        <v>0</v>
      </c>
      <c r="E38" s="107">
        <f t="shared" si="25"/>
        <v>0</v>
      </c>
      <c r="F38" s="107">
        <f t="shared" si="25"/>
        <v>0</v>
      </c>
      <c r="G38" s="107">
        <f t="shared" si="25"/>
        <v>0</v>
      </c>
      <c r="H38" s="107">
        <f t="shared" si="25"/>
        <v>0</v>
      </c>
      <c r="I38" s="107">
        <f t="shared" si="25"/>
        <v>0</v>
      </c>
      <c r="J38" s="107">
        <f t="shared" si="25"/>
        <v>0</v>
      </c>
      <c r="K38" s="107">
        <f t="shared" si="25"/>
        <v>0</v>
      </c>
      <c r="L38" s="107">
        <f t="shared" si="25"/>
        <v>0</v>
      </c>
      <c r="M38" s="107">
        <f t="shared" si="25"/>
        <v>0</v>
      </c>
      <c r="N38" s="107">
        <f t="shared" si="25"/>
        <v>0</v>
      </c>
      <c r="O38" s="107">
        <f t="shared" si="25"/>
        <v>0</v>
      </c>
      <c r="P38" s="107">
        <f t="shared" si="25"/>
        <v>0</v>
      </c>
      <c r="Q38" s="107">
        <f t="shared" si="25"/>
        <v>0</v>
      </c>
      <c r="R38" s="6" t="s">
        <v>244</v>
      </c>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3"/>
    </row>
    <row r="39" spans="1:96" ht="15" customHeight="1" outlineLevel="1">
      <c r="A39" s="97"/>
      <c r="B39" s="104" t="s">
        <v>92</v>
      </c>
      <c r="C39" s="54"/>
      <c r="D39" s="107">
        <f t="shared" ref="D39:Q39" si="26">Opening_without_78_81_with_xx_night_in</f>
        <v>0</v>
      </c>
      <c r="E39" s="107">
        <f t="shared" si="26"/>
        <v>0</v>
      </c>
      <c r="F39" s="107">
        <f t="shared" si="26"/>
        <v>0</v>
      </c>
      <c r="G39" s="107">
        <f t="shared" si="26"/>
        <v>0</v>
      </c>
      <c r="H39" s="107">
        <f t="shared" si="26"/>
        <v>0</v>
      </c>
      <c r="I39" s="107">
        <f t="shared" si="26"/>
        <v>0</v>
      </c>
      <c r="J39" s="107">
        <f t="shared" si="26"/>
        <v>0</v>
      </c>
      <c r="K39" s="107">
        <f t="shared" si="26"/>
        <v>0</v>
      </c>
      <c r="L39" s="107">
        <f t="shared" si="26"/>
        <v>0</v>
      </c>
      <c r="M39" s="107">
        <f t="shared" si="26"/>
        <v>0</v>
      </c>
      <c r="N39" s="107">
        <f t="shared" si="26"/>
        <v>0</v>
      </c>
      <c r="O39" s="107">
        <f t="shared" si="26"/>
        <v>0</v>
      </c>
      <c r="P39" s="107">
        <f t="shared" si="26"/>
        <v>0</v>
      </c>
      <c r="Q39" s="107">
        <f t="shared" si="26"/>
        <v>0</v>
      </c>
      <c r="R39" s="6" t="s">
        <v>245</v>
      </c>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3"/>
    </row>
    <row r="40" spans="1:96" ht="15" customHeight="1" outlineLevel="1">
      <c r="A40" s="97"/>
      <c r="B40" s="104" t="s">
        <v>93</v>
      </c>
      <c r="C40" s="54"/>
      <c r="D40" s="107">
        <f t="shared" ref="D40:Q40" si="27">Opening_without_81_with_xx_night_in</f>
        <v>0</v>
      </c>
      <c r="E40" s="107">
        <f t="shared" si="27"/>
        <v>0</v>
      </c>
      <c r="F40" s="107">
        <f t="shared" si="27"/>
        <v>0</v>
      </c>
      <c r="G40" s="107">
        <f t="shared" si="27"/>
        <v>0</v>
      </c>
      <c r="H40" s="107">
        <f t="shared" si="27"/>
        <v>0</v>
      </c>
      <c r="I40" s="107">
        <f t="shared" si="27"/>
        <v>0</v>
      </c>
      <c r="J40" s="107">
        <f t="shared" si="27"/>
        <v>0</v>
      </c>
      <c r="K40" s="107">
        <f t="shared" si="27"/>
        <v>0</v>
      </c>
      <c r="L40" s="107">
        <f t="shared" si="27"/>
        <v>0</v>
      </c>
      <c r="M40" s="107">
        <f t="shared" si="27"/>
        <v>0</v>
      </c>
      <c r="N40" s="107">
        <f t="shared" si="27"/>
        <v>0</v>
      </c>
      <c r="O40" s="107">
        <f t="shared" si="27"/>
        <v>0</v>
      </c>
      <c r="P40" s="107">
        <f t="shared" si="27"/>
        <v>0</v>
      </c>
      <c r="Q40" s="107">
        <f t="shared" si="27"/>
        <v>0</v>
      </c>
      <c r="R40" s="6" t="s">
        <v>246</v>
      </c>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3"/>
    </row>
    <row r="41" spans="1:96" ht="15" customHeight="1" outlineLevel="1">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3"/>
    </row>
    <row r="42" spans="1:96" s="5" customFormat="1" ht="15.6" outlineLevel="1">
      <c r="B42" s="5" t="s">
        <v>124</v>
      </c>
    </row>
    <row r="43" spans="1:96" ht="15" customHeight="1" outlineLevel="1">
      <c r="A43" s="97"/>
      <c r="B43" s="97"/>
      <c r="C43" s="97"/>
      <c r="D43" s="97"/>
      <c r="E43" s="3"/>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3"/>
    </row>
    <row r="44" spans="1:96" ht="15" customHeight="1" outlineLevel="1">
      <c r="A44" s="97"/>
      <c r="B44" s="104" t="s">
        <v>78</v>
      </c>
      <c r="C44" s="60" t="s">
        <v>79</v>
      </c>
      <c r="D44" s="61" t="s">
        <v>80</v>
      </c>
      <c r="E44" s="104" t="s">
        <v>81</v>
      </c>
      <c r="F44" s="104" t="s">
        <v>82</v>
      </c>
      <c r="G44" s="104" t="s">
        <v>83</v>
      </c>
      <c r="H44" s="104" t="s">
        <v>84</v>
      </c>
      <c r="I44" s="104" t="s">
        <v>85</v>
      </c>
      <c r="J44" s="104" t="s">
        <v>86</v>
      </c>
      <c r="K44" s="104" t="s">
        <v>87</v>
      </c>
      <c r="L44" s="104" t="s">
        <v>88</v>
      </c>
      <c r="M44" s="104" t="s">
        <v>89</v>
      </c>
      <c r="N44" s="104" t="s">
        <v>90</v>
      </c>
      <c r="O44" s="104" t="s">
        <v>91</v>
      </c>
      <c r="P44" s="104" t="s">
        <v>92</v>
      </c>
      <c r="Q44" s="104" t="s">
        <v>93</v>
      </c>
      <c r="R44" s="23"/>
      <c r="S44" s="97"/>
      <c r="T44" s="97"/>
      <c r="U44" s="97"/>
      <c r="V44" s="97" t="s">
        <v>247</v>
      </c>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3"/>
    </row>
    <row r="45" spans="1:96" ht="15" customHeight="1" outlineLevel="1">
      <c r="A45" s="97"/>
      <c r="B45" s="60" t="s">
        <v>94</v>
      </c>
      <c r="C45" s="54"/>
      <c r="D45" s="105"/>
      <c r="E45" s="105"/>
      <c r="F45" s="105"/>
      <c r="G45" s="105"/>
      <c r="H45" s="105"/>
      <c r="I45" s="105"/>
      <c r="J45" s="105"/>
      <c r="K45" s="105"/>
      <c r="L45" s="105"/>
      <c r="M45" s="105"/>
      <c r="N45" s="105"/>
      <c r="O45" s="105"/>
      <c r="P45" s="105"/>
      <c r="Q45" s="106"/>
      <c r="R45" s="23"/>
      <c r="S45" s="97"/>
      <c r="T45" s="97"/>
      <c r="U45" s="97"/>
      <c r="V45" s="22" t="s">
        <v>248</v>
      </c>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3"/>
    </row>
    <row r="46" spans="1:96" ht="15" customHeight="1" outlineLevel="1">
      <c r="A46" s="97"/>
      <c r="B46" s="61" t="s">
        <v>80</v>
      </c>
      <c r="C46" s="54"/>
      <c r="D46" s="121">
        <f>Forecast_without_45_with_xx_in</f>
        <v>0</v>
      </c>
      <c r="E46" s="121">
        <f t="shared" ref="E46:Q46" si="28">Forecast_without_45_with_xx_in</f>
        <v>0</v>
      </c>
      <c r="F46" s="121">
        <f t="shared" si="28"/>
        <v>0</v>
      </c>
      <c r="G46" s="121">
        <f t="shared" si="28"/>
        <v>0</v>
      </c>
      <c r="H46" s="121">
        <f t="shared" si="28"/>
        <v>0</v>
      </c>
      <c r="I46" s="121">
        <f t="shared" si="28"/>
        <v>0</v>
      </c>
      <c r="J46" s="121">
        <f t="shared" si="28"/>
        <v>0</v>
      </c>
      <c r="K46" s="121">
        <f t="shared" si="28"/>
        <v>0</v>
      </c>
      <c r="L46" s="121">
        <f t="shared" si="28"/>
        <v>0</v>
      </c>
      <c r="M46" s="121">
        <f t="shared" si="28"/>
        <v>0</v>
      </c>
      <c r="N46" s="121">
        <f t="shared" si="28"/>
        <v>0</v>
      </c>
      <c r="O46" s="121">
        <f t="shared" si="28"/>
        <v>0</v>
      </c>
      <c r="P46" s="121">
        <f t="shared" si="28"/>
        <v>0</v>
      </c>
      <c r="Q46" s="121">
        <f t="shared" si="28"/>
        <v>0</v>
      </c>
      <c r="R46" s="22" t="s">
        <v>249</v>
      </c>
      <c r="S46" s="97"/>
      <c r="T46" s="97"/>
      <c r="U46" s="97"/>
      <c r="V46" s="97">
        <f>SUM(E46:Q46)</f>
        <v>0</v>
      </c>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3"/>
    </row>
    <row r="47" spans="1:96" ht="15" customHeight="1" outlineLevel="1">
      <c r="A47" s="97"/>
      <c r="B47" s="104" t="s">
        <v>81</v>
      </c>
      <c r="C47" s="54"/>
      <c r="D47" s="121">
        <f t="shared" ref="D47:Q47" si="29">Forecast_without_45_48_with_xx_in</f>
        <v>0</v>
      </c>
      <c r="E47" s="121">
        <f t="shared" si="29"/>
        <v>0</v>
      </c>
      <c r="F47" s="121">
        <f t="shared" si="29"/>
        <v>0</v>
      </c>
      <c r="G47" s="121">
        <f t="shared" si="29"/>
        <v>0</v>
      </c>
      <c r="H47" s="121">
        <f t="shared" si="29"/>
        <v>0</v>
      </c>
      <c r="I47" s="121">
        <f t="shared" si="29"/>
        <v>0</v>
      </c>
      <c r="J47" s="121">
        <f t="shared" si="29"/>
        <v>0</v>
      </c>
      <c r="K47" s="121">
        <f t="shared" si="29"/>
        <v>0</v>
      </c>
      <c r="L47" s="121">
        <f t="shared" si="29"/>
        <v>0</v>
      </c>
      <c r="M47" s="121">
        <f t="shared" si="29"/>
        <v>0</v>
      </c>
      <c r="N47" s="121">
        <f t="shared" si="29"/>
        <v>0</v>
      </c>
      <c r="O47" s="121">
        <f t="shared" si="29"/>
        <v>0</v>
      </c>
      <c r="P47" s="121">
        <f t="shared" si="29"/>
        <v>0</v>
      </c>
      <c r="Q47" s="121">
        <f t="shared" si="29"/>
        <v>0</v>
      </c>
      <c r="R47" s="22" t="s">
        <v>250</v>
      </c>
      <c r="S47" s="97"/>
      <c r="T47" s="97"/>
      <c r="U47" s="97"/>
      <c r="V47" s="97">
        <f>SUM(F47:Q47)</f>
        <v>0</v>
      </c>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3"/>
    </row>
    <row r="48" spans="1:96" ht="15" customHeight="1" outlineLevel="1">
      <c r="A48" s="97"/>
      <c r="B48" s="104" t="s">
        <v>82</v>
      </c>
      <c r="C48" s="54"/>
      <c r="D48" s="121">
        <f t="shared" ref="D48:Q48" si="30">Forecast_without_48_51_with_xx_in</f>
        <v>0</v>
      </c>
      <c r="E48" s="121">
        <f t="shared" si="30"/>
        <v>0</v>
      </c>
      <c r="F48" s="121">
        <f t="shared" si="30"/>
        <v>0</v>
      </c>
      <c r="G48" s="121">
        <f t="shared" si="30"/>
        <v>0</v>
      </c>
      <c r="H48" s="121">
        <f t="shared" si="30"/>
        <v>0</v>
      </c>
      <c r="I48" s="121">
        <f t="shared" si="30"/>
        <v>0</v>
      </c>
      <c r="J48" s="121">
        <f t="shared" si="30"/>
        <v>0</v>
      </c>
      <c r="K48" s="121">
        <f t="shared" si="30"/>
        <v>0</v>
      </c>
      <c r="L48" s="121">
        <f t="shared" si="30"/>
        <v>0</v>
      </c>
      <c r="M48" s="121">
        <f t="shared" si="30"/>
        <v>0</v>
      </c>
      <c r="N48" s="121">
        <f t="shared" si="30"/>
        <v>0</v>
      </c>
      <c r="O48" s="121">
        <f t="shared" si="30"/>
        <v>0</v>
      </c>
      <c r="P48" s="121">
        <f t="shared" si="30"/>
        <v>0</v>
      </c>
      <c r="Q48" s="121">
        <f t="shared" si="30"/>
        <v>0</v>
      </c>
      <c r="R48" s="22" t="s">
        <v>251</v>
      </c>
      <c r="S48" s="97"/>
      <c r="T48" s="97"/>
      <c r="U48" s="97"/>
      <c r="V48" s="97">
        <f>SUM(G48:Q48)</f>
        <v>0</v>
      </c>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3"/>
    </row>
    <row r="49" spans="1:96" ht="15" customHeight="1" outlineLevel="1">
      <c r="A49" s="97"/>
      <c r="B49" s="104" t="s">
        <v>83</v>
      </c>
      <c r="C49" s="54"/>
      <c r="D49" s="121">
        <f t="shared" ref="D49:Q49" si="31">Forecast_without_51_54_with_xx_in</f>
        <v>0</v>
      </c>
      <c r="E49" s="121">
        <f t="shared" si="31"/>
        <v>0</v>
      </c>
      <c r="F49" s="121">
        <f t="shared" si="31"/>
        <v>0</v>
      </c>
      <c r="G49" s="121">
        <f t="shared" si="31"/>
        <v>0</v>
      </c>
      <c r="H49" s="121">
        <f t="shared" si="31"/>
        <v>0</v>
      </c>
      <c r="I49" s="121">
        <f t="shared" si="31"/>
        <v>0</v>
      </c>
      <c r="J49" s="121">
        <f t="shared" si="31"/>
        <v>0</v>
      </c>
      <c r="K49" s="121">
        <f t="shared" si="31"/>
        <v>0</v>
      </c>
      <c r="L49" s="121">
        <f t="shared" si="31"/>
        <v>0</v>
      </c>
      <c r="M49" s="121">
        <f t="shared" si="31"/>
        <v>0</v>
      </c>
      <c r="N49" s="121">
        <f t="shared" si="31"/>
        <v>0</v>
      </c>
      <c r="O49" s="121">
        <f t="shared" si="31"/>
        <v>0</v>
      </c>
      <c r="P49" s="121">
        <f t="shared" si="31"/>
        <v>0</v>
      </c>
      <c r="Q49" s="121">
        <f t="shared" si="31"/>
        <v>0</v>
      </c>
      <c r="R49" s="22" t="s">
        <v>252</v>
      </c>
      <c r="S49" s="97"/>
      <c r="T49" s="97"/>
      <c r="U49" s="97"/>
      <c r="V49" s="97">
        <f>SUM(H49:Q49)</f>
        <v>0</v>
      </c>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3"/>
    </row>
    <row r="50" spans="1:96" ht="15" customHeight="1" outlineLevel="1">
      <c r="A50" s="97"/>
      <c r="B50" s="104" t="s">
        <v>84</v>
      </c>
      <c r="C50" s="54"/>
      <c r="D50" s="121">
        <f t="shared" ref="D50:Q50" si="32">Forecast_without_54_57_with_xx_in</f>
        <v>0</v>
      </c>
      <c r="E50" s="121">
        <f t="shared" si="32"/>
        <v>0</v>
      </c>
      <c r="F50" s="121">
        <f t="shared" si="32"/>
        <v>0</v>
      </c>
      <c r="G50" s="121">
        <f t="shared" si="32"/>
        <v>0</v>
      </c>
      <c r="H50" s="121">
        <f t="shared" si="32"/>
        <v>0</v>
      </c>
      <c r="I50" s="121">
        <f t="shared" si="32"/>
        <v>0</v>
      </c>
      <c r="J50" s="121">
        <f t="shared" si="32"/>
        <v>0</v>
      </c>
      <c r="K50" s="121">
        <f t="shared" si="32"/>
        <v>0</v>
      </c>
      <c r="L50" s="121">
        <f t="shared" si="32"/>
        <v>0</v>
      </c>
      <c r="M50" s="121">
        <f t="shared" si="32"/>
        <v>0</v>
      </c>
      <c r="N50" s="121">
        <f t="shared" si="32"/>
        <v>0</v>
      </c>
      <c r="O50" s="121">
        <f t="shared" si="32"/>
        <v>0</v>
      </c>
      <c r="P50" s="121">
        <f t="shared" si="32"/>
        <v>0</v>
      </c>
      <c r="Q50" s="121">
        <f t="shared" si="32"/>
        <v>0</v>
      </c>
      <c r="R50" s="22" t="s">
        <v>253</v>
      </c>
      <c r="S50" s="97"/>
      <c r="T50" s="97"/>
      <c r="U50" s="97"/>
      <c r="V50" s="97">
        <f>SUM(I50:Q50)</f>
        <v>0</v>
      </c>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3"/>
    </row>
    <row r="51" spans="1:96" s="4" customFormat="1" ht="15" customHeight="1" outlineLevel="1">
      <c r="A51" s="62"/>
      <c r="B51" s="104" t="s">
        <v>85</v>
      </c>
      <c r="C51" s="54"/>
      <c r="D51" s="121">
        <f t="shared" ref="D51:Q51" si="33">Forecast_without_57_60_with_xx_in</f>
        <v>0</v>
      </c>
      <c r="E51" s="121">
        <f t="shared" si="33"/>
        <v>0</v>
      </c>
      <c r="F51" s="121">
        <f t="shared" si="33"/>
        <v>0</v>
      </c>
      <c r="G51" s="121">
        <f t="shared" si="33"/>
        <v>0</v>
      </c>
      <c r="H51" s="121">
        <f t="shared" si="33"/>
        <v>0</v>
      </c>
      <c r="I51" s="121">
        <f t="shared" si="33"/>
        <v>0</v>
      </c>
      <c r="J51" s="121">
        <f t="shared" si="33"/>
        <v>0</v>
      </c>
      <c r="K51" s="121">
        <f t="shared" si="33"/>
        <v>0</v>
      </c>
      <c r="L51" s="121">
        <f t="shared" si="33"/>
        <v>0</v>
      </c>
      <c r="M51" s="121">
        <f t="shared" si="33"/>
        <v>0</v>
      </c>
      <c r="N51" s="121">
        <f t="shared" si="33"/>
        <v>0</v>
      </c>
      <c r="O51" s="121">
        <f t="shared" si="33"/>
        <v>0</v>
      </c>
      <c r="P51" s="121">
        <f t="shared" si="33"/>
        <v>0</v>
      </c>
      <c r="Q51" s="121">
        <f t="shared" si="33"/>
        <v>0</v>
      </c>
      <c r="R51" s="22" t="s">
        <v>254</v>
      </c>
      <c r="S51" s="62"/>
      <c r="T51" s="62"/>
      <c r="U51" s="62"/>
      <c r="V51" s="97">
        <f>SUM(J51:Q51)</f>
        <v>0</v>
      </c>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row>
    <row r="52" spans="1:96" s="4" customFormat="1" ht="15" customHeight="1" outlineLevel="1">
      <c r="A52" s="63"/>
      <c r="B52" s="104" t="s">
        <v>86</v>
      </c>
      <c r="C52" s="54"/>
      <c r="D52" s="121">
        <f t="shared" ref="D52:Q52" si="34">Forecast_without_60_63_with_xx_in</f>
        <v>0</v>
      </c>
      <c r="E52" s="121">
        <f t="shared" si="34"/>
        <v>0</v>
      </c>
      <c r="F52" s="121">
        <f t="shared" si="34"/>
        <v>0</v>
      </c>
      <c r="G52" s="121">
        <f t="shared" si="34"/>
        <v>0</v>
      </c>
      <c r="H52" s="121">
        <f t="shared" si="34"/>
        <v>0</v>
      </c>
      <c r="I52" s="121">
        <f t="shared" si="34"/>
        <v>0</v>
      </c>
      <c r="J52" s="121">
        <f t="shared" si="34"/>
        <v>0</v>
      </c>
      <c r="K52" s="121">
        <f t="shared" si="34"/>
        <v>0</v>
      </c>
      <c r="L52" s="121">
        <f t="shared" si="34"/>
        <v>0</v>
      </c>
      <c r="M52" s="121">
        <f t="shared" si="34"/>
        <v>0</v>
      </c>
      <c r="N52" s="121">
        <f t="shared" si="34"/>
        <v>0</v>
      </c>
      <c r="O52" s="121">
        <f t="shared" si="34"/>
        <v>0</v>
      </c>
      <c r="P52" s="121">
        <f t="shared" si="34"/>
        <v>0</v>
      </c>
      <c r="Q52" s="121">
        <f t="shared" si="34"/>
        <v>0</v>
      </c>
      <c r="R52" s="22" t="s">
        <v>255</v>
      </c>
      <c r="S52" s="62"/>
      <c r="T52" s="62"/>
      <c r="U52" s="62"/>
      <c r="V52" s="97">
        <f>SUM(K52:Q52)</f>
        <v>0</v>
      </c>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row>
    <row r="53" spans="1:96" s="4" customFormat="1" ht="15" customHeight="1" outlineLevel="1">
      <c r="A53" s="64"/>
      <c r="B53" s="104" t="s">
        <v>87</v>
      </c>
      <c r="C53" s="54"/>
      <c r="D53" s="121">
        <f t="shared" ref="D53:Q53" si="35">Forecast_without_63_66_with_xx_in</f>
        <v>0</v>
      </c>
      <c r="E53" s="121">
        <f t="shared" si="35"/>
        <v>0</v>
      </c>
      <c r="F53" s="121">
        <f t="shared" si="35"/>
        <v>0</v>
      </c>
      <c r="G53" s="121">
        <f t="shared" si="35"/>
        <v>0</v>
      </c>
      <c r="H53" s="121">
        <f t="shared" si="35"/>
        <v>0</v>
      </c>
      <c r="I53" s="121">
        <f t="shared" si="35"/>
        <v>0</v>
      </c>
      <c r="J53" s="121">
        <f t="shared" si="35"/>
        <v>0</v>
      </c>
      <c r="K53" s="121">
        <f t="shared" si="35"/>
        <v>0</v>
      </c>
      <c r="L53" s="121">
        <f t="shared" si="35"/>
        <v>0</v>
      </c>
      <c r="M53" s="121">
        <f t="shared" si="35"/>
        <v>0</v>
      </c>
      <c r="N53" s="121">
        <f t="shared" si="35"/>
        <v>0</v>
      </c>
      <c r="O53" s="121">
        <f t="shared" si="35"/>
        <v>0</v>
      </c>
      <c r="P53" s="121">
        <f t="shared" si="35"/>
        <v>0</v>
      </c>
      <c r="Q53" s="121">
        <f t="shared" si="35"/>
        <v>0</v>
      </c>
      <c r="R53" s="22" t="s">
        <v>256</v>
      </c>
      <c r="S53" s="62"/>
      <c r="T53" s="62"/>
      <c r="U53" s="62"/>
      <c r="V53" s="97">
        <f>SUM(L53:Q53)</f>
        <v>0</v>
      </c>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row>
    <row r="54" spans="1:96" ht="15" customHeight="1" outlineLevel="1">
      <c r="A54" s="97"/>
      <c r="B54" s="104" t="s">
        <v>88</v>
      </c>
      <c r="C54" s="54"/>
      <c r="D54" s="121">
        <f t="shared" ref="D54:Q54" si="36">Forecast_without_66_69_with_xx_in</f>
        <v>0</v>
      </c>
      <c r="E54" s="121">
        <f t="shared" si="36"/>
        <v>0</v>
      </c>
      <c r="F54" s="121">
        <f t="shared" si="36"/>
        <v>0</v>
      </c>
      <c r="G54" s="121">
        <f t="shared" si="36"/>
        <v>0</v>
      </c>
      <c r="H54" s="121">
        <f t="shared" si="36"/>
        <v>0</v>
      </c>
      <c r="I54" s="121">
        <f t="shared" si="36"/>
        <v>0</v>
      </c>
      <c r="J54" s="121">
        <f t="shared" si="36"/>
        <v>0</v>
      </c>
      <c r="K54" s="121">
        <f t="shared" si="36"/>
        <v>0</v>
      </c>
      <c r="L54" s="121">
        <f t="shared" si="36"/>
        <v>0</v>
      </c>
      <c r="M54" s="121">
        <f t="shared" si="36"/>
        <v>0</v>
      </c>
      <c r="N54" s="121">
        <f t="shared" si="36"/>
        <v>0</v>
      </c>
      <c r="O54" s="121">
        <f t="shared" si="36"/>
        <v>0</v>
      </c>
      <c r="P54" s="121">
        <f t="shared" si="36"/>
        <v>0</v>
      </c>
      <c r="Q54" s="121">
        <f t="shared" si="36"/>
        <v>0</v>
      </c>
      <c r="R54" s="22" t="s">
        <v>257</v>
      </c>
      <c r="S54" s="97"/>
      <c r="T54" s="97"/>
      <c r="U54" s="97"/>
      <c r="V54" s="97">
        <f>SUM(M54:Q54)</f>
        <v>0</v>
      </c>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row>
    <row r="55" spans="1:96" ht="15" customHeight="1" outlineLevel="1">
      <c r="A55" s="97"/>
      <c r="B55" s="104" t="s">
        <v>89</v>
      </c>
      <c r="C55" s="54"/>
      <c r="D55" s="121">
        <f t="shared" ref="D55:Q55" si="37">Forecast_without_69_72_with_xx_in</f>
        <v>0</v>
      </c>
      <c r="E55" s="121">
        <f t="shared" si="37"/>
        <v>0</v>
      </c>
      <c r="F55" s="121">
        <f t="shared" si="37"/>
        <v>0</v>
      </c>
      <c r="G55" s="121">
        <f t="shared" si="37"/>
        <v>0</v>
      </c>
      <c r="H55" s="121">
        <f t="shared" si="37"/>
        <v>0</v>
      </c>
      <c r="I55" s="121">
        <f t="shared" si="37"/>
        <v>0</v>
      </c>
      <c r="J55" s="121">
        <f t="shared" si="37"/>
        <v>0</v>
      </c>
      <c r="K55" s="121">
        <f t="shared" si="37"/>
        <v>0</v>
      </c>
      <c r="L55" s="121">
        <f t="shared" si="37"/>
        <v>0</v>
      </c>
      <c r="M55" s="121">
        <f t="shared" si="37"/>
        <v>0</v>
      </c>
      <c r="N55" s="121">
        <f t="shared" si="37"/>
        <v>0</v>
      </c>
      <c r="O55" s="121">
        <f t="shared" si="37"/>
        <v>0</v>
      </c>
      <c r="P55" s="121">
        <f t="shared" si="37"/>
        <v>0</v>
      </c>
      <c r="Q55" s="121">
        <f t="shared" si="37"/>
        <v>0</v>
      </c>
      <c r="R55" s="22" t="s">
        <v>258</v>
      </c>
      <c r="S55" s="97"/>
      <c r="T55" s="97"/>
      <c r="U55" s="97"/>
      <c r="V55" s="97">
        <f>SUM(N55:Q55)</f>
        <v>0</v>
      </c>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row>
    <row r="56" spans="1:96" ht="15" customHeight="1" outlineLevel="1">
      <c r="A56" s="97"/>
      <c r="B56" s="104" t="s">
        <v>90</v>
      </c>
      <c r="C56" s="54"/>
      <c r="D56" s="121">
        <f t="shared" ref="D56:Q56" si="38">Forecast_without_72_75_with_xx_in</f>
        <v>0</v>
      </c>
      <c r="E56" s="121">
        <f t="shared" si="38"/>
        <v>0</v>
      </c>
      <c r="F56" s="121">
        <f t="shared" si="38"/>
        <v>0</v>
      </c>
      <c r="G56" s="121">
        <f t="shared" si="38"/>
        <v>0</v>
      </c>
      <c r="H56" s="121">
        <f t="shared" si="38"/>
        <v>0</v>
      </c>
      <c r="I56" s="121">
        <f t="shared" si="38"/>
        <v>0</v>
      </c>
      <c r="J56" s="121">
        <f t="shared" si="38"/>
        <v>0</v>
      </c>
      <c r="K56" s="121">
        <f t="shared" si="38"/>
        <v>0</v>
      </c>
      <c r="L56" s="121">
        <f t="shared" si="38"/>
        <v>0</v>
      </c>
      <c r="M56" s="121">
        <f t="shared" si="38"/>
        <v>0</v>
      </c>
      <c r="N56" s="121">
        <f t="shared" si="38"/>
        <v>0</v>
      </c>
      <c r="O56" s="121">
        <f t="shared" si="38"/>
        <v>0</v>
      </c>
      <c r="P56" s="121">
        <f t="shared" si="38"/>
        <v>0</v>
      </c>
      <c r="Q56" s="121">
        <f t="shared" si="38"/>
        <v>0</v>
      </c>
      <c r="R56" s="22" t="s">
        <v>259</v>
      </c>
      <c r="S56" s="97"/>
      <c r="T56" s="97"/>
      <c r="U56" s="97"/>
      <c r="V56" s="97">
        <f>SUM(O56:Q56)</f>
        <v>0</v>
      </c>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row>
    <row r="57" spans="1:96" ht="15" customHeight="1" outlineLevel="1">
      <c r="A57" s="97"/>
      <c r="B57" s="104" t="s">
        <v>91</v>
      </c>
      <c r="C57" s="54"/>
      <c r="D57" s="121">
        <f t="shared" ref="D57:Q57" si="39">Forecast_without_75_78_with_xx_in</f>
        <v>0</v>
      </c>
      <c r="E57" s="121">
        <f t="shared" si="39"/>
        <v>0</v>
      </c>
      <c r="F57" s="121">
        <f t="shared" si="39"/>
        <v>0</v>
      </c>
      <c r="G57" s="121">
        <f t="shared" si="39"/>
        <v>0</v>
      </c>
      <c r="H57" s="121">
        <f t="shared" si="39"/>
        <v>0</v>
      </c>
      <c r="I57" s="121">
        <f t="shared" si="39"/>
        <v>0</v>
      </c>
      <c r="J57" s="121">
        <f t="shared" si="39"/>
        <v>0</v>
      </c>
      <c r="K57" s="121">
        <f t="shared" si="39"/>
        <v>0</v>
      </c>
      <c r="L57" s="121">
        <f t="shared" si="39"/>
        <v>0</v>
      </c>
      <c r="M57" s="121">
        <f t="shared" si="39"/>
        <v>0</v>
      </c>
      <c r="N57" s="121">
        <f t="shared" si="39"/>
        <v>0</v>
      </c>
      <c r="O57" s="121">
        <f t="shared" si="39"/>
        <v>0</v>
      </c>
      <c r="P57" s="121">
        <f t="shared" si="39"/>
        <v>0</v>
      </c>
      <c r="Q57" s="121">
        <f t="shared" si="39"/>
        <v>0</v>
      </c>
      <c r="R57" s="22" t="s">
        <v>260</v>
      </c>
      <c r="S57" s="97"/>
      <c r="T57" s="97"/>
      <c r="U57" s="97"/>
      <c r="V57" s="97">
        <f>SUM(P57:Q57)</f>
        <v>0</v>
      </c>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row>
    <row r="58" spans="1:96" s="27" customFormat="1" ht="15" customHeight="1" outlineLevel="1">
      <c r="A58" s="7"/>
      <c r="B58" s="104" t="s">
        <v>92</v>
      </c>
      <c r="C58" s="54"/>
      <c r="D58" s="121">
        <f t="shared" ref="D58:Q58" si="40">Forecast_without_78_81_with_xx_in</f>
        <v>0</v>
      </c>
      <c r="E58" s="121">
        <f t="shared" si="40"/>
        <v>0</v>
      </c>
      <c r="F58" s="121">
        <f t="shared" si="40"/>
        <v>0</v>
      </c>
      <c r="G58" s="121">
        <f t="shared" si="40"/>
        <v>0</v>
      </c>
      <c r="H58" s="121">
        <f t="shared" si="40"/>
        <v>0</v>
      </c>
      <c r="I58" s="121">
        <f t="shared" si="40"/>
        <v>0</v>
      </c>
      <c r="J58" s="121">
        <f t="shared" si="40"/>
        <v>0</v>
      </c>
      <c r="K58" s="121">
        <f t="shared" si="40"/>
        <v>0</v>
      </c>
      <c r="L58" s="121">
        <f t="shared" si="40"/>
        <v>0</v>
      </c>
      <c r="M58" s="121">
        <f t="shared" si="40"/>
        <v>0</v>
      </c>
      <c r="N58" s="121">
        <f t="shared" si="40"/>
        <v>0</v>
      </c>
      <c r="O58" s="121">
        <f t="shared" si="40"/>
        <v>0</v>
      </c>
      <c r="P58" s="121">
        <f t="shared" si="40"/>
        <v>0</v>
      </c>
      <c r="Q58" s="121">
        <f t="shared" si="40"/>
        <v>0</v>
      </c>
      <c r="R58" s="22" t="s">
        <v>261</v>
      </c>
      <c r="S58" s="7"/>
      <c r="T58" s="7"/>
      <c r="U58" s="7"/>
      <c r="V58" s="97">
        <f>SUM(Q58)</f>
        <v>0</v>
      </c>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row>
    <row r="59" spans="1:96" s="7" customFormat="1" ht="15" customHeight="1" outlineLevel="1">
      <c r="B59" s="104" t="s">
        <v>93</v>
      </c>
      <c r="C59" s="54"/>
      <c r="D59" s="121">
        <f t="shared" ref="D59:Q59" si="41">Forecast_without_81_with_xx_in</f>
        <v>0</v>
      </c>
      <c r="E59" s="121">
        <f t="shared" si="41"/>
        <v>0</v>
      </c>
      <c r="F59" s="121">
        <f t="shared" si="41"/>
        <v>0</v>
      </c>
      <c r="G59" s="121">
        <f t="shared" si="41"/>
        <v>0</v>
      </c>
      <c r="H59" s="121">
        <f t="shared" si="41"/>
        <v>0</v>
      </c>
      <c r="I59" s="121">
        <f t="shared" si="41"/>
        <v>0</v>
      </c>
      <c r="J59" s="121">
        <f t="shared" si="41"/>
        <v>0</v>
      </c>
      <c r="K59" s="121">
        <f t="shared" si="41"/>
        <v>0</v>
      </c>
      <c r="L59" s="121">
        <f t="shared" si="41"/>
        <v>0</v>
      </c>
      <c r="M59" s="121">
        <f t="shared" si="41"/>
        <v>0</v>
      </c>
      <c r="N59" s="121">
        <f t="shared" si="41"/>
        <v>0</v>
      </c>
      <c r="O59" s="121">
        <f t="shared" si="41"/>
        <v>0</v>
      </c>
      <c r="P59" s="121">
        <f t="shared" si="41"/>
        <v>0</v>
      </c>
      <c r="Q59" s="121">
        <f t="shared" si="41"/>
        <v>0</v>
      </c>
      <c r="R59" s="22" t="s">
        <v>262</v>
      </c>
      <c r="V59" s="97"/>
    </row>
    <row r="60" spans="1:96" s="7" customFormat="1" ht="15" customHeight="1" outlineLevel="1">
      <c r="B60" s="122"/>
      <c r="C60" s="62"/>
      <c r="D60" s="123"/>
      <c r="E60" s="123"/>
      <c r="F60" s="123"/>
      <c r="G60" s="123"/>
      <c r="H60" s="123"/>
      <c r="I60" s="123"/>
      <c r="J60" s="123"/>
      <c r="K60" s="123"/>
      <c r="L60" s="123"/>
      <c r="M60" s="123"/>
      <c r="N60" s="123"/>
      <c r="O60" s="123"/>
      <c r="P60" s="123"/>
      <c r="Q60" s="123"/>
      <c r="R60" s="22"/>
    </row>
    <row r="61" spans="1:96" s="7" customFormat="1" ht="15" customHeight="1" outlineLevel="1">
      <c r="B61" s="124" t="s">
        <v>263</v>
      </c>
      <c r="C61" s="62"/>
      <c r="D61" s="123">
        <f>SUM(D47:D59)</f>
        <v>0</v>
      </c>
      <c r="E61" s="123">
        <f>SUM(E48:E59)</f>
        <v>0</v>
      </c>
      <c r="F61" s="123">
        <f>SUM(F49:F59)</f>
        <v>0</v>
      </c>
      <c r="G61" s="123">
        <f>SUM(G50:G59)</f>
        <v>0</v>
      </c>
      <c r="H61" s="123">
        <f>SUM(H51:H59)</f>
        <v>0</v>
      </c>
      <c r="I61" s="123">
        <f>SUM(I52:I59)</f>
        <v>0</v>
      </c>
      <c r="J61" s="123">
        <f>SUM(J53:J59)</f>
        <v>0</v>
      </c>
      <c r="K61" s="123">
        <f>SUM(K54:K59)</f>
        <v>0</v>
      </c>
      <c r="L61" s="123">
        <f>SUM(L55:L59)</f>
        <v>0</v>
      </c>
      <c r="M61" s="123">
        <f>SUM(M56:M59)</f>
        <v>0</v>
      </c>
      <c r="N61" s="123">
        <f>SUM(N57:N59)</f>
        <v>0</v>
      </c>
      <c r="O61" s="123">
        <f>SUM(O58:O59)</f>
        <v>0</v>
      </c>
      <c r="P61" s="123">
        <f>SUM(P59)</f>
        <v>0</v>
      </c>
      <c r="Q61" s="123"/>
      <c r="R61" s="22" t="s">
        <v>264</v>
      </c>
    </row>
    <row r="62" spans="1:96" ht="15" customHeight="1" outlineLevel="1">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row>
    <row r="63" spans="1:96" s="5" customFormat="1" ht="15.6" outlineLevel="1">
      <c r="B63" s="5" t="s">
        <v>124</v>
      </c>
    </row>
    <row r="64" spans="1:96" ht="15" customHeight="1" outlineLevel="1">
      <c r="A64" s="97"/>
      <c r="B64" s="97"/>
      <c r="C64" s="97"/>
      <c r="D64" s="97"/>
      <c r="E64" s="3"/>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3"/>
    </row>
    <row r="65" spans="1:96" ht="15" customHeight="1" outlineLevel="1">
      <c r="A65" s="97"/>
      <c r="B65" s="104" t="s">
        <v>109</v>
      </c>
      <c r="C65" s="60" t="s">
        <v>79</v>
      </c>
      <c r="D65" s="61" t="s">
        <v>80</v>
      </c>
      <c r="E65" s="104" t="s">
        <v>81</v>
      </c>
      <c r="F65" s="104" t="s">
        <v>82</v>
      </c>
      <c r="G65" s="104" t="s">
        <v>83</v>
      </c>
      <c r="H65" s="104" t="s">
        <v>84</v>
      </c>
      <c r="I65" s="104" t="s">
        <v>85</v>
      </c>
      <c r="J65" s="104" t="s">
        <v>86</v>
      </c>
      <c r="K65" s="104" t="s">
        <v>87</v>
      </c>
      <c r="L65" s="104" t="s">
        <v>88</v>
      </c>
      <c r="M65" s="104" t="s">
        <v>89</v>
      </c>
      <c r="N65" s="104" t="s">
        <v>90</v>
      </c>
      <c r="O65" s="104" t="s">
        <v>91</v>
      </c>
      <c r="P65" s="104" t="s">
        <v>92</v>
      </c>
      <c r="Q65" s="104" t="s">
        <v>93</v>
      </c>
      <c r="R65" s="23"/>
      <c r="S65" s="97"/>
      <c r="T65" s="97"/>
      <c r="U65" s="97"/>
      <c r="V65" s="97" t="s">
        <v>247</v>
      </c>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3"/>
    </row>
    <row r="66" spans="1:96" ht="15" customHeight="1" outlineLevel="1">
      <c r="A66" s="97"/>
      <c r="B66" s="60" t="s">
        <v>94</v>
      </c>
      <c r="C66" s="54"/>
      <c r="D66" s="105"/>
      <c r="E66" s="105"/>
      <c r="F66" s="105"/>
      <c r="G66" s="105"/>
      <c r="H66" s="105"/>
      <c r="I66" s="105"/>
      <c r="J66" s="105"/>
      <c r="K66" s="105"/>
      <c r="L66" s="105"/>
      <c r="M66" s="105"/>
      <c r="N66" s="105"/>
      <c r="O66" s="105"/>
      <c r="P66" s="105"/>
      <c r="Q66" s="106"/>
      <c r="R66" s="23"/>
      <c r="S66" s="97"/>
      <c r="T66" s="97"/>
      <c r="U66" s="97"/>
      <c r="V66" s="22" t="s">
        <v>265</v>
      </c>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3"/>
    </row>
    <row r="67" spans="1:96" ht="15" customHeight="1" outlineLevel="1">
      <c r="A67" s="97"/>
      <c r="B67" s="61" t="s">
        <v>80</v>
      </c>
      <c r="C67" s="54"/>
      <c r="D67" s="107">
        <f t="shared" ref="D67:Q67" si="42">Forecast_without_45_with_xx_night_in</f>
        <v>0</v>
      </c>
      <c r="E67" s="107">
        <f t="shared" si="42"/>
        <v>0</v>
      </c>
      <c r="F67" s="107">
        <f t="shared" si="42"/>
        <v>0</v>
      </c>
      <c r="G67" s="107">
        <f t="shared" si="42"/>
        <v>0</v>
      </c>
      <c r="H67" s="107">
        <f t="shared" si="42"/>
        <v>0</v>
      </c>
      <c r="I67" s="107">
        <f t="shared" si="42"/>
        <v>0</v>
      </c>
      <c r="J67" s="107">
        <f t="shared" si="42"/>
        <v>0</v>
      </c>
      <c r="K67" s="107">
        <f t="shared" si="42"/>
        <v>0</v>
      </c>
      <c r="L67" s="107">
        <f t="shared" si="42"/>
        <v>0</v>
      </c>
      <c r="M67" s="107">
        <f t="shared" si="42"/>
        <v>0</v>
      </c>
      <c r="N67" s="107">
        <f t="shared" si="42"/>
        <v>0</v>
      </c>
      <c r="O67" s="107">
        <f t="shared" si="42"/>
        <v>0</v>
      </c>
      <c r="P67" s="107">
        <f t="shared" si="42"/>
        <v>0</v>
      </c>
      <c r="Q67" s="107">
        <f t="shared" si="42"/>
        <v>0</v>
      </c>
      <c r="R67" s="22" t="s">
        <v>266</v>
      </c>
      <c r="S67" s="97"/>
      <c r="T67" s="97"/>
      <c r="U67" s="97"/>
      <c r="V67" s="97">
        <f>SUM(E67:Q67)</f>
        <v>0</v>
      </c>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3"/>
    </row>
    <row r="68" spans="1:96" ht="15" customHeight="1" outlineLevel="1">
      <c r="A68" s="97"/>
      <c r="B68" s="104" t="s">
        <v>81</v>
      </c>
      <c r="C68" s="54"/>
      <c r="D68" s="107">
        <f t="shared" ref="D68:Q68" si="43">Forecast_without_45_48_with_xx_night_in</f>
        <v>0</v>
      </c>
      <c r="E68" s="107">
        <f t="shared" si="43"/>
        <v>0</v>
      </c>
      <c r="F68" s="107">
        <f t="shared" si="43"/>
        <v>0</v>
      </c>
      <c r="G68" s="107">
        <f t="shared" si="43"/>
        <v>0</v>
      </c>
      <c r="H68" s="107">
        <f t="shared" si="43"/>
        <v>0</v>
      </c>
      <c r="I68" s="107">
        <f t="shared" si="43"/>
        <v>0</v>
      </c>
      <c r="J68" s="107">
        <f t="shared" si="43"/>
        <v>0</v>
      </c>
      <c r="K68" s="107">
        <f t="shared" si="43"/>
        <v>0</v>
      </c>
      <c r="L68" s="107">
        <f t="shared" si="43"/>
        <v>0</v>
      </c>
      <c r="M68" s="107">
        <f t="shared" si="43"/>
        <v>0</v>
      </c>
      <c r="N68" s="107">
        <f t="shared" si="43"/>
        <v>0</v>
      </c>
      <c r="O68" s="107">
        <f t="shared" si="43"/>
        <v>0</v>
      </c>
      <c r="P68" s="107">
        <f t="shared" si="43"/>
        <v>0</v>
      </c>
      <c r="Q68" s="107">
        <f t="shared" si="43"/>
        <v>0</v>
      </c>
      <c r="R68" s="22" t="s">
        <v>267</v>
      </c>
      <c r="S68" s="97"/>
      <c r="T68" s="97"/>
      <c r="U68" s="97"/>
      <c r="V68" s="97">
        <f>SUM(F68:Q68)</f>
        <v>0</v>
      </c>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3"/>
    </row>
    <row r="69" spans="1:96" ht="15" customHeight="1" outlineLevel="1">
      <c r="A69" s="97"/>
      <c r="B69" s="104" t="s">
        <v>82</v>
      </c>
      <c r="C69" s="54"/>
      <c r="D69" s="107">
        <f t="shared" ref="D69:Q69" si="44">Forecast_without_48_51_with_xx_night_in</f>
        <v>0</v>
      </c>
      <c r="E69" s="107">
        <f t="shared" si="44"/>
        <v>0</v>
      </c>
      <c r="F69" s="107">
        <f t="shared" si="44"/>
        <v>0</v>
      </c>
      <c r="G69" s="107">
        <f t="shared" si="44"/>
        <v>0</v>
      </c>
      <c r="H69" s="107">
        <f t="shared" si="44"/>
        <v>0</v>
      </c>
      <c r="I69" s="107">
        <f t="shared" si="44"/>
        <v>0</v>
      </c>
      <c r="J69" s="107">
        <f t="shared" si="44"/>
        <v>0</v>
      </c>
      <c r="K69" s="107">
        <f t="shared" si="44"/>
        <v>0</v>
      </c>
      <c r="L69" s="107">
        <f t="shared" si="44"/>
        <v>0</v>
      </c>
      <c r="M69" s="107">
        <f t="shared" si="44"/>
        <v>0</v>
      </c>
      <c r="N69" s="107">
        <f t="shared" si="44"/>
        <v>0</v>
      </c>
      <c r="O69" s="107">
        <f t="shared" si="44"/>
        <v>0</v>
      </c>
      <c r="P69" s="107">
        <f t="shared" si="44"/>
        <v>0</v>
      </c>
      <c r="Q69" s="107">
        <f t="shared" si="44"/>
        <v>0</v>
      </c>
      <c r="R69" s="22" t="s">
        <v>268</v>
      </c>
      <c r="S69" s="97"/>
      <c r="T69" s="97"/>
      <c r="U69" s="97"/>
      <c r="V69" s="97">
        <f>SUM(G69:Q69)</f>
        <v>0</v>
      </c>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3"/>
    </row>
    <row r="70" spans="1:96" ht="15" customHeight="1" outlineLevel="1">
      <c r="A70" s="97"/>
      <c r="B70" s="104" t="s">
        <v>83</v>
      </c>
      <c r="C70" s="54"/>
      <c r="D70" s="107">
        <f t="shared" ref="D70:Q70" si="45">Forecast_without_51_54_with_xx_night_in</f>
        <v>0</v>
      </c>
      <c r="E70" s="107">
        <f t="shared" si="45"/>
        <v>0</v>
      </c>
      <c r="F70" s="107">
        <f t="shared" si="45"/>
        <v>0</v>
      </c>
      <c r="G70" s="107">
        <f t="shared" si="45"/>
        <v>0</v>
      </c>
      <c r="H70" s="107">
        <f t="shared" si="45"/>
        <v>0</v>
      </c>
      <c r="I70" s="107">
        <f t="shared" si="45"/>
        <v>0</v>
      </c>
      <c r="J70" s="107">
        <f t="shared" si="45"/>
        <v>0</v>
      </c>
      <c r="K70" s="107">
        <f t="shared" si="45"/>
        <v>0</v>
      </c>
      <c r="L70" s="107">
        <f t="shared" si="45"/>
        <v>0</v>
      </c>
      <c r="M70" s="107">
        <f t="shared" si="45"/>
        <v>0</v>
      </c>
      <c r="N70" s="107">
        <f t="shared" si="45"/>
        <v>0</v>
      </c>
      <c r="O70" s="107">
        <f t="shared" si="45"/>
        <v>0</v>
      </c>
      <c r="P70" s="107">
        <f t="shared" si="45"/>
        <v>0</v>
      </c>
      <c r="Q70" s="107">
        <f t="shared" si="45"/>
        <v>0</v>
      </c>
      <c r="R70" s="22" t="s">
        <v>269</v>
      </c>
      <c r="S70" s="97"/>
      <c r="T70" s="97"/>
      <c r="U70" s="97"/>
      <c r="V70" s="97">
        <f>SUM(H70:Q70)</f>
        <v>0</v>
      </c>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3"/>
    </row>
    <row r="71" spans="1:96" ht="15" customHeight="1" outlineLevel="1">
      <c r="A71" s="97"/>
      <c r="B71" s="104" t="s">
        <v>84</v>
      </c>
      <c r="C71" s="54"/>
      <c r="D71" s="107">
        <f t="shared" ref="D71:Q71" si="46">Forecast_without_54_57_with_xx_night_in</f>
        <v>0</v>
      </c>
      <c r="E71" s="107">
        <f t="shared" si="46"/>
        <v>0</v>
      </c>
      <c r="F71" s="107">
        <f t="shared" si="46"/>
        <v>0</v>
      </c>
      <c r="G71" s="107">
        <f t="shared" si="46"/>
        <v>0</v>
      </c>
      <c r="H71" s="107">
        <f t="shared" si="46"/>
        <v>0</v>
      </c>
      <c r="I71" s="107">
        <f t="shared" si="46"/>
        <v>0</v>
      </c>
      <c r="J71" s="107">
        <f t="shared" si="46"/>
        <v>0</v>
      </c>
      <c r="K71" s="107">
        <f t="shared" si="46"/>
        <v>0</v>
      </c>
      <c r="L71" s="107">
        <f t="shared" si="46"/>
        <v>0</v>
      </c>
      <c r="M71" s="107">
        <f t="shared" si="46"/>
        <v>0</v>
      </c>
      <c r="N71" s="107">
        <f t="shared" si="46"/>
        <v>0</v>
      </c>
      <c r="O71" s="107">
        <f t="shared" si="46"/>
        <v>0</v>
      </c>
      <c r="P71" s="107">
        <f t="shared" si="46"/>
        <v>0</v>
      </c>
      <c r="Q71" s="107">
        <f t="shared" si="46"/>
        <v>0</v>
      </c>
      <c r="R71" s="22" t="s">
        <v>270</v>
      </c>
      <c r="S71" s="97"/>
      <c r="T71" s="97"/>
      <c r="U71" s="97"/>
      <c r="V71" s="97">
        <f>SUM(I71:Q71)</f>
        <v>0</v>
      </c>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3"/>
    </row>
    <row r="72" spans="1:96" s="4" customFormat="1" ht="15" customHeight="1" outlineLevel="1">
      <c r="A72" s="62"/>
      <c r="B72" s="104" t="s">
        <v>85</v>
      </c>
      <c r="C72" s="54"/>
      <c r="D72" s="107">
        <f t="shared" ref="D72:Q72" si="47">Forecast_without_57_60_with_xx_night_in</f>
        <v>0</v>
      </c>
      <c r="E72" s="107">
        <f t="shared" si="47"/>
        <v>0</v>
      </c>
      <c r="F72" s="107">
        <f t="shared" si="47"/>
        <v>0</v>
      </c>
      <c r="G72" s="107">
        <f t="shared" si="47"/>
        <v>0</v>
      </c>
      <c r="H72" s="107">
        <f t="shared" si="47"/>
        <v>0</v>
      </c>
      <c r="I72" s="107">
        <f t="shared" si="47"/>
        <v>0</v>
      </c>
      <c r="J72" s="107">
        <f t="shared" si="47"/>
        <v>0</v>
      </c>
      <c r="K72" s="107">
        <f t="shared" si="47"/>
        <v>0</v>
      </c>
      <c r="L72" s="107">
        <f t="shared" si="47"/>
        <v>0</v>
      </c>
      <c r="M72" s="107">
        <f t="shared" si="47"/>
        <v>0</v>
      </c>
      <c r="N72" s="107">
        <f t="shared" si="47"/>
        <v>0</v>
      </c>
      <c r="O72" s="107">
        <f t="shared" si="47"/>
        <v>0</v>
      </c>
      <c r="P72" s="107">
        <f t="shared" si="47"/>
        <v>0</v>
      </c>
      <c r="Q72" s="107">
        <f t="shared" si="47"/>
        <v>0</v>
      </c>
      <c r="R72" s="22" t="s">
        <v>271</v>
      </c>
      <c r="S72" s="62"/>
      <c r="T72" s="62"/>
      <c r="U72" s="62"/>
      <c r="V72" s="97">
        <f>SUM(J72:Q72)</f>
        <v>0</v>
      </c>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row>
    <row r="73" spans="1:96" s="4" customFormat="1" ht="15" customHeight="1" outlineLevel="1">
      <c r="A73" s="63"/>
      <c r="B73" s="104" t="s">
        <v>86</v>
      </c>
      <c r="C73" s="54"/>
      <c r="D73" s="107">
        <f t="shared" ref="D73:Q73" si="48">Forecast_without_60_63_with_xx_night_in</f>
        <v>0</v>
      </c>
      <c r="E73" s="107">
        <f t="shared" si="48"/>
        <v>0</v>
      </c>
      <c r="F73" s="107">
        <f t="shared" si="48"/>
        <v>0</v>
      </c>
      <c r="G73" s="107">
        <f t="shared" si="48"/>
        <v>0</v>
      </c>
      <c r="H73" s="107">
        <f t="shared" si="48"/>
        <v>0</v>
      </c>
      <c r="I73" s="107">
        <f t="shared" si="48"/>
        <v>0</v>
      </c>
      <c r="J73" s="107">
        <f t="shared" si="48"/>
        <v>0</v>
      </c>
      <c r="K73" s="107">
        <f t="shared" si="48"/>
        <v>0</v>
      </c>
      <c r="L73" s="107">
        <f t="shared" si="48"/>
        <v>0</v>
      </c>
      <c r="M73" s="107">
        <f t="shared" si="48"/>
        <v>0</v>
      </c>
      <c r="N73" s="107">
        <f t="shared" si="48"/>
        <v>0</v>
      </c>
      <c r="O73" s="107">
        <f t="shared" si="48"/>
        <v>0</v>
      </c>
      <c r="P73" s="107">
        <f t="shared" si="48"/>
        <v>0</v>
      </c>
      <c r="Q73" s="107">
        <f t="shared" si="48"/>
        <v>0</v>
      </c>
      <c r="R73" s="22" t="s">
        <v>272</v>
      </c>
      <c r="S73" s="62"/>
      <c r="T73" s="62"/>
      <c r="U73" s="62"/>
      <c r="V73" s="97">
        <f>SUM(K73:Q73)</f>
        <v>0</v>
      </c>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row>
    <row r="74" spans="1:96" s="4" customFormat="1" ht="15" customHeight="1" outlineLevel="1">
      <c r="A74" s="64"/>
      <c r="B74" s="104" t="s">
        <v>87</v>
      </c>
      <c r="C74" s="54"/>
      <c r="D74" s="107">
        <f t="shared" ref="D74:Q74" si="49">Forecast_without_63_66_with_xx_night_in</f>
        <v>0</v>
      </c>
      <c r="E74" s="107">
        <f t="shared" si="49"/>
        <v>0</v>
      </c>
      <c r="F74" s="107">
        <f t="shared" si="49"/>
        <v>0</v>
      </c>
      <c r="G74" s="107">
        <f t="shared" si="49"/>
        <v>0</v>
      </c>
      <c r="H74" s="107">
        <f t="shared" si="49"/>
        <v>0</v>
      </c>
      <c r="I74" s="107">
        <f t="shared" si="49"/>
        <v>0</v>
      </c>
      <c r="J74" s="107">
        <f t="shared" si="49"/>
        <v>0</v>
      </c>
      <c r="K74" s="107">
        <f t="shared" si="49"/>
        <v>0</v>
      </c>
      <c r="L74" s="107">
        <f t="shared" si="49"/>
        <v>0</v>
      </c>
      <c r="M74" s="107">
        <f t="shared" si="49"/>
        <v>0</v>
      </c>
      <c r="N74" s="107">
        <f t="shared" si="49"/>
        <v>0</v>
      </c>
      <c r="O74" s="107">
        <f t="shared" si="49"/>
        <v>0</v>
      </c>
      <c r="P74" s="107">
        <f t="shared" si="49"/>
        <v>0</v>
      </c>
      <c r="Q74" s="107">
        <f t="shared" si="49"/>
        <v>0</v>
      </c>
      <c r="R74" s="22" t="s">
        <v>273</v>
      </c>
      <c r="S74" s="62"/>
      <c r="T74" s="62"/>
      <c r="U74" s="62"/>
      <c r="V74" s="97">
        <f>SUM(L74:Q74)</f>
        <v>0</v>
      </c>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row>
    <row r="75" spans="1:96" ht="15" customHeight="1" outlineLevel="1">
      <c r="A75" s="97"/>
      <c r="B75" s="104" t="s">
        <v>88</v>
      </c>
      <c r="C75" s="54"/>
      <c r="D75" s="107">
        <f t="shared" ref="D75:Q75" si="50">Forecast_without_66_69_with_xx_night_in</f>
        <v>0</v>
      </c>
      <c r="E75" s="107">
        <f t="shared" si="50"/>
        <v>0</v>
      </c>
      <c r="F75" s="107">
        <f t="shared" si="50"/>
        <v>0</v>
      </c>
      <c r="G75" s="107">
        <f t="shared" si="50"/>
        <v>0</v>
      </c>
      <c r="H75" s="107">
        <f t="shared" si="50"/>
        <v>0</v>
      </c>
      <c r="I75" s="107">
        <f t="shared" si="50"/>
        <v>0</v>
      </c>
      <c r="J75" s="107">
        <f t="shared" si="50"/>
        <v>0</v>
      </c>
      <c r="K75" s="107">
        <f t="shared" si="50"/>
        <v>0</v>
      </c>
      <c r="L75" s="107">
        <f t="shared" si="50"/>
        <v>0</v>
      </c>
      <c r="M75" s="107">
        <f t="shared" si="50"/>
        <v>0</v>
      </c>
      <c r="N75" s="107">
        <f t="shared" si="50"/>
        <v>0</v>
      </c>
      <c r="O75" s="107">
        <f t="shared" si="50"/>
        <v>0</v>
      </c>
      <c r="P75" s="107">
        <f t="shared" si="50"/>
        <v>0</v>
      </c>
      <c r="Q75" s="107">
        <f t="shared" si="50"/>
        <v>0</v>
      </c>
      <c r="R75" s="22" t="s">
        <v>274</v>
      </c>
      <c r="S75" s="97"/>
      <c r="T75" s="97"/>
      <c r="U75" s="97"/>
      <c r="V75" s="97">
        <f>SUM(M75:Q75)</f>
        <v>0</v>
      </c>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row>
    <row r="76" spans="1:96" ht="15" customHeight="1" outlineLevel="1">
      <c r="A76" s="97"/>
      <c r="B76" s="104" t="s">
        <v>89</v>
      </c>
      <c r="C76" s="54"/>
      <c r="D76" s="107">
        <f t="shared" ref="D76:Q76" si="51">Forecast_without_69_72_with_xx_night_in</f>
        <v>0</v>
      </c>
      <c r="E76" s="107">
        <f t="shared" si="51"/>
        <v>0</v>
      </c>
      <c r="F76" s="107">
        <f t="shared" si="51"/>
        <v>0</v>
      </c>
      <c r="G76" s="107">
        <f t="shared" si="51"/>
        <v>0</v>
      </c>
      <c r="H76" s="107">
        <f t="shared" si="51"/>
        <v>0</v>
      </c>
      <c r="I76" s="107">
        <f t="shared" si="51"/>
        <v>0</v>
      </c>
      <c r="J76" s="107">
        <f t="shared" si="51"/>
        <v>0</v>
      </c>
      <c r="K76" s="107">
        <f t="shared" si="51"/>
        <v>0</v>
      </c>
      <c r="L76" s="107">
        <f t="shared" si="51"/>
        <v>0</v>
      </c>
      <c r="M76" s="107">
        <f t="shared" si="51"/>
        <v>0</v>
      </c>
      <c r="N76" s="107">
        <f t="shared" si="51"/>
        <v>0</v>
      </c>
      <c r="O76" s="107">
        <f t="shared" si="51"/>
        <v>0</v>
      </c>
      <c r="P76" s="107">
        <f t="shared" si="51"/>
        <v>0</v>
      </c>
      <c r="Q76" s="107">
        <f t="shared" si="51"/>
        <v>0</v>
      </c>
      <c r="R76" s="22" t="s">
        <v>275</v>
      </c>
      <c r="S76" s="97"/>
      <c r="T76" s="97"/>
      <c r="U76" s="97"/>
      <c r="V76" s="97">
        <f>SUM(N76:Q76)</f>
        <v>0</v>
      </c>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row>
    <row r="77" spans="1:96" ht="15" customHeight="1" outlineLevel="1">
      <c r="A77" s="97"/>
      <c r="B77" s="104" t="s">
        <v>90</v>
      </c>
      <c r="C77" s="54"/>
      <c r="D77" s="107">
        <f t="shared" ref="D77:Q77" si="52">Forecast_without_72_75_with_xx_night_in</f>
        <v>0</v>
      </c>
      <c r="E77" s="107">
        <f t="shared" si="52"/>
        <v>0</v>
      </c>
      <c r="F77" s="107">
        <f t="shared" si="52"/>
        <v>0</v>
      </c>
      <c r="G77" s="107">
        <f t="shared" si="52"/>
        <v>0</v>
      </c>
      <c r="H77" s="107">
        <f t="shared" si="52"/>
        <v>0</v>
      </c>
      <c r="I77" s="107">
        <f t="shared" si="52"/>
        <v>0</v>
      </c>
      <c r="J77" s="107">
        <f t="shared" si="52"/>
        <v>0</v>
      </c>
      <c r="K77" s="107">
        <f t="shared" si="52"/>
        <v>0</v>
      </c>
      <c r="L77" s="107">
        <f t="shared" si="52"/>
        <v>0</v>
      </c>
      <c r="M77" s="107">
        <f t="shared" si="52"/>
        <v>0</v>
      </c>
      <c r="N77" s="107">
        <f t="shared" si="52"/>
        <v>0</v>
      </c>
      <c r="O77" s="107">
        <f t="shared" si="52"/>
        <v>0</v>
      </c>
      <c r="P77" s="107">
        <f t="shared" si="52"/>
        <v>0</v>
      </c>
      <c r="Q77" s="107">
        <f t="shared" si="52"/>
        <v>0</v>
      </c>
      <c r="R77" s="22" t="s">
        <v>276</v>
      </c>
      <c r="S77" s="97"/>
      <c r="T77" s="97"/>
      <c r="U77" s="97"/>
      <c r="V77" s="97">
        <f>SUM(O77:Q77)</f>
        <v>0</v>
      </c>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row>
    <row r="78" spans="1:96" ht="15" customHeight="1" outlineLevel="1">
      <c r="A78" s="97"/>
      <c r="B78" s="104" t="s">
        <v>91</v>
      </c>
      <c r="C78" s="54"/>
      <c r="D78" s="107">
        <f t="shared" ref="D78:Q78" si="53">Forecast_without_75_78_with_xx_night_in</f>
        <v>0</v>
      </c>
      <c r="E78" s="107">
        <f t="shared" si="53"/>
        <v>0</v>
      </c>
      <c r="F78" s="107">
        <f t="shared" si="53"/>
        <v>0</v>
      </c>
      <c r="G78" s="107">
        <f t="shared" si="53"/>
        <v>0</v>
      </c>
      <c r="H78" s="107">
        <f t="shared" si="53"/>
        <v>0</v>
      </c>
      <c r="I78" s="107">
        <f t="shared" si="53"/>
        <v>0</v>
      </c>
      <c r="J78" s="107">
        <f t="shared" si="53"/>
        <v>0</v>
      </c>
      <c r="K78" s="107">
        <f t="shared" si="53"/>
        <v>0</v>
      </c>
      <c r="L78" s="107">
        <f t="shared" si="53"/>
        <v>0</v>
      </c>
      <c r="M78" s="107">
        <f t="shared" si="53"/>
        <v>0</v>
      </c>
      <c r="N78" s="107">
        <f t="shared" si="53"/>
        <v>0</v>
      </c>
      <c r="O78" s="107">
        <f t="shared" si="53"/>
        <v>0</v>
      </c>
      <c r="P78" s="107">
        <f t="shared" si="53"/>
        <v>0</v>
      </c>
      <c r="Q78" s="107">
        <f t="shared" si="53"/>
        <v>0</v>
      </c>
      <c r="R78" s="22" t="s">
        <v>277</v>
      </c>
      <c r="S78" s="97"/>
      <c r="T78" s="97"/>
      <c r="U78" s="97"/>
      <c r="V78" s="97">
        <f>SUM(P78:Q78)</f>
        <v>0</v>
      </c>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row>
    <row r="79" spans="1:96" s="27" customFormat="1" ht="15" customHeight="1" outlineLevel="1">
      <c r="A79" s="7"/>
      <c r="B79" s="104" t="s">
        <v>92</v>
      </c>
      <c r="C79" s="54"/>
      <c r="D79" s="107">
        <f t="shared" ref="D79:Q79" si="54">Forecast_without_78_81_with_xx_night_in</f>
        <v>0</v>
      </c>
      <c r="E79" s="107">
        <f t="shared" si="54"/>
        <v>0</v>
      </c>
      <c r="F79" s="107">
        <f t="shared" si="54"/>
        <v>0</v>
      </c>
      <c r="G79" s="107">
        <f t="shared" si="54"/>
        <v>0</v>
      </c>
      <c r="H79" s="107">
        <f t="shared" si="54"/>
        <v>0</v>
      </c>
      <c r="I79" s="107">
        <f t="shared" si="54"/>
        <v>0</v>
      </c>
      <c r="J79" s="107">
        <f t="shared" si="54"/>
        <v>0</v>
      </c>
      <c r="K79" s="107">
        <f t="shared" si="54"/>
        <v>0</v>
      </c>
      <c r="L79" s="107">
        <f t="shared" si="54"/>
        <v>0</v>
      </c>
      <c r="M79" s="107">
        <f t="shared" si="54"/>
        <v>0</v>
      </c>
      <c r="N79" s="107">
        <f t="shared" si="54"/>
        <v>0</v>
      </c>
      <c r="O79" s="107">
        <f t="shared" si="54"/>
        <v>0</v>
      </c>
      <c r="P79" s="107">
        <f t="shared" si="54"/>
        <v>0</v>
      </c>
      <c r="Q79" s="107">
        <f t="shared" si="54"/>
        <v>0</v>
      </c>
      <c r="R79" s="22" t="s">
        <v>278</v>
      </c>
      <c r="S79" s="7"/>
      <c r="T79" s="7"/>
      <c r="U79" s="7"/>
      <c r="V79" s="97">
        <f>SUM(Q79)</f>
        <v>0</v>
      </c>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row>
    <row r="80" spans="1:96" s="7" customFormat="1" ht="15" customHeight="1" outlineLevel="1">
      <c r="B80" s="104" t="s">
        <v>93</v>
      </c>
      <c r="C80" s="54"/>
      <c r="D80" s="107">
        <f t="shared" ref="D80:Q80" si="55">Forecast_without_81_with_xx_night_in</f>
        <v>0</v>
      </c>
      <c r="E80" s="107">
        <f t="shared" si="55"/>
        <v>0</v>
      </c>
      <c r="F80" s="107">
        <f t="shared" si="55"/>
        <v>0</v>
      </c>
      <c r="G80" s="107">
        <f t="shared" si="55"/>
        <v>0</v>
      </c>
      <c r="H80" s="107">
        <f t="shared" si="55"/>
        <v>0</v>
      </c>
      <c r="I80" s="107">
        <f t="shared" si="55"/>
        <v>0</v>
      </c>
      <c r="J80" s="107">
        <f t="shared" si="55"/>
        <v>0</v>
      </c>
      <c r="K80" s="107">
        <f t="shared" si="55"/>
        <v>0</v>
      </c>
      <c r="L80" s="107">
        <f t="shared" si="55"/>
        <v>0</v>
      </c>
      <c r="M80" s="107">
        <f t="shared" si="55"/>
        <v>0</v>
      </c>
      <c r="N80" s="107">
        <f t="shared" si="55"/>
        <v>0</v>
      </c>
      <c r="O80" s="107">
        <f t="shared" si="55"/>
        <v>0</v>
      </c>
      <c r="P80" s="107">
        <f t="shared" si="55"/>
        <v>0</v>
      </c>
      <c r="Q80" s="107">
        <f t="shared" si="55"/>
        <v>0</v>
      </c>
      <c r="R80" s="22" t="s">
        <v>279</v>
      </c>
    </row>
    <row r="81" spans="1:95" s="7" customFormat="1" ht="15" customHeight="1" outlineLevel="1">
      <c r="B81" s="122"/>
      <c r="C81" s="62"/>
      <c r="D81" s="123"/>
      <c r="E81" s="123"/>
      <c r="F81" s="123"/>
      <c r="G81" s="123"/>
      <c r="H81" s="123"/>
      <c r="I81" s="123"/>
      <c r="J81" s="123"/>
      <c r="K81" s="123"/>
      <c r="L81" s="123"/>
      <c r="M81" s="123"/>
      <c r="N81" s="123"/>
      <c r="O81" s="123"/>
      <c r="P81" s="123"/>
      <c r="Q81" s="123"/>
      <c r="R81" s="22"/>
    </row>
    <row r="82" spans="1:95" s="7" customFormat="1" ht="15" customHeight="1" outlineLevel="1">
      <c r="B82" s="124" t="s">
        <v>263</v>
      </c>
      <c r="C82" s="62"/>
      <c r="D82" s="123">
        <f>SUM(D68:D80)</f>
        <v>0</v>
      </c>
      <c r="E82" s="123">
        <f>SUM(E69:E80)</f>
        <v>0</v>
      </c>
      <c r="F82" s="123">
        <f>SUM(F70:F80)</f>
        <v>0</v>
      </c>
      <c r="G82" s="123">
        <f>SUM(G71:G80)</f>
        <v>0</v>
      </c>
      <c r="H82" s="123">
        <f>SUM(H72:H80)</f>
        <v>0</v>
      </c>
      <c r="I82" s="123">
        <f>SUM(I73:I80)</f>
        <v>0</v>
      </c>
      <c r="J82" s="123">
        <f>SUM(J74:J80)</f>
        <v>0</v>
      </c>
      <c r="K82" s="123">
        <f>SUM(K75:K80)</f>
        <v>0</v>
      </c>
      <c r="L82" s="123">
        <f>SUM(L76:L80)</f>
        <v>0</v>
      </c>
      <c r="M82" s="123">
        <f>SUM(M77:M80)</f>
        <v>0</v>
      </c>
      <c r="N82" s="123">
        <f>SUM(N78:N80)</f>
        <v>0</v>
      </c>
      <c r="O82" s="123">
        <f>SUM(O79:O80)</f>
        <v>0</v>
      </c>
      <c r="P82" s="123">
        <f>SUM(P80)</f>
        <v>0</v>
      </c>
      <c r="Q82" s="123">
        <f t="shared" ref="Q82" si="56">SUM(Q78:Q80)</f>
        <v>0</v>
      </c>
      <c r="R82" s="22" t="s">
        <v>280</v>
      </c>
    </row>
    <row r="83" spans="1:95" s="7" customFormat="1" ht="15" customHeight="1" outlineLevel="1">
      <c r="B83" s="122"/>
      <c r="C83" s="62"/>
      <c r="D83" s="123"/>
      <c r="E83" s="123"/>
      <c r="F83" s="123"/>
      <c r="G83" s="123"/>
      <c r="H83" s="123"/>
      <c r="I83" s="123"/>
      <c r="J83" s="123"/>
      <c r="K83" s="123"/>
      <c r="L83" s="123"/>
      <c r="M83" s="123"/>
      <c r="N83" s="123"/>
      <c r="O83" s="123"/>
      <c r="P83" s="123"/>
      <c r="Q83" s="123"/>
      <c r="R83" s="22"/>
    </row>
    <row r="84" spans="1:95" s="7" customFormat="1" ht="15" customHeight="1" outlineLevel="1">
      <c r="B84" s="124" t="s">
        <v>281</v>
      </c>
      <c r="C84" s="62"/>
      <c r="D84" s="123">
        <f>SUM(Forecast_HH_increased_noise_day)</f>
        <v>0</v>
      </c>
      <c r="E84" s="22" t="s">
        <v>282</v>
      </c>
      <c r="F84" s="123"/>
      <c r="G84" s="123"/>
      <c r="H84" s="123"/>
      <c r="I84" s="123"/>
      <c r="J84" s="123"/>
      <c r="K84" s="123"/>
      <c r="L84" s="123"/>
      <c r="M84" s="123"/>
      <c r="N84" s="123"/>
      <c r="O84" s="123"/>
      <c r="P84" s="123"/>
      <c r="Q84" s="123"/>
      <c r="R84" s="22"/>
    </row>
    <row r="85" spans="1:95" s="7" customFormat="1" ht="15" customHeight="1" outlineLevel="1">
      <c r="B85" s="124" t="s">
        <v>283</v>
      </c>
      <c r="C85" s="62"/>
      <c r="D85" s="123">
        <f>SUM(Forecast_HH_decreased_noise_day)</f>
        <v>0</v>
      </c>
      <c r="E85" s="22" t="s">
        <v>284</v>
      </c>
      <c r="F85" s="123"/>
      <c r="G85" s="123"/>
      <c r="H85" s="123"/>
      <c r="I85" s="123"/>
      <c r="J85" s="123"/>
      <c r="K85" s="123"/>
      <c r="L85" s="123"/>
      <c r="M85" s="123"/>
      <c r="N85" s="123"/>
      <c r="O85" s="123"/>
      <c r="P85" s="123"/>
      <c r="Q85" s="123"/>
      <c r="R85" s="22"/>
    </row>
    <row r="86" spans="1:95" s="7" customFormat="1" ht="15" customHeight="1" outlineLevel="1">
      <c r="B86" s="124" t="s">
        <v>285</v>
      </c>
      <c r="C86" s="62"/>
      <c r="D86" s="125" t="str">
        <f>IF(Night_modelling_mask=0,"n/a",SUM(Forecast_HH_increased_noise_night))</f>
        <v>n/a</v>
      </c>
      <c r="E86" s="22" t="s">
        <v>286</v>
      </c>
      <c r="F86" s="123"/>
      <c r="G86" s="123"/>
      <c r="H86" s="123"/>
      <c r="I86" s="123"/>
      <c r="J86" s="123"/>
      <c r="K86" s="123"/>
      <c r="L86" s="123"/>
      <c r="M86" s="123"/>
      <c r="N86" s="123"/>
      <c r="O86" s="123"/>
      <c r="P86" s="123"/>
      <c r="Q86" s="123"/>
      <c r="R86" s="22"/>
    </row>
    <row r="87" spans="1:95" s="7" customFormat="1" ht="15" customHeight="1" outlineLevel="1">
      <c r="B87" s="124" t="s">
        <v>287</v>
      </c>
      <c r="C87" s="62"/>
      <c r="D87" s="125" t="str">
        <f>IF(Night_modelling_mask=0,"n/a",SUM(Forecast_HH_decreased_noise_night))</f>
        <v>n/a</v>
      </c>
      <c r="E87" s="22" t="s">
        <v>288</v>
      </c>
      <c r="F87" s="123"/>
      <c r="G87" s="123"/>
      <c r="H87" s="123"/>
      <c r="I87" s="123"/>
      <c r="J87" s="123"/>
      <c r="K87" s="123"/>
      <c r="L87" s="123"/>
      <c r="M87" s="123"/>
      <c r="N87" s="123"/>
      <c r="O87" s="123"/>
      <c r="P87" s="123"/>
      <c r="Q87" s="123"/>
      <c r="R87" s="22"/>
    </row>
    <row r="88" spans="1:95" ht="15" customHeight="1" outlineLevel="1">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row>
    <row r="89" spans="1:95" s="2" customFormat="1" ht="18.600000000000001">
      <c r="B89" s="2" t="s">
        <v>289</v>
      </c>
    </row>
    <row r="90" spans="1:95" s="4" customFormat="1" ht="15"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row>
    <row r="91" spans="1:95" s="4" customFormat="1" ht="15" customHeight="1" outlineLevel="1">
      <c r="A91" s="62"/>
      <c r="B91" s="97" t="s">
        <v>290</v>
      </c>
      <c r="C91" s="12" t="str">
        <f>Scheme_type_in</f>
        <v>road</v>
      </c>
      <c r="D91" s="3" t="s">
        <v>291</v>
      </c>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row>
    <row r="92" spans="1:95" s="4" customFormat="1" ht="15" customHeight="1" outlineLevel="1">
      <c r="A92" s="62"/>
      <c r="B92" s="97"/>
      <c r="C92" s="12"/>
      <c r="D92" s="3"/>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row>
    <row r="93" spans="1:95" s="4" customFormat="1" ht="15" customHeight="1" outlineLevel="1">
      <c r="A93" s="62"/>
      <c r="B93" s="97" t="s">
        <v>160</v>
      </c>
      <c r="C93" s="12">
        <f>(Scheme_type="Road")*1</f>
        <v>1</v>
      </c>
      <c r="D93" s="3" t="s">
        <v>292</v>
      </c>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row>
    <row r="94" spans="1:95" s="4" customFormat="1" ht="15" customHeight="1" outlineLevel="1">
      <c r="A94" s="62"/>
      <c r="B94" s="97" t="s">
        <v>175</v>
      </c>
      <c r="C94" s="12">
        <f>(Scheme_type="Rail")*1</f>
        <v>0</v>
      </c>
      <c r="D94" s="3" t="s">
        <v>293</v>
      </c>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row>
    <row r="95" spans="1:95" s="4" customFormat="1" ht="15" customHeight="1" outlineLevel="1">
      <c r="A95" s="62"/>
      <c r="B95" s="97" t="s">
        <v>181</v>
      </c>
      <c r="C95" s="12">
        <f>(Scheme_type="Aviation")*1</f>
        <v>0</v>
      </c>
      <c r="D95" s="3" t="s">
        <v>294</v>
      </c>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row>
    <row r="96" spans="1:95" s="4" customFormat="1" ht="15" customHeight="1" outlineLevel="1">
      <c r="A96" s="62"/>
      <c r="B96" s="97"/>
      <c r="C96" s="12"/>
      <c r="D96" s="3"/>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row>
    <row r="97" spans="1:95" ht="15" customHeight="1" outlineLevel="1">
      <c r="A97" s="97"/>
      <c r="B97" s="97" t="s">
        <v>295</v>
      </c>
      <c r="C97" s="82" t="str">
        <f>Night_noise_impact_in</f>
        <v>yes</v>
      </c>
      <c r="D97" s="3" t="s">
        <v>296</v>
      </c>
      <c r="E97" s="3"/>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row>
    <row r="98" spans="1:95" ht="15" customHeight="1" outlineLevel="1">
      <c r="A98" s="97"/>
      <c r="B98" s="97"/>
      <c r="C98" s="82"/>
      <c r="D98" s="3"/>
      <c r="E98" s="3"/>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row>
    <row r="99" spans="1:95" ht="15" customHeight="1" outlineLevel="1">
      <c r="A99" s="97"/>
      <c r="B99" s="97" t="s">
        <v>297</v>
      </c>
      <c r="C99" s="12">
        <f>(Night_noise_impact="yes")*1</f>
        <v>1</v>
      </c>
      <c r="D99" s="3" t="s">
        <v>298</v>
      </c>
      <c r="E99" s="3"/>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row>
    <row r="100" spans="1:95" ht="15" customHeight="1" outlineLevel="1">
      <c r="A100" s="97"/>
      <c r="B100" s="97" t="s">
        <v>299</v>
      </c>
      <c r="C100" s="12">
        <f>(Night_noise_impact="no")*1</f>
        <v>0</v>
      </c>
      <c r="D100" s="3" t="s">
        <v>300</v>
      </c>
      <c r="E100" s="3"/>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row>
    <row r="101" spans="1:95" ht="15" customHeight="1" outlineLevel="1">
      <c r="A101" s="97"/>
      <c r="B101" s="97"/>
      <c r="C101" s="12"/>
      <c r="D101" s="3"/>
      <c r="E101" s="3"/>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row>
    <row r="102" spans="1:95" ht="15" customHeight="1" outlineLevel="1">
      <c r="A102" s="97"/>
      <c r="B102" s="97" t="s">
        <v>301</v>
      </c>
      <c r="C102" s="82" t="str">
        <f>Night_noise_modelling_in</f>
        <v>no</v>
      </c>
      <c r="D102" s="3" t="s">
        <v>302</v>
      </c>
      <c r="E102" s="3"/>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row>
    <row r="103" spans="1:95" ht="15" customHeight="1" outlineLevel="1">
      <c r="A103" s="97"/>
      <c r="B103" s="97"/>
      <c r="C103" s="111"/>
      <c r="D103" s="3"/>
      <c r="E103" s="3"/>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row>
    <row r="104" spans="1:95" ht="15" customHeight="1" outlineLevel="1">
      <c r="A104" s="97"/>
      <c r="B104" s="97" t="s">
        <v>303</v>
      </c>
      <c r="C104" s="12">
        <f>(Night_noise_modelling="yes")*1</f>
        <v>0</v>
      </c>
      <c r="D104" s="3" t="s">
        <v>304</v>
      </c>
      <c r="E104" s="3"/>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row>
    <row r="105" spans="1:95" ht="15" customHeight="1" outlineLevel="1">
      <c r="A105" s="97"/>
      <c r="B105" s="97" t="s">
        <v>305</v>
      </c>
      <c r="C105" s="12">
        <f>(Night_noise_modelling="no")*1</f>
        <v>1</v>
      </c>
      <c r="D105" s="3" t="s">
        <v>306</v>
      </c>
      <c r="E105" s="3"/>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row>
    <row r="106" spans="1:95" s="4" customFormat="1" ht="15" customHeight="1" outlineLevel="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row>
    <row r="107" spans="1:95" s="8" customFormat="1" ht="15.6" outlineLevel="1">
      <c r="B107" s="9" t="s">
        <v>163</v>
      </c>
      <c r="C107" s="10"/>
      <c r="D107" s="11"/>
      <c r="E107" s="11"/>
    </row>
    <row r="108" spans="1:95" ht="15" customHeight="1" outlineLevel="1">
      <c r="A108" s="97"/>
      <c r="B108" s="97"/>
      <c r="C108" s="82"/>
      <c r="D108" s="3"/>
      <c r="E108" s="3"/>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row>
    <row r="109" spans="1:95" ht="15" hidden="1" customHeight="1" outlineLevel="2">
      <c r="A109" s="97"/>
      <c r="B109" s="126" t="s">
        <v>307</v>
      </c>
      <c r="C109" s="97"/>
      <c r="D109" s="13" t="s">
        <v>162</v>
      </c>
      <c r="E109" s="14">
        <v>45</v>
      </c>
      <c r="F109" s="15">
        <v>46</v>
      </c>
      <c r="G109" s="14">
        <v>47</v>
      </c>
      <c r="H109" s="15">
        <v>48</v>
      </c>
      <c r="I109" s="14">
        <v>49</v>
      </c>
      <c r="J109" s="15">
        <v>50</v>
      </c>
      <c r="K109" s="14">
        <v>51</v>
      </c>
      <c r="L109" s="15">
        <v>52</v>
      </c>
      <c r="M109" s="14">
        <v>53</v>
      </c>
      <c r="N109" s="15">
        <v>54</v>
      </c>
      <c r="O109" s="14">
        <v>55</v>
      </c>
      <c r="P109" s="15">
        <v>56</v>
      </c>
      <c r="Q109" s="14">
        <v>57</v>
      </c>
      <c r="R109" s="15">
        <v>58</v>
      </c>
      <c r="S109" s="14">
        <v>59</v>
      </c>
      <c r="T109" s="15">
        <v>60</v>
      </c>
      <c r="U109" s="14">
        <v>61</v>
      </c>
      <c r="V109" s="15">
        <v>62</v>
      </c>
      <c r="W109" s="14">
        <v>63</v>
      </c>
      <c r="X109" s="15">
        <v>64</v>
      </c>
      <c r="Y109" s="14">
        <v>65</v>
      </c>
      <c r="Z109" s="15">
        <v>66</v>
      </c>
      <c r="AA109" s="14">
        <v>67</v>
      </c>
      <c r="AB109" s="15">
        <v>68</v>
      </c>
      <c r="AC109" s="14">
        <v>69</v>
      </c>
      <c r="AD109" s="15">
        <v>70</v>
      </c>
      <c r="AE109" s="14">
        <v>71</v>
      </c>
      <c r="AF109" s="15">
        <v>72</v>
      </c>
      <c r="AG109" s="14">
        <v>73</v>
      </c>
      <c r="AH109" s="15">
        <v>74</v>
      </c>
      <c r="AI109" s="14">
        <v>75</v>
      </c>
      <c r="AJ109" s="15">
        <v>76</v>
      </c>
      <c r="AK109" s="14">
        <v>77</v>
      </c>
      <c r="AL109" s="15">
        <v>78</v>
      </c>
      <c r="AM109" s="14">
        <v>79</v>
      </c>
      <c r="AN109" s="15">
        <v>80</v>
      </c>
      <c r="AO109" s="14">
        <v>81</v>
      </c>
      <c r="AP109" s="15">
        <v>82</v>
      </c>
      <c r="AQ109" s="14">
        <v>83</v>
      </c>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row>
    <row r="110" spans="1:95" ht="15" hidden="1" customHeight="1" outlineLevel="2">
      <c r="A110" s="97"/>
      <c r="B110" s="126"/>
      <c r="C110" s="81" t="s">
        <v>308</v>
      </c>
      <c r="D110" s="13">
        <v>45</v>
      </c>
      <c r="E110" s="14">
        <v>46</v>
      </c>
      <c r="F110" s="13">
        <v>47</v>
      </c>
      <c r="G110" s="14">
        <v>48</v>
      </c>
      <c r="H110" s="13">
        <v>49</v>
      </c>
      <c r="I110" s="14">
        <v>50</v>
      </c>
      <c r="J110" s="13">
        <v>51</v>
      </c>
      <c r="K110" s="14">
        <v>52</v>
      </c>
      <c r="L110" s="13">
        <v>53</v>
      </c>
      <c r="M110" s="14">
        <v>54</v>
      </c>
      <c r="N110" s="13">
        <v>55</v>
      </c>
      <c r="O110" s="14">
        <v>56</v>
      </c>
      <c r="P110" s="13">
        <v>57</v>
      </c>
      <c r="Q110" s="14">
        <v>58</v>
      </c>
      <c r="R110" s="13">
        <v>59</v>
      </c>
      <c r="S110" s="14">
        <v>60</v>
      </c>
      <c r="T110" s="13">
        <v>61</v>
      </c>
      <c r="U110" s="14">
        <v>62</v>
      </c>
      <c r="V110" s="13">
        <v>63</v>
      </c>
      <c r="W110" s="14">
        <v>64</v>
      </c>
      <c r="X110" s="13">
        <v>65</v>
      </c>
      <c r="Y110" s="14">
        <v>66</v>
      </c>
      <c r="Z110" s="13">
        <v>67</v>
      </c>
      <c r="AA110" s="14">
        <v>68</v>
      </c>
      <c r="AB110" s="13">
        <v>69</v>
      </c>
      <c r="AC110" s="14">
        <v>70</v>
      </c>
      <c r="AD110" s="13">
        <v>71</v>
      </c>
      <c r="AE110" s="14">
        <v>72</v>
      </c>
      <c r="AF110" s="13">
        <v>73</v>
      </c>
      <c r="AG110" s="14">
        <v>74</v>
      </c>
      <c r="AH110" s="13">
        <v>75</v>
      </c>
      <c r="AI110" s="14">
        <v>76</v>
      </c>
      <c r="AJ110" s="13">
        <v>77</v>
      </c>
      <c r="AK110" s="14">
        <v>78</v>
      </c>
      <c r="AL110" s="13">
        <v>79</v>
      </c>
      <c r="AM110" s="14">
        <v>80</v>
      </c>
      <c r="AN110" s="13">
        <v>81</v>
      </c>
      <c r="AO110" s="14">
        <v>82</v>
      </c>
      <c r="AP110" s="13">
        <v>83</v>
      </c>
      <c r="AQ110" s="14">
        <v>84</v>
      </c>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row>
    <row r="111" spans="1:95" ht="15" hidden="1" customHeight="1" outlineLevel="2">
      <c r="A111" s="97"/>
      <c r="B111" s="97" t="s">
        <v>309</v>
      </c>
      <c r="C111" s="97">
        <f>Road_mask*Night_impact_mask*Night_modelling_mask</f>
        <v>0</v>
      </c>
      <c r="D111" s="90">
        <f t="shared" ref="D111:AQ111" si="57">Sleep_disturbance_values_road_1dB_night_in</f>
        <v>0</v>
      </c>
      <c r="E111" s="90">
        <f t="shared" si="57"/>
        <v>25.60567996343045</v>
      </c>
      <c r="F111" s="90">
        <f t="shared" si="57"/>
        <v>28.123382631707337</v>
      </c>
      <c r="G111" s="90">
        <f t="shared" si="57"/>
        <v>30.641085299982414</v>
      </c>
      <c r="H111" s="90">
        <f t="shared" si="57"/>
        <v>33.158787968259603</v>
      </c>
      <c r="I111" s="90">
        <f t="shared" si="57"/>
        <v>35.676490636535561</v>
      </c>
      <c r="J111" s="90">
        <f t="shared" si="57"/>
        <v>38.194193304811854</v>
      </c>
      <c r="K111" s="90">
        <f t="shared" si="57"/>
        <v>40.71189597308814</v>
      </c>
      <c r="L111" s="90">
        <f t="shared" si="57"/>
        <v>43.229598641362912</v>
      </c>
      <c r="M111" s="90">
        <f t="shared" si="57"/>
        <v>45.747301309640697</v>
      </c>
      <c r="N111" s="90">
        <f t="shared" si="57"/>
        <v>48.265003977916678</v>
      </c>
      <c r="O111" s="90">
        <f t="shared" si="57"/>
        <v>50.782706646192658</v>
      </c>
      <c r="P111" s="90">
        <f t="shared" si="57"/>
        <v>53.300409314469235</v>
      </c>
      <c r="Q111" s="90">
        <f t="shared" si="57"/>
        <v>55.818111982744014</v>
      </c>
      <c r="R111" s="90">
        <f t="shared" si="57"/>
        <v>58.335814651021195</v>
      </c>
      <c r="S111" s="90">
        <f t="shared" si="57"/>
        <v>60.853517319297779</v>
      </c>
      <c r="T111" s="90">
        <f t="shared" si="57"/>
        <v>63.371219987573753</v>
      </c>
      <c r="U111" s="90">
        <f t="shared" si="57"/>
        <v>65.888922655848532</v>
      </c>
      <c r="V111" s="90">
        <f t="shared" si="57"/>
        <v>68.40662532412631</v>
      </c>
      <c r="W111" s="90">
        <f t="shared" si="57"/>
        <v>70.924327992402283</v>
      </c>
      <c r="X111" s="90">
        <f t="shared" si="57"/>
        <v>73.442030660678256</v>
      </c>
      <c r="Y111" s="90">
        <f t="shared" si="57"/>
        <v>75.959733328954854</v>
      </c>
      <c r="Z111" s="90">
        <f t="shared" si="57"/>
        <v>75.959733328954854</v>
      </c>
      <c r="AA111" s="90">
        <f t="shared" si="57"/>
        <v>75.959733328954854</v>
      </c>
      <c r="AB111" s="90">
        <f t="shared" si="57"/>
        <v>75.959733328954854</v>
      </c>
      <c r="AC111" s="90">
        <f t="shared" si="57"/>
        <v>75.959733328954854</v>
      </c>
      <c r="AD111" s="90">
        <f t="shared" si="57"/>
        <v>75.959733328954854</v>
      </c>
      <c r="AE111" s="90">
        <f t="shared" si="57"/>
        <v>75.959733328954854</v>
      </c>
      <c r="AF111" s="90">
        <f t="shared" si="57"/>
        <v>75.959733328954854</v>
      </c>
      <c r="AG111" s="90">
        <f t="shared" si="57"/>
        <v>75.959733328954854</v>
      </c>
      <c r="AH111" s="90">
        <f t="shared" si="57"/>
        <v>75.959733328954854</v>
      </c>
      <c r="AI111" s="90">
        <f t="shared" si="57"/>
        <v>75.959733328954854</v>
      </c>
      <c r="AJ111" s="90">
        <f t="shared" si="57"/>
        <v>75.959733328954854</v>
      </c>
      <c r="AK111" s="90">
        <f t="shared" si="57"/>
        <v>75.959733328954854</v>
      </c>
      <c r="AL111" s="90">
        <f t="shared" si="57"/>
        <v>75.959733328954854</v>
      </c>
      <c r="AM111" s="90">
        <f t="shared" si="57"/>
        <v>75.959733328954854</v>
      </c>
      <c r="AN111" s="90">
        <f t="shared" si="57"/>
        <v>75.959733328954854</v>
      </c>
      <c r="AO111" s="90">
        <f t="shared" si="57"/>
        <v>75.959733328954854</v>
      </c>
      <c r="AP111" s="90">
        <f t="shared" si="57"/>
        <v>75.959733328954854</v>
      </c>
      <c r="AQ111" s="90">
        <f t="shared" si="57"/>
        <v>75.959733328954854</v>
      </c>
      <c r="AR111" s="3" t="s">
        <v>310</v>
      </c>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row>
    <row r="112" spans="1:95" ht="15" hidden="1" customHeight="1" outlineLevel="2">
      <c r="A112" s="97"/>
      <c r="B112" s="97" t="s">
        <v>311</v>
      </c>
      <c r="C112" s="111">
        <f>Rail_mask*Night_impact_mask*Night_modelling_mask</f>
        <v>0</v>
      </c>
      <c r="D112" s="90">
        <f t="shared" ref="D112:AQ112" si="58">Sleep_disturbance_values_rail_1dB_night_in</f>
        <v>0</v>
      </c>
      <c r="E112" s="90">
        <f t="shared" si="58"/>
        <v>11.918424912509415</v>
      </c>
      <c r="F112" s="90">
        <f t="shared" si="58"/>
        <v>13.204384754515814</v>
      </c>
      <c r="G112" s="90">
        <f t="shared" si="58"/>
        <v>14.490344596522368</v>
      </c>
      <c r="H112" s="90">
        <f t="shared" si="58"/>
        <v>15.776304438528616</v>
      </c>
      <c r="I112" s="90">
        <f t="shared" si="58"/>
        <v>17.062264280535171</v>
      </c>
      <c r="J112" s="90">
        <f t="shared" si="58"/>
        <v>18.348224122542021</v>
      </c>
      <c r="K112" s="90">
        <f t="shared" si="58"/>
        <v>19.634183964547969</v>
      </c>
      <c r="L112" s="90">
        <f t="shared" si="58"/>
        <v>20.920143806554826</v>
      </c>
      <c r="M112" s="90">
        <f t="shared" si="58"/>
        <v>22.206103648561072</v>
      </c>
      <c r="N112" s="90">
        <f t="shared" si="58"/>
        <v>23.492063490567325</v>
      </c>
      <c r="O112" s="90">
        <f t="shared" si="58"/>
        <v>24.778023332574179</v>
      </c>
      <c r="P112" s="90">
        <f t="shared" si="58"/>
        <v>26.063983174580727</v>
      </c>
      <c r="Q112" s="90">
        <f t="shared" si="58"/>
        <v>27.34994301658698</v>
      </c>
      <c r="R112" s="90">
        <f t="shared" si="58"/>
        <v>28.635902858593532</v>
      </c>
      <c r="S112" s="90">
        <f t="shared" si="58"/>
        <v>29.921862700600382</v>
      </c>
      <c r="T112" s="90">
        <f t="shared" si="58"/>
        <v>31.207822542606031</v>
      </c>
      <c r="U112" s="90">
        <f t="shared" si="58"/>
        <v>32.493782384613183</v>
      </c>
      <c r="V112" s="90">
        <f t="shared" si="58"/>
        <v>33.779742226619128</v>
      </c>
      <c r="W112" s="90">
        <f t="shared" si="58"/>
        <v>35.06570206862628</v>
      </c>
      <c r="X112" s="90">
        <f t="shared" si="58"/>
        <v>36.351661910632849</v>
      </c>
      <c r="Y112" s="90">
        <f t="shared" si="58"/>
        <v>37.637621752638488</v>
      </c>
      <c r="Z112" s="90">
        <f t="shared" si="58"/>
        <v>37.637621752638488</v>
      </c>
      <c r="AA112" s="90">
        <f t="shared" si="58"/>
        <v>37.637621752638488</v>
      </c>
      <c r="AB112" s="90">
        <f t="shared" si="58"/>
        <v>37.637621752638488</v>
      </c>
      <c r="AC112" s="90">
        <f t="shared" si="58"/>
        <v>37.637621752638488</v>
      </c>
      <c r="AD112" s="90">
        <f t="shared" si="58"/>
        <v>37.637621752638488</v>
      </c>
      <c r="AE112" s="90">
        <f t="shared" si="58"/>
        <v>37.637621752638488</v>
      </c>
      <c r="AF112" s="90">
        <f t="shared" si="58"/>
        <v>37.637621752638488</v>
      </c>
      <c r="AG112" s="90">
        <f t="shared" si="58"/>
        <v>37.637621752638488</v>
      </c>
      <c r="AH112" s="90">
        <f t="shared" si="58"/>
        <v>37.637621752638488</v>
      </c>
      <c r="AI112" s="90">
        <f t="shared" si="58"/>
        <v>37.637621752638488</v>
      </c>
      <c r="AJ112" s="90">
        <f t="shared" si="58"/>
        <v>37.637621752638488</v>
      </c>
      <c r="AK112" s="90">
        <f t="shared" si="58"/>
        <v>37.637621752638488</v>
      </c>
      <c r="AL112" s="90">
        <f t="shared" si="58"/>
        <v>37.637621752638488</v>
      </c>
      <c r="AM112" s="90">
        <f t="shared" si="58"/>
        <v>37.637621752638488</v>
      </c>
      <c r="AN112" s="90">
        <f t="shared" si="58"/>
        <v>37.637621752638488</v>
      </c>
      <c r="AO112" s="90">
        <f t="shared" si="58"/>
        <v>37.637621752638488</v>
      </c>
      <c r="AP112" s="90">
        <f t="shared" si="58"/>
        <v>37.637621752638488</v>
      </c>
      <c r="AQ112" s="90">
        <f t="shared" si="58"/>
        <v>37.637621752638488</v>
      </c>
      <c r="AR112" s="3" t="s">
        <v>312</v>
      </c>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row>
    <row r="113" spans="1:95" ht="15" hidden="1" customHeight="1" outlineLevel="2">
      <c r="A113" s="97"/>
      <c r="B113" s="97" t="s">
        <v>313</v>
      </c>
      <c r="C113" s="111">
        <f>Aviation_mask*Night_impact_mask*Night_modelling_mask</f>
        <v>0</v>
      </c>
      <c r="D113" s="90">
        <f t="shared" ref="D113:AQ113" si="59">Sleep_disturbance_values_aviation_1dB_night_in</f>
        <v>0</v>
      </c>
      <c r="E113" s="90">
        <f t="shared" si="59"/>
        <v>33.260444872765504</v>
      </c>
      <c r="F113" s="90">
        <f t="shared" si="59"/>
        <v>35.771370414075236</v>
      </c>
      <c r="G113" s="90">
        <f t="shared" si="59"/>
        <v>38.282295955383482</v>
      </c>
      <c r="H113" s="90">
        <f t="shared" si="59"/>
        <v>40.793221496692617</v>
      </c>
      <c r="I113" s="90">
        <f t="shared" si="59"/>
        <v>43.304147038002363</v>
      </c>
      <c r="J113" s="90">
        <f t="shared" si="59"/>
        <v>45.815072579310893</v>
      </c>
      <c r="K113" s="90">
        <f t="shared" si="59"/>
        <v>48.325998120620639</v>
      </c>
      <c r="L113" s="90">
        <f t="shared" si="59"/>
        <v>50.836923661929177</v>
      </c>
      <c r="M113" s="90">
        <f t="shared" si="59"/>
        <v>53.347849203238916</v>
      </c>
      <c r="N113" s="90">
        <f t="shared" si="59"/>
        <v>55.858774744547461</v>
      </c>
      <c r="O113" s="90">
        <f t="shared" si="59"/>
        <v>58.369700285856602</v>
      </c>
      <c r="P113" s="90">
        <f t="shared" si="59"/>
        <v>60.880625827165737</v>
      </c>
      <c r="Q113" s="90">
        <f t="shared" si="59"/>
        <v>63.391551368474886</v>
      </c>
      <c r="R113" s="90">
        <f t="shared" si="59"/>
        <v>65.902476909783999</v>
      </c>
      <c r="S113" s="90">
        <f t="shared" si="59"/>
        <v>68.413402451092551</v>
      </c>
      <c r="T113" s="90">
        <f t="shared" si="59"/>
        <v>70.92432799240288</v>
      </c>
      <c r="U113" s="90">
        <f t="shared" si="59"/>
        <v>73.435253533710835</v>
      </c>
      <c r="V113" s="90">
        <f t="shared" si="59"/>
        <v>75.946179075020581</v>
      </c>
      <c r="W113" s="90">
        <f t="shared" si="59"/>
        <v>78.457104616329119</v>
      </c>
      <c r="X113" s="90">
        <f t="shared" si="59"/>
        <v>80.968030157638253</v>
      </c>
      <c r="Y113" s="90">
        <f t="shared" si="59"/>
        <v>83.478955698947985</v>
      </c>
      <c r="Z113" s="90">
        <f t="shared" si="59"/>
        <v>83.478955698947985</v>
      </c>
      <c r="AA113" s="90">
        <f t="shared" si="59"/>
        <v>83.478955698947985</v>
      </c>
      <c r="AB113" s="90">
        <f t="shared" si="59"/>
        <v>83.478955698947985</v>
      </c>
      <c r="AC113" s="90">
        <f t="shared" si="59"/>
        <v>83.478955698947985</v>
      </c>
      <c r="AD113" s="90">
        <f t="shared" si="59"/>
        <v>83.478955698947985</v>
      </c>
      <c r="AE113" s="90">
        <f t="shared" si="59"/>
        <v>83.478955698947985</v>
      </c>
      <c r="AF113" s="90">
        <f t="shared" si="59"/>
        <v>83.478955698947985</v>
      </c>
      <c r="AG113" s="90">
        <f t="shared" si="59"/>
        <v>83.478955698947985</v>
      </c>
      <c r="AH113" s="90">
        <f t="shared" si="59"/>
        <v>83.478955698947985</v>
      </c>
      <c r="AI113" s="90">
        <f t="shared" si="59"/>
        <v>83.478955698947985</v>
      </c>
      <c r="AJ113" s="90">
        <f t="shared" si="59"/>
        <v>83.478955698947985</v>
      </c>
      <c r="AK113" s="90">
        <f t="shared" si="59"/>
        <v>83.478955698947985</v>
      </c>
      <c r="AL113" s="90">
        <f t="shared" si="59"/>
        <v>83.478955698947985</v>
      </c>
      <c r="AM113" s="90">
        <f t="shared" si="59"/>
        <v>83.478955698947985</v>
      </c>
      <c r="AN113" s="90">
        <f t="shared" si="59"/>
        <v>83.478955698947985</v>
      </c>
      <c r="AO113" s="90">
        <f t="shared" si="59"/>
        <v>83.478955698947985</v>
      </c>
      <c r="AP113" s="90">
        <f t="shared" si="59"/>
        <v>83.478955698947985</v>
      </c>
      <c r="AQ113" s="90">
        <f t="shared" si="59"/>
        <v>83.478955698947985</v>
      </c>
      <c r="AR113" s="3" t="s">
        <v>314</v>
      </c>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row>
    <row r="114" spans="1:95" ht="15" hidden="1" customHeight="1" outlineLevel="2">
      <c r="A114" s="97"/>
      <c r="B114" s="97" t="s">
        <v>315</v>
      </c>
      <c r="C114" s="97">
        <f>Road_mask*Night_impact_mask*Non_night_modelling_mask</f>
        <v>1</v>
      </c>
      <c r="D114" s="90">
        <f t="shared" ref="D114:AQ114" si="60">Sleep_disturbance_values_road_1dB_16hr_in</f>
        <v>0</v>
      </c>
      <c r="E114" s="90">
        <f t="shared" si="60"/>
        <v>0</v>
      </c>
      <c r="F114" s="90">
        <f t="shared" si="60"/>
        <v>0</v>
      </c>
      <c r="G114" s="90">
        <f t="shared" si="60"/>
        <v>0</v>
      </c>
      <c r="H114" s="90">
        <f t="shared" si="60"/>
        <v>0</v>
      </c>
      <c r="I114" s="90">
        <f t="shared" si="60"/>
        <v>0</v>
      </c>
      <c r="J114" s="90">
        <f t="shared" si="60"/>
        <v>0</v>
      </c>
      <c r="K114" s="90">
        <f t="shared" si="60"/>
        <v>0</v>
      </c>
      <c r="L114" s="90">
        <f t="shared" si="60"/>
        <v>22.546606838768618</v>
      </c>
      <c r="M114" s="90">
        <f t="shared" si="60"/>
        <v>24.585946000073541</v>
      </c>
      <c r="N114" s="90">
        <f t="shared" si="60"/>
        <v>26.625285161375768</v>
      </c>
      <c r="O114" s="90">
        <f t="shared" si="60"/>
        <v>28.664624322680396</v>
      </c>
      <c r="P114" s="90">
        <f t="shared" si="60"/>
        <v>30.703963483983816</v>
      </c>
      <c r="Q114" s="90">
        <f t="shared" si="60"/>
        <v>32.743302645287237</v>
      </c>
      <c r="R114" s="90">
        <f t="shared" si="60"/>
        <v>34.782641806590966</v>
      </c>
      <c r="S114" s="90">
        <f t="shared" si="60"/>
        <v>36.821980967894682</v>
      </c>
      <c r="T114" s="90">
        <f t="shared" si="60"/>
        <v>38.861320129199306</v>
      </c>
      <c r="U114" s="90">
        <f t="shared" si="60"/>
        <v>40.900659290501537</v>
      </c>
      <c r="V114" s="90">
        <f t="shared" si="60"/>
        <v>42.939998451806758</v>
      </c>
      <c r="W114" s="90">
        <f t="shared" si="60"/>
        <v>44.979337613110189</v>
      </c>
      <c r="X114" s="90">
        <f t="shared" si="60"/>
        <v>47.01867677441421</v>
      </c>
      <c r="Y114" s="90">
        <f t="shared" si="60"/>
        <v>49.058015935716426</v>
      </c>
      <c r="Z114" s="90">
        <f t="shared" si="60"/>
        <v>51.097355097021058</v>
      </c>
      <c r="AA114" s="90">
        <f t="shared" si="60"/>
        <v>53.136694258324482</v>
      </c>
      <c r="AB114" s="90">
        <f t="shared" si="60"/>
        <v>55.176033419627899</v>
      </c>
      <c r="AC114" s="90">
        <f t="shared" si="60"/>
        <v>57.215372580932531</v>
      </c>
      <c r="AD114" s="90">
        <f t="shared" si="60"/>
        <v>59.254711742235948</v>
      </c>
      <c r="AE114" s="90">
        <f t="shared" si="60"/>
        <v>61.294050903539365</v>
      </c>
      <c r="AF114" s="90">
        <f t="shared" si="60"/>
        <v>63.333390064842796</v>
      </c>
      <c r="AG114" s="90">
        <f t="shared" si="60"/>
        <v>65.37272922614801</v>
      </c>
      <c r="AH114" s="90">
        <f t="shared" si="60"/>
        <v>67.412068387450248</v>
      </c>
      <c r="AI114" s="90">
        <f t="shared" si="60"/>
        <v>67.412068387450248</v>
      </c>
      <c r="AJ114" s="90">
        <f t="shared" si="60"/>
        <v>67.412068387450248</v>
      </c>
      <c r="AK114" s="90">
        <f t="shared" si="60"/>
        <v>67.412068387450248</v>
      </c>
      <c r="AL114" s="90">
        <f t="shared" si="60"/>
        <v>67.412068387450248</v>
      </c>
      <c r="AM114" s="90">
        <f t="shared" si="60"/>
        <v>67.412068387450248</v>
      </c>
      <c r="AN114" s="90">
        <f t="shared" si="60"/>
        <v>67.412068387450248</v>
      </c>
      <c r="AO114" s="90">
        <f t="shared" si="60"/>
        <v>67.412068387450248</v>
      </c>
      <c r="AP114" s="90">
        <f t="shared" si="60"/>
        <v>67.412068387450248</v>
      </c>
      <c r="AQ114" s="90">
        <f t="shared" si="60"/>
        <v>67.412068387450248</v>
      </c>
      <c r="AR114" s="3" t="s">
        <v>316</v>
      </c>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row>
    <row r="115" spans="1:95" ht="15" hidden="1" customHeight="1" outlineLevel="2">
      <c r="A115" s="97"/>
      <c r="B115" s="97"/>
      <c r="C115" s="111"/>
      <c r="D115" s="3"/>
      <c r="E115" s="3"/>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row>
    <row r="116" spans="1:95" ht="15" hidden="1" customHeight="1" outlineLevel="2">
      <c r="A116" s="97"/>
      <c r="B116" s="126" t="str">
        <f>IF(Night_modelling_mask=1,("Noise change in the interval, (dB Lnight)"),("Noise change in the interval, (dB Leq, 16hr)"))</f>
        <v>Noise change in the interval, (dB Leq, 16hr)</v>
      </c>
      <c r="C116" s="97"/>
      <c r="D116" s="13" t="s">
        <v>162</v>
      </c>
      <c r="E116" s="14">
        <v>45</v>
      </c>
      <c r="F116" s="15">
        <v>46</v>
      </c>
      <c r="G116" s="14">
        <v>47</v>
      </c>
      <c r="H116" s="15">
        <v>48</v>
      </c>
      <c r="I116" s="14">
        <v>49</v>
      </c>
      <c r="J116" s="15">
        <v>50</v>
      </c>
      <c r="K116" s="14">
        <v>51</v>
      </c>
      <c r="L116" s="15">
        <v>52</v>
      </c>
      <c r="M116" s="14">
        <v>53</v>
      </c>
      <c r="N116" s="15">
        <v>54</v>
      </c>
      <c r="O116" s="14">
        <v>55</v>
      </c>
      <c r="P116" s="15">
        <v>56</v>
      </c>
      <c r="Q116" s="14">
        <v>57</v>
      </c>
      <c r="R116" s="15">
        <v>58</v>
      </c>
      <c r="S116" s="14">
        <v>59</v>
      </c>
      <c r="T116" s="15">
        <v>60</v>
      </c>
      <c r="U116" s="14">
        <v>61</v>
      </c>
      <c r="V116" s="15">
        <v>62</v>
      </c>
      <c r="W116" s="14">
        <v>63</v>
      </c>
      <c r="X116" s="15">
        <v>64</v>
      </c>
      <c r="Y116" s="14">
        <v>65</v>
      </c>
      <c r="Z116" s="15">
        <v>66</v>
      </c>
      <c r="AA116" s="14">
        <v>67</v>
      </c>
      <c r="AB116" s="15">
        <v>68</v>
      </c>
      <c r="AC116" s="14">
        <v>69</v>
      </c>
      <c r="AD116" s="15">
        <v>70</v>
      </c>
      <c r="AE116" s="14">
        <v>71</v>
      </c>
      <c r="AF116" s="15">
        <v>72</v>
      </c>
      <c r="AG116" s="14">
        <v>73</v>
      </c>
      <c r="AH116" s="15">
        <v>74</v>
      </c>
      <c r="AI116" s="14">
        <v>75</v>
      </c>
      <c r="AJ116" s="15">
        <v>76</v>
      </c>
      <c r="AK116" s="14">
        <v>77</v>
      </c>
      <c r="AL116" s="15">
        <v>78</v>
      </c>
      <c r="AM116" s="14">
        <v>79</v>
      </c>
      <c r="AN116" s="15">
        <v>80</v>
      </c>
      <c r="AO116" s="14">
        <v>81</v>
      </c>
      <c r="AP116" s="15">
        <v>82</v>
      </c>
      <c r="AQ116" s="14">
        <v>83</v>
      </c>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row>
    <row r="117" spans="1:95" ht="15" hidden="1" customHeight="1" outlineLevel="2">
      <c r="A117" s="97"/>
      <c r="B117" s="126"/>
      <c r="C117" s="97"/>
      <c r="D117" s="13">
        <v>45</v>
      </c>
      <c r="E117" s="14">
        <v>46</v>
      </c>
      <c r="F117" s="13">
        <v>47</v>
      </c>
      <c r="G117" s="14">
        <v>48</v>
      </c>
      <c r="H117" s="13">
        <v>49</v>
      </c>
      <c r="I117" s="14">
        <v>50</v>
      </c>
      <c r="J117" s="13">
        <v>51</v>
      </c>
      <c r="K117" s="14">
        <v>52</v>
      </c>
      <c r="L117" s="13">
        <v>53</v>
      </c>
      <c r="M117" s="14">
        <v>54</v>
      </c>
      <c r="N117" s="13">
        <v>55</v>
      </c>
      <c r="O117" s="14">
        <v>56</v>
      </c>
      <c r="P117" s="13">
        <v>57</v>
      </c>
      <c r="Q117" s="14">
        <v>58</v>
      </c>
      <c r="R117" s="13">
        <v>59</v>
      </c>
      <c r="S117" s="14">
        <v>60</v>
      </c>
      <c r="T117" s="13">
        <v>61</v>
      </c>
      <c r="U117" s="14">
        <v>62</v>
      </c>
      <c r="V117" s="13">
        <v>63</v>
      </c>
      <c r="W117" s="14">
        <v>64</v>
      </c>
      <c r="X117" s="13">
        <v>65</v>
      </c>
      <c r="Y117" s="14">
        <v>66</v>
      </c>
      <c r="Z117" s="13">
        <v>67</v>
      </c>
      <c r="AA117" s="14">
        <v>68</v>
      </c>
      <c r="AB117" s="13">
        <v>69</v>
      </c>
      <c r="AC117" s="14">
        <v>70</v>
      </c>
      <c r="AD117" s="13">
        <v>71</v>
      </c>
      <c r="AE117" s="14">
        <v>72</v>
      </c>
      <c r="AF117" s="13">
        <v>73</v>
      </c>
      <c r="AG117" s="14">
        <v>74</v>
      </c>
      <c r="AH117" s="13">
        <v>75</v>
      </c>
      <c r="AI117" s="14">
        <v>76</v>
      </c>
      <c r="AJ117" s="13">
        <v>77</v>
      </c>
      <c r="AK117" s="14">
        <v>78</v>
      </c>
      <c r="AL117" s="13">
        <v>79</v>
      </c>
      <c r="AM117" s="14">
        <v>80</v>
      </c>
      <c r="AN117" s="13">
        <v>81</v>
      </c>
      <c r="AO117" s="14">
        <v>82</v>
      </c>
      <c r="AP117" s="13">
        <v>83</v>
      </c>
      <c r="AQ117" s="14">
        <v>84</v>
      </c>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row>
    <row r="118" spans="1:95" ht="15" hidden="1" customHeight="1" outlineLevel="2">
      <c r="A118" s="97"/>
      <c r="B118" s="97" t="s">
        <v>317</v>
      </c>
      <c r="C118" s="97"/>
      <c r="D118" s="90">
        <f>Sleep_disturbance_values_road_1dB_night*Road_Lnight_mask+Sleep_disturbance_values_rail_1dB_night*Rail_Lnight_mask+Sleep_disturbance_values_aviation_1dB_night*Aviation_Lnight_mask+Sleep_disturbance_values_road_1dB_16hr*Road_L16h_mask</f>
        <v>0</v>
      </c>
      <c r="E118" s="90">
        <f t="shared" ref="E118:AQ118" si="61">Sleep_disturbance_values_road_1dB_night*Road_Lnight_mask+Sleep_disturbance_values_rail_1dB_night*Rail_Lnight_mask+Sleep_disturbance_values_aviation_1dB_night*Aviation_Lnight_mask+Sleep_disturbance_values_road_1dB_16hr*Road_L16h_mask</f>
        <v>0</v>
      </c>
      <c r="F118" s="90">
        <f t="shared" si="61"/>
        <v>0</v>
      </c>
      <c r="G118" s="90">
        <f t="shared" si="61"/>
        <v>0</v>
      </c>
      <c r="H118" s="90">
        <f t="shared" si="61"/>
        <v>0</v>
      </c>
      <c r="I118" s="90">
        <f t="shared" si="61"/>
        <v>0</v>
      </c>
      <c r="J118" s="90">
        <f t="shared" si="61"/>
        <v>0</v>
      </c>
      <c r="K118" s="90">
        <f t="shared" si="61"/>
        <v>0</v>
      </c>
      <c r="L118" s="90">
        <f t="shared" si="61"/>
        <v>22.546606838768618</v>
      </c>
      <c r="M118" s="90">
        <f t="shared" si="61"/>
        <v>24.585946000073541</v>
      </c>
      <c r="N118" s="90">
        <f t="shared" si="61"/>
        <v>26.625285161375768</v>
      </c>
      <c r="O118" s="90">
        <f t="shared" si="61"/>
        <v>28.664624322680396</v>
      </c>
      <c r="P118" s="90">
        <f t="shared" si="61"/>
        <v>30.703963483983816</v>
      </c>
      <c r="Q118" s="90">
        <f t="shared" si="61"/>
        <v>32.743302645287237</v>
      </c>
      <c r="R118" s="90">
        <f t="shared" si="61"/>
        <v>34.782641806590966</v>
      </c>
      <c r="S118" s="90">
        <f t="shared" si="61"/>
        <v>36.821980967894682</v>
      </c>
      <c r="T118" s="90">
        <f t="shared" si="61"/>
        <v>38.861320129199306</v>
      </c>
      <c r="U118" s="90">
        <f t="shared" si="61"/>
        <v>40.900659290501537</v>
      </c>
      <c r="V118" s="90">
        <f t="shared" si="61"/>
        <v>42.939998451806758</v>
      </c>
      <c r="W118" s="90">
        <f t="shared" si="61"/>
        <v>44.979337613110189</v>
      </c>
      <c r="X118" s="90">
        <f t="shared" si="61"/>
        <v>47.01867677441421</v>
      </c>
      <c r="Y118" s="90">
        <f t="shared" si="61"/>
        <v>49.058015935716426</v>
      </c>
      <c r="Z118" s="90">
        <f t="shared" si="61"/>
        <v>51.097355097021058</v>
      </c>
      <c r="AA118" s="90">
        <f t="shared" si="61"/>
        <v>53.136694258324482</v>
      </c>
      <c r="AB118" s="90">
        <f t="shared" si="61"/>
        <v>55.176033419627899</v>
      </c>
      <c r="AC118" s="90">
        <f t="shared" si="61"/>
        <v>57.215372580932531</v>
      </c>
      <c r="AD118" s="90">
        <f t="shared" si="61"/>
        <v>59.254711742235948</v>
      </c>
      <c r="AE118" s="90">
        <f t="shared" si="61"/>
        <v>61.294050903539365</v>
      </c>
      <c r="AF118" s="90">
        <f t="shared" si="61"/>
        <v>63.333390064842796</v>
      </c>
      <c r="AG118" s="90">
        <f t="shared" si="61"/>
        <v>65.37272922614801</v>
      </c>
      <c r="AH118" s="90">
        <f t="shared" si="61"/>
        <v>67.412068387450248</v>
      </c>
      <c r="AI118" s="90">
        <f t="shared" si="61"/>
        <v>67.412068387450248</v>
      </c>
      <c r="AJ118" s="90">
        <f t="shared" si="61"/>
        <v>67.412068387450248</v>
      </c>
      <c r="AK118" s="90">
        <f t="shared" si="61"/>
        <v>67.412068387450248</v>
      </c>
      <c r="AL118" s="90">
        <f t="shared" si="61"/>
        <v>67.412068387450248</v>
      </c>
      <c r="AM118" s="90">
        <f t="shared" si="61"/>
        <v>67.412068387450248</v>
      </c>
      <c r="AN118" s="90">
        <f t="shared" si="61"/>
        <v>67.412068387450248</v>
      </c>
      <c r="AO118" s="90">
        <f t="shared" si="61"/>
        <v>67.412068387450248</v>
      </c>
      <c r="AP118" s="90">
        <f t="shared" si="61"/>
        <v>67.412068387450248</v>
      </c>
      <c r="AQ118" s="90">
        <f t="shared" si="61"/>
        <v>67.412068387450248</v>
      </c>
      <c r="AR118" s="3" t="s">
        <v>318</v>
      </c>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row>
    <row r="119" spans="1:95" ht="15" hidden="1" customHeight="1" outlineLevel="2">
      <c r="A119" s="97"/>
      <c r="B119" s="97"/>
      <c r="C119" s="97"/>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3"/>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row>
    <row r="120" spans="1:95" ht="15" hidden="1" customHeight="1" outlineLevel="2">
      <c r="A120" s="97"/>
      <c r="C120" s="127" t="s">
        <v>319</v>
      </c>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3"/>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row>
    <row r="121" spans="1:95" ht="15" hidden="1" customHeight="1" outlineLevel="2">
      <c r="A121" s="97"/>
      <c r="B121" s="97" t="s">
        <v>320</v>
      </c>
      <c r="C121" s="127" t="s">
        <v>80</v>
      </c>
      <c r="D121" s="90">
        <v>1</v>
      </c>
      <c r="E121" s="90">
        <v>1</v>
      </c>
      <c r="F121" s="90">
        <v>0.5</v>
      </c>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3" t="s">
        <v>321</v>
      </c>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row>
    <row r="122" spans="1:95" ht="15" hidden="1" customHeight="1" outlineLevel="2">
      <c r="A122" s="97"/>
      <c r="B122" s="97" t="s">
        <v>322</v>
      </c>
      <c r="C122" s="127" t="s">
        <v>81</v>
      </c>
      <c r="D122" s="90"/>
      <c r="E122" s="90"/>
      <c r="F122" s="90">
        <v>0.5</v>
      </c>
      <c r="G122" s="90">
        <v>1</v>
      </c>
      <c r="H122" s="90">
        <v>1</v>
      </c>
      <c r="I122" s="90">
        <v>0.5</v>
      </c>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3" t="s">
        <v>323</v>
      </c>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row>
    <row r="123" spans="1:95" ht="15" hidden="1" customHeight="1" outlineLevel="2">
      <c r="A123" s="97"/>
      <c r="B123" s="97" t="s">
        <v>324</v>
      </c>
      <c r="C123" s="127" t="s">
        <v>82</v>
      </c>
      <c r="D123" s="90"/>
      <c r="E123" s="90"/>
      <c r="F123" s="90"/>
      <c r="G123" s="90"/>
      <c r="H123" s="90"/>
      <c r="I123" s="90">
        <v>0.5</v>
      </c>
      <c r="J123" s="90">
        <v>1</v>
      </c>
      <c r="K123" s="90">
        <v>1</v>
      </c>
      <c r="L123" s="90">
        <v>0.5</v>
      </c>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3" t="s">
        <v>325</v>
      </c>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row>
    <row r="124" spans="1:95" ht="15" hidden="1" customHeight="1" outlineLevel="2">
      <c r="A124" s="97"/>
      <c r="B124" s="97"/>
      <c r="C124" s="127" t="s">
        <v>83</v>
      </c>
      <c r="D124" s="90"/>
      <c r="E124" s="90"/>
      <c r="F124" s="90"/>
      <c r="G124" s="90"/>
      <c r="H124" s="90"/>
      <c r="I124" s="90"/>
      <c r="J124" s="90"/>
      <c r="K124" s="90"/>
      <c r="L124" s="90">
        <v>0.5</v>
      </c>
      <c r="M124" s="90">
        <v>1</v>
      </c>
      <c r="N124" s="90">
        <v>1</v>
      </c>
      <c r="O124" s="90">
        <v>0.5</v>
      </c>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3" t="s">
        <v>326</v>
      </c>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row>
    <row r="125" spans="1:95" ht="15" hidden="1" customHeight="1" outlineLevel="2">
      <c r="A125" s="97"/>
      <c r="B125" s="97"/>
      <c r="C125" s="127" t="s">
        <v>84</v>
      </c>
      <c r="D125" s="90"/>
      <c r="E125" s="90"/>
      <c r="F125" s="90"/>
      <c r="G125" s="90"/>
      <c r="H125" s="90"/>
      <c r="I125" s="90"/>
      <c r="J125" s="90"/>
      <c r="K125" s="90"/>
      <c r="L125" s="90"/>
      <c r="M125" s="90"/>
      <c r="N125" s="90"/>
      <c r="O125" s="90">
        <v>0.5</v>
      </c>
      <c r="P125" s="90">
        <v>1</v>
      </c>
      <c r="Q125" s="90">
        <v>1</v>
      </c>
      <c r="R125" s="90">
        <v>0.5</v>
      </c>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3" t="s">
        <v>327</v>
      </c>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row>
    <row r="126" spans="1:95" ht="15" hidden="1" customHeight="1" outlineLevel="2">
      <c r="A126" s="97"/>
      <c r="B126" s="97"/>
      <c r="C126" s="127" t="s">
        <v>85</v>
      </c>
      <c r="D126" s="90"/>
      <c r="E126" s="90"/>
      <c r="F126" s="90"/>
      <c r="G126" s="90"/>
      <c r="H126" s="90"/>
      <c r="I126" s="90"/>
      <c r="J126" s="90"/>
      <c r="K126" s="90"/>
      <c r="L126" s="90"/>
      <c r="M126" s="90"/>
      <c r="N126" s="90"/>
      <c r="O126" s="90"/>
      <c r="P126" s="90"/>
      <c r="Q126" s="90"/>
      <c r="R126" s="90">
        <v>0.5</v>
      </c>
      <c r="S126" s="90">
        <v>1</v>
      </c>
      <c r="T126" s="90">
        <v>1</v>
      </c>
      <c r="U126" s="90">
        <v>0.5</v>
      </c>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3" t="s">
        <v>328</v>
      </c>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row>
    <row r="127" spans="1:95" ht="15" hidden="1" customHeight="1" outlineLevel="2">
      <c r="A127" s="97"/>
      <c r="B127" s="97"/>
      <c r="C127" s="127" t="s">
        <v>86</v>
      </c>
      <c r="D127" s="90"/>
      <c r="E127" s="90"/>
      <c r="F127" s="90"/>
      <c r="G127" s="90"/>
      <c r="H127" s="90"/>
      <c r="I127" s="90"/>
      <c r="J127" s="90"/>
      <c r="K127" s="90"/>
      <c r="L127" s="90"/>
      <c r="M127" s="90"/>
      <c r="N127" s="90"/>
      <c r="O127" s="90"/>
      <c r="P127" s="90"/>
      <c r="Q127" s="90"/>
      <c r="R127" s="90"/>
      <c r="S127" s="90"/>
      <c r="T127" s="90"/>
      <c r="U127" s="90">
        <v>0.5</v>
      </c>
      <c r="V127" s="90">
        <v>1</v>
      </c>
      <c r="W127" s="90">
        <v>1</v>
      </c>
      <c r="X127" s="90">
        <v>0.5</v>
      </c>
      <c r="Y127" s="90"/>
      <c r="Z127" s="90"/>
      <c r="AA127" s="90"/>
      <c r="AB127" s="90"/>
      <c r="AC127" s="90"/>
      <c r="AD127" s="90"/>
      <c r="AE127" s="90"/>
      <c r="AF127" s="90"/>
      <c r="AG127" s="90"/>
      <c r="AH127" s="90"/>
      <c r="AI127" s="90"/>
      <c r="AJ127" s="90"/>
      <c r="AK127" s="90"/>
      <c r="AL127" s="90"/>
      <c r="AM127" s="90"/>
      <c r="AN127" s="90"/>
      <c r="AO127" s="90"/>
      <c r="AP127" s="90"/>
      <c r="AQ127" s="90"/>
      <c r="AR127" s="3" t="s">
        <v>329</v>
      </c>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row>
    <row r="128" spans="1:95" ht="15" hidden="1" customHeight="1" outlineLevel="2">
      <c r="A128" s="97"/>
      <c r="B128" s="97"/>
      <c r="C128" s="127" t="s">
        <v>87</v>
      </c>
      <c r="D128" s="90"/>
      <c r="E128" s="90"/>
      <c r="F128" s="90"/>
      <c r="G128" s="90"/>
      <c r="H128" s="90"/>
      <c r="I128" s="90"/>
      <c r="J128" s="90"/>
      <c r="K128" s="90"/>
      <c r="L128" s="90"/>
      <c r="M128" s="90"/>
      <c r="N128" s="90"/>
      <c r="O128" s="90"/>
      <c r="P128" s="90"/>
      <c r="Q128" s="90"/>
      <c r="R128" s="90"/>
      <c r="S128" s="90"/>
      <c r="T128" s="90"/>
      <c r="U128" s="90"/>
      <c r="V128" s="90"/>
      <c r="W128" s="90"/>
      <c r="X128" s="90">
        <v>0.5</v>
      </c>
      <c r="Y128" s="90">
        <v>1</v>
      </c>
      <c r="Z128" s="90">
        <v>1</v>
      </c>
      <c r="AA128" s="90">
        <v>0.5</v>
      </c>
      <c r="AB128" s="90"/>
      <c r="AC128" s="90"/>
      <c r="AD128" s="90"/>
      <c r="AE128" s="90"/>
      <c r="AF128" s="90"/>
      <c r="AG128" s="90"/>
      <c r="AH128" s="90"/>
      <c r="AI128" s="90"/>
      <c r="AJ128" s="90"/>
      <c r="AK128" s="90"/>
      <c r="AL128" s="90"/>
      <c r="AM128" s="90"/>
      <c r="AN128" s="90"/>
      <c r="AO128" s="90"/>
      <c r="AP128" s="90"/>
      <c r="AQ128" s="90"/>
      <c r="AR128" s="3" t="s">
        <v>330</v>
      </c>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row>
    <row r="129" spans="1:95" ht="15" hidden="1" customHeight="1" outlineLevel="2">
      <c r="A129" s="97"/>
      <c r="B129" s="97"/>
      <c r="C129" s="127" t="s">
        <v>88</v>
      </c>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v>0.5</v>
      </c>
      <c r="AB129" s="90">
        <v>1</v>
      </c>
      <c r="AC129" s="90">
        <v>1</v>
      </c>
      <c r="AD129" s="90">
        <v>0.5</v>
      </c>
      <c r="AE129" s="90"/>
      <c r="AF129" s="90"/>
      <c r="AG129" s="90"/>
      <c r="AH129" s="90"/>
      <c r="AI129" s="90"/>
      <c r="AJ129" s="90"/>
      <c r="AK129" s="90"/>
      <c r="AL129" s="90"/>
      <c r="AM129" s="90"/>
      <c r="AN129" s="90"/>
      <c r="AO129" s="90"/>
      <c r="AP129" s="90"/>
      <c r="AQ129" s="90"/>
      <c r="AR129" s="3" t="s">
        <v>331</v>
      </c>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row>
    <row r="130" spans="1:95" ht="15" hidden="1" customHeight="1" outlineLevel="2">
      <c r="A130" s="97"/>
      <c r="B130" s="97"/>
      <c r="C130" s="127" t="s">
        <v>89</v>
      </c>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v>0.5</v>
      </c>
      <c r="AE130" s="90">
        <v>1</v>
      </c>
      <c r="AF130" s="90">
        <v>1</v>
      </c>
      <c r="AG130" s="90">
        <v>0.5</v>
      </c>
      <c r="AH130" s="90"/>
      <c r="AI130" s="90"/>
      <c r="AJ130" s="90"/>
      <c r="AK130" s="90"/>
      <c r="AL130" s="90"/>
      <c r="AM130" s="90"/>
      <c r="AN130" s="90"/>
      <c r="AO130" s="90"/>
      <c r="AP130" s="90"/>
      <c r="AQ130" s="90"/>
      <c r="AR130" s="3" t="s">
        <v>332</v>
      </c>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row>
    <row r="131" spans="1:95" ht="15" hidden="1" customHeight="1" outlineLevel="2">
      <c r="A131" s="97"/>
      <c r="B131" s="97"/>
      <c r="C131" s="127" t="s">
        <v>90</v>
      </c>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v>0.5</v>
      </c>
      <c r="AH131" s="90">
        <v>1</v>
      </c>
      <c r="AI131" s="90">
        <v>1</v>
      </c>
      <c r="AJ131" s="90">
        <v>0.5</v>
      </c>
      <c r="AK131" s="90"/>
      <c r="AL131" s="90"/>
      <c r="AM131" s="90"/>
      <c r="AN131" s="90"/>
      <c r="AO131" s="90"/>
      <c r="AP131" s="90"/>
      <c r="AQ131" s="90"/>
      <c r="AR131" s="3" t="s">
        <v>333</v>
      </c>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row>
    <row r="132" spans="1:95" ht="15" hidden="1" customHeight="1" outlineLevel="2">
      <c r="A132" s="97"/>
      <c r="B132" s="97"/>
      <c r="C132" s="127" t="s">
        <v>91</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v>0.5</v>
      </c>
      <c r="AK132" s="90">
        <v>1</v>
      </c>
      <c r="AL132" s="90">
        <v>1</v>
      </c>
      <c r="AM132" s="90">
        <v>0.5</v>
      </c>
      <c r="AN132" s="90"/>
      <c r="AO132" s="90"/>
      <c r="AP132" s="90"/>
      <c r="AQ132" s="90"/>
      <c r="AR132" s="3" t="s">
        <v>334</v>
      </c>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row>
    <row r="133" spans="1:95" ht="15" hidden="1" customHeight="1" outlineLevel="2">
      <c r="A133" s="97"/>
      <c r="B133" s="97"/>
      <c r="C133" s="127" t="s">
        <v>92</v>
      </c>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v>0.5</v>
      </c>
      <c r="AN133" s="90">
        <v>1</v>
      </c>
      <c r="AO133" s="90">
        <v>1</v>
      </c>
      <c r="AP133" s="90">
        <v>0.5</v>
      </c>
      <c r="AQ133" s="90"/>
      <c r="AR133" s="3" t="s">
        <v>335</v>
      </c>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row>
    <row r="134" spans="1:95" ht="15" hidden="1" customHeight="1" outlineLevel="2">
      <c r="A134" s="97"/>
      <c r="B134" s="97"/>
      <c r="C134" s="97"/>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3"/>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row>
    <row r="135" spans="1:95" ht="15" customHeight="1" outlineLevel="1" collapsed="1">
      <c r="A135" s="97"/>
      <c r="B135" s="126" t="str">
        <f>Sleep_disturbance_metric</f>
        <v>Noise change in the interval, (dB Leq, 16hr)</v>
      </c>
      <c r="C135" s="97"/>
      <c r="D135" s="19" t="s">
        <v>80</v>
      </c>
      <c r="E135" s="20" t="s">
        <v>81</v>
      </c>
      <c r="F135" s="20" t="s">
        <v>82</v>
      </c>
      <c r="G135" s="20" t="s">
        <v>83</v>
      </c>
      <c r="H135" s="20" t="s">
        <v>84</v>
      </c>
      <c r="I135" s="20" t="s">
        <v>85</v>
      </c>
      <c r="J135" s="20" t="s">
        <v>86</v>
      </c>
      <c r="K135" s="20" t="s">
        <v>87</v>
      </c>
      <c r="L135" s="20" t="s">
        <v>88</v>
      </c>
      <c r="M135" s="20" t="s">
        <v>89</v>
      </c>
      <c r="N135" s="20" t="s">
        <v>90</v>
      </c>
      <c r="O135" s="20" t="s">
        <v>91</v>
      </c>
      <c r="P135" s="20" t="s">
        <v>92</v>
      </c>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row>
    <row r="136" spans="1:95" ht="15" customHeight="1" outlineLevel="1">
      <c r="A136" s="97"/>
      <c r="B136" s="126"/>
      <c r="C136" s="97"/>
      <c r="D136" s="19" t="s">
        <v>81</v>
      </c>
      <c r="E136" s="20" t="s">
        <v>82</v>
      </c>
      <c r="F136" s="20" t="s">
        <v>83</v>
      </c>
      <c r="G136" s="20" t="s">
        <v>84</v>
      </c>
      <c r="H136" s="20" t="s">
        <v>85</v>
      </c>
      <c r="I136" s="20" t="s">
        <v>86</v>
      </c>
      <c r="J136" s="20" t="s">
        <v>87</v>
      </c>
      <c r="K136" s="20" t="s">
        <v>88</v>
      </c>
      <c r="L136" s="20" t="s">
        <v>89</v>
      </c>
      <c r="M136" s="20" t="s">
        <v>90</v>
      </c>
      <c r="N136" s="20" t="s">
        <v>91</v>
      </c>
      <c r="O136" s="20" t="s">
        <v>92</v>
      </c>
      <c r="P136" s="20" t="s">
        <v>93</v>
      </c>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row>
    <row r="137" spans="1:95" ht="15" customHeight="1" outlineLevel="1">
      <c r="A137" s="97"/>
      <c r="B137" s="97" t="s">
        <v>317</v>
      </c>
      <c r="C137" s="97"/>
      <c r="D137" s="128">
        <f>SUMPRODUCT(Sleep_disturbance_values_1dB_table,S_d_1_to_3_dB_band_45)</f>
        <v>0</v>
      </c>
      <c r="E137" s="128">
        <f>SUMPRODUCT(Sleep_disturbance_values_1dB_table,S_d_1_to_3_dB_band_45_48)</f>
        <v>0</v>
      </c>
      <c r="F137" s="128">
        <f>SUMPRODUCT(Sleep_disturbance_values_1dB_table,S_d_1_to_3_dB_band_48_51)</f>
        <v>11.273303419384309</v>
      </c>
      <c r="G137" s="128">
        <f>SUMPRODUCT(Sleep_disturbance_values_1dB_table,S_d_1_to_3_dB_band_51_54)</f>
        <v>76.816846742173823</v>
      </c>
      <c r="H137" s="128">
        <f>SUMPRODUCT(Sleep_disturbance_values_1dB_table,S_d_1_to_3_dB_band_54_57)</f>
        <v>95.170899193906735</v>
      </c>
      <c r="I137" s="128">
        <f>SUMPRODUCT(Sleep_disturbance_values_1dB_table,S_d_1_to_3_dB_band_57_60)</f>
        <v>113.52495164564024</v>
      </c>
      <c r="J137" s="128">
        <f>SUMPRODUCT(Sleep_disturbance_values_1dB_table,S_d_1_to_3_dB_band_60_63)</f>
        <v>131.8790040973748</v>
      </c>
      <c r="K137" s="128">
        <f>SUMPRODUCT(Sleep_disturbance_values_1dB_table,S_d_1_to_3_dB_band_63_66)</f>
        <v>150.23305654910683</v>
      </c>
      <c r="L137" s="128">
        <f>SUMPRODUCT(Sleep_disturbance_values_1dB_table,S_d_1_to_3_dB_band_66_69)</f>
        <v>168.58710900084063</v>
      </c>
      <c r="M137" s="128">
        <f>SUMPRODUCT(Sleep_disturbance_values_1dB_table,S_d_1_to_3_dB_band_69_72)</f>
        <v>186.94116145257414</v>
      </c>
      <c r="N137" s="128">
        <f>SUMPRODUCT(Sleep_disturbance_values_1dB_table,S_d_1_to_3_dB_band_72_75)</f>
        <v>201.21653558169962</v>
      </c>
      <c r="O137" s="128">
        <f>SUMPRODUCT(Sleep_disturbance_values_1dB_table,S_d_1_to_3_dB_band_75_78)</f>
        <v>202.23620516235073</v>
      </c>
      <c r="P137" s="128">
        <f>SUMPRODUCT(Sleep_disturbance_values_1dB_table,S_d_1_to_3_dB_band_78_81)</f>
        <v>202.23620516235073</v>
      </c>
      <c r="Q137" s="16" t="s">
        <v>336</v>
      </c>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row>
    <row r="138" spans="1:95" s="87" customFormat="1" ht="15" customHeight="1" outlineLevel="1">
      <c r="A138" s="84"/>
      <c r="B138" s="85"/>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row>
    <row r="139" spans="1:95" s="21" customFormat="1" ht="15" customHeight="1" outlineLevel="1">
      <c r="A139" s="23"/>
      <c r="B139" s="122"/>
      <c r="C139" s="60" t="s">
        <v>79</v>
      </c>
      <c r="D139" s="61" t="s">
        <v>80</v>
      </c>
      <c r="E139" s="104" t="s">
        <v>81</v>
      </c>
      <c r="F139" s="104" t="s">
        <v>82</v>
      </c>
      <c r="G139" s="104" t="s">
        <v>83</v>
      </c>
      <c r="H139" s="104" t="s">
        <v>84</v>
      </c>
      <c r="I139" s="104" t="s">
        <v>85</v>
      </c>
      <c r="J139" s="104" t="s">
        <v>86</v>
      </c>
      <c r="K139" s="104" t="s">
        <v>87</v>
      </c>
      <c r="L139" s="104" t="s">
        <v>88</v>
      </c>
      <c r="M139" s="104" t="s">
        <v>89</v>
      </c>
      <c r="N139" s="104" t="s">
        <v>90</v>
      </c>
      <c r="O139" s="104" t="s">
        <v>91</v>
      </c>
      <c r="P139" s="104" t="s">
        <v>92</v>
      </c>
      <c r="Q139" s="104" t="s">
        <v>93</v>
      </c>
      <c r="R139" s="22" t="s">
        <v>337</v>
      </c>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row>
    <row r="140" spans="1:95" s="21" customFormat="1" ht="15" customHeight="1" outlineLevel="1">
      <c r="A140" s="23"/>
      <c r="B140" s="60" t="s">
        <v>94</v>
      </c>
      <c r="C140" s="129"/>
      <c r="D140" s="129"/>
      <c r="E140" s="129"/>
      <c r="F140" s="129"/>
      <c r="G140" s="129"/>
      <c r="H140" s="129"/>
      <c r="I140" s="129"/>
      <c r="J140" s="129"/>
      <c r="K140" s="129"/>
      <c r="L140" s="129"/>
      <c r="M140" s="129"/>
      <c r="N140" s="129"/>
      <c r="O140" s="129"/>
      <c r="P140" s="129"/>
      <c r="Q140" s="130"/>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row>
    <row r="141" spans="1:95" s="21" customFormat="1" ht="15" customHeight="1" outlineLevel="1">
      <c r="A141" s="23"/>
      <c r="B141" s="61" t="s">
        <v>80</v>
      </c>
      <c r="C141" s="105"/>
      <c r="D141" s="131">
        <v>0</v>
      </c>
      <c r="E141" s="131">
        <f>-(HLOOKUP(Noise_3dB_bands,Sleep_disturbance_values_3dB_table,2,0))</f>
        <v>0</v>
      </c>
      <c r="F141" s="131">
        <f>-(HLOOKUP(Noise_3dB_bands,Sleep_disturbance_values_3dB_table,2,0)) + Without_45_with_45_48_sleep_disturbance_value</f>
        <v>0</v>
      </c>
      <c r="G141" s="131">
        <f>-(HLOOKUP(Noise_3dB_bands,Sleep_disturbance_values_3dB_table,2,0)) +Without_45_with_48_51_sleep_disturbance_value</f>
        <v>-11.273303419384309</v>
      </c>
      <c r="H141" s="131">
        <f>-(HLOOKUP(Noise_3dB_bands,Sleep_disturbance_values_3dB_table,2,0)) +Without_45_with_51_54_sleep_disturbance_value</f>
        <v>-88.090150161558128</v>
      </c>
      <c r="I141" s="131">
        <f>-(HLOOKUP(Noise_3dB_bands,Sleep_disturbance_values_3dB_table,2,0)) +Without_45_with_54_57_sleep_disturbance_value</f>
        <v>-183.26104935546488</v>
      </c>
      <c r="J141" s="131">
        <f>-(HLOOKUP(Noise_3dB_bands,Sleep_disturbance_values_3dB_table,2,0)) + Without_45_with_57_60_sleep_disturbance_value</f>
        <v>-296.78600100110509</v>
      </c>
      <c r="K141" s="131">
        <f>-(HLOOKUP(Noise_3dB_bands,Sleep_disturbance_values_3dB_table,2,0)) +Without_45_with_60_63_sleep_disturbance_value</f>
        <v>-428.66500509847992</v>
      </c>
      <c r="L141" s="131">
        <f>-(HLOOKUP(Noise_3dB_bands,Sleep_disturbance_values_3dB_table,2,0)) +Without_45_with_63_66_sleep_disturbance_value</f>
        <v>-578.8980616475867</v>
      </c>
      <c r="M141" s="131">
        <f>-(HLOOKUP(Noise_3dB_bands,Sleep_disturbance_values_3dB_table,2,0)) +Without_45_with_66_69_sleep_disturbance_value</f>
        <v>-747.48517064842736</v>
      </c>
      <c r="N141" s="131">
        <f>-(HLOOKUP(Noise_3dB_bands,Sleep_disturbance_values_3dB_table,2,0)) +Without_45_with_69_72_sleep_disturbance_value</f>
        <v>-934.42633210100144</v>
      </c>
      <c r="O141" s="131">
        <f>-(HLOOKUP(Noise_3dB_bands,Sleep_disturbance_values_3dB_table,2,0)) +Without_45_with_72_75_sleep_disturbance_value</f>
        <v>-1135.6428676827011</v>
      </c>
      <c r="P141" s="131">
        <f>-(HLOOKUP(Noise_3dB_bands,Sleep_disturbance_values_3dB_table,2,0)) +Without_45_with_75_78_sleep_disturbance_value</f>
        <v>-1337.8790728450517</v>
      </c>
      <c r="Q141" s="131">
        <f>-(HLOOKUP(Noise_3dB_bands,Sleep_disturbance_values_3dB_table,2,0)) +Without_45_with_78_81_sleep_disturbance_value</f>
        <v>-1540.1152780074024</v>
      </c>
      <c r="R141" s="22" t="s">
        <v>338</v>
      </c>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row>
    <row r="142" spans="1:95" s="21" customFormat="1" ht="15" customHeight="1" outlineLevel="1">
      <c r="A142" s="23"/>
      <c r="B142" s="104" t="s">
        <v>81</v>
      </c>
      <c r="C142" s="132"/>
      <c r="D142" s="131">
        <f>-Without_45_with_45_48_sleep_disturbance_value</f>
        <v>0</v>
      </c>
      <c r="E142" s="131">
        <v>0</v>
      </c>
      <c r="F142" s="131">
        <f>-(HLOOKUP(Noise_3dB_bands,Sleep_disturbance_values_3dB_table,2,0))</f>
        <v>0</v>
      </c>
      <c r="G142" s="131">
        <f>-(HLOOKUP(Noise_3dB_bands,Sleep_disturbance_values_3dB_table,2,0))+Without_45_48_with_48_51_sleep_disturbance_value</f>
        <v>-11.273303419384309</v>
      </c>
      <c r="H142" s="131">
        <f>-(HLOOKUP(Noise_3dB_bands,Sleep_disturbance_values_3dB_table,2,0))+Without_45_48_with_51_54_sleep_disturbance_value</f>
        <v>-88.090150161558128</v>
      </c>
      <c r="I142" s="131">
        <f>-(HLOOKUP(Noise_3dB_bands,Sleep_disturbance_values_3dB_table,2,0))+Without_45_48_with_54_57_sleep_disturbance_value</f>
        <v>-183.26104935546488</v>
      </c>
      <c r="J142" s="131">
        <f>-(HLOOKUP(Noise_3dB_bands,Sleep_disturbance_values_3dB_table,2,0))+Without_45_48_with_57_60_sleep_disturbance_value</f>
        <v>-296.78600100110509</v>
      </c>
      <c r="K142" s="131">
        <f>-(HLOOKUP(Noise_3dB_bands,Sleep_disturbance_values_3dB_table,2,0))+Without_45_48_with_60_63_sleep_disturbance_value</f>
        <v>-428.66500509847992</v>
      </c>
      <c r="L142" s="131">
        <f>-(HLOOKUP(Noise_3dB_bands,Sleep_disturbance_values_3dB_table,2,0))+Without_45_48_with_63_66_sleep_disturbance_value</f>
        <v>-578.8980616475867</v>
      </c>
      <c r="M142" s="131">
        <f>-(HLOOKUP(Noise_3dB_bands,Sleep_disturbance_values_3dB_table,2,0))+Without_45_48_with_66_69_sleep_disturbance_value</f>
        <v>-747.48517064842736</v>
      </c>
      <c r="N142" s="131">
        <f>-(HLOOKUP(Noise_3dB_bands,Sleep_disturbance_values_3dB_table,2,0))+Without_45_48_with_69_72_sleep_disturbance_value</f>
        <v>-934.42633210100144</v>
      </c>
      <c r="O142" s="131">
        <f>-(HLOOKUP(Noise_3dB_bands,Sleep_disturbance_values_3dB_table,2,0))+Without_45_48_with_72_75_sleep_disturbance_value</f>
        <v>-1135.6428676827011</v>
      </c>
      <c r="P142" s="131">
        <f>-(HLOOKUP(Noise_3dB_bands,Sleep_disturbance_values_3dB_table,2,0))+Without_45_48_with_75_78_sleep_disturbance_value</f>
        <v>-1337.8790728450517</v>
      </c>
      <c r="Q142" s="131">
        <f>-(HLOOKUP(Noise_3dB_bands,Sleep_disturbance_values_3dB_table,2,0))+Without_45_48_with_78_81_sleep_disturbance_value</f>
        <v>-1540.1152780074024</v>
      </c>
      <c r="R142" s="22" t="s">
        <v>339</v>
      </c>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row>
    <row r="143" spans="1:95" s="21" customFormat="1" ht="15" customHeight="1" outlineLevel="1">
      <c r="A143" s="23"/>
      <c r="B143" s="104" t="s">
        <v>82</v>
      </c>
      <c r="C143" s="132"/>
      <c r="D143" s="131">
        <f>-Without_45_with_48_51_sleep_disturbance_value</f>
        <v>0</v>
      </c>
      <c r="E143" s="131">
        <f>-Without_45_48_with_48_51_sleep_disturbance_value</f>
        <v>0</v>
      </c>
      <c r="F143" s="131">
        <v>0</v>
      </c>
      <c r="G143" s="131">
        <f>-(HLOOKUP(Noise_3dB_bands,Sleep_disturbance_values_3dB_table,2,0))</f>
        <v>-11.273303419384309</v>
      </c>
      <c r="H143" s="131">
        <f>-(HLOOKUP(Noise_3dB_bands,Sleep_disturbance_values_3dB_table,2,0))+Without_48_51_with_51_54_sleep_disturbance_value</f>
        <v>-88.090150161558128</v>
      </c>
      <c r="I143" s="131">
        <f>-(HLOOKUP(Noise_3dB_bands,Sleep_disturbance_values_3dB_table,2,0))+Without_48_51_with_54_57_sleep_disturbance_value</f>
        <v>-183.26104935546488</v>
      </c>
      <c r="J143" s="131">
        <f>-(HLOOKUP(Noise_3dB_bands,Sleep_disturbance_values_3dB_table,2,0))+Without_48_51_with_57_60_sleep_disturbance_value</f>
        <v>-296.78600100110509</v>
      </c>
      <c r="K143" s="131">
        <f>-(HLOOKUP(Noise_3dB_bands,Sleep_disturbance_values_3dB_table,2,0))+Without_48_51_with_60_63_sleep_disturbance_value</f>
        <v>-428.66500509847992</v>
      </c>
      <c r="L143" s="131">
        <f>-(HLOOKUP(Noise_3dB_bands,Sleep_disturbance_values_3dB_table,2,0))+Without_48_51_with_63_66_sleep_disturbance_value</f>
        <v>-578.8980616475867</v>
      </c>
      <c r="M143" s="131">
        <f>-(HLOOKUP(Noise_3dB_bands,Sleep_disturbance_values_3dB_table,2,0))+Without_48_51_with_66_69_sleep_disturbance_value</f>
        <v>-747.48517064842736</v>
      </c>
      <c r="N143" s="131">
        <f>-(HLOOKUP(Noise_3dB_bands,Sleep_disturbance_values_3dB_table,2,0))+Without_48_51_with_69_72_sleep_disturbance_value</f>
        <v>-934.42633210100144</v>
      </c>
      <c r="O143" s="131">
        <f>-(HLOOKUP(Noise_3dB_bands,Sleep_disturbance_values_3dB_table,2,0))+Without_48_51_with_72_75_sleep_disturbance_value</f>
        <v>-1135.6428676827011</v>
      </c>
      <c r="P143" s="131">
        <f>-(HLOOKUP(Noise_3dB_bands,Sleep_disturbance_values_3dB_table,2,0))+Without_48_51_with_75_78_sleep_disturbance_value</f>
        <v>-1337.8790728450517</v>
      </c>
      <c r="Q143" s="131">
        <f>-(HLOOKUP(Noise_3dB_bands,Sleep_disturbance_values_3dB_table,2,0))+Without_48_51_with_78_81_sleep_disturbance_value</f>
        <v>-1540.1152780074024</v>
      </c>
      <c r="R143" s="22" t="s">
        <v>340</v>
      </c>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row>
    <row r="144" spans="1:95" s="21" customFormat="1" ht="15" customHeight="1" outlineLevel="1">
      <c r="A144" s="23"/>
      <c r="B144" s="104" t="s">
        <v>83</v>
      </c>
      <c r="C144" s="132"/>
      <c r="D144" s="131">
        <f>-Without_45_with_51_54_sleep_disturbance_value</f>
        <v>11.273303419384309</v>
      </c>
      <c r="E144" s="131">
        <f>-Without_45_48_with_51_54_sleep_disturbance_value</f>
        <v>11.273303419384309</v>
      </c>
      <c r="F144" s="131">
        <f>-Without_48_51_with_51_54_sleep_disturbance_value</f>
        <v>11.273303419384309</v>
      </c>
      <c r="G144" s="131">
        <v>0</v>
      </c>
      <c r="H144" s="131">
        <f>-(HLOOKUP(Noise_3dB_bands,Sleep_disturbance_values_3dB_table,2,0))</f>
        <v>-76.816846742173823</v>
      </c>
      <c r="I144" s="131">
        <f>-(HLOOKUP(Noise_3dB_bands,Sleep_disturbance_values_3dB_table,2,0))+Without_51_54_with_54_57_sleep_disturbance_value</f>
        <v>-171.98774593608056</v>
      </c>
      <c r="J144" s="131">
        <f>-(HLOOKUP(Noise_3dB_bands,Sleep_disturbance_values_3dB_table,2,0))+Without_51_54_with_57_60_sleep_disturbance_value</f>
        <v>-285.51269758172077</v>
      </c>
      <c r="K144" s="131">
        <f>-(HLOOKUP(Noise_3dB_bands,Sleep_disturbance_values_3dB_table,2,0))+Without_51_54_with_60_63_sleep_disturbance_value</f>
        <v>-417.3917016790956</v>
      </c>
      <c r="L144" s="131">
        <f>-(HLOOKUP(Noise_3dB_bands,Sleep_disturbance_values_3dB_table,2,0))+Without_51_54_with_63_66_sleep_disturbance_value</f>
        <v>-567.62475822820238</v>
      </c>
      <c r="M144" s="131">
        <f>-(HLOOKUP(Noise_3dB_bands,Sleep_disturbance_values_3dB_table,2,0))+Without_51_54_with_66_69_sleep_disturbance_value</f>
        <v>-736.21186722904304</v>
      </c>
      <c r="N144" s="131">
        <f>-(HLOOKUP(Noise_3dB_bands,Sleep_disturbance_values_3dB_table,2,0))+Without_51_54_with_69_72_sleep_disturbance_value</f>
        <v>-923.15302868161712</v>
      </c>
      <c r="O144" s="131">
        <f>-(HLOOKUP(Noise_3dB_bands,Sleep_disturbance_values_3dB_table,2,0))+Without_51_54_with_72_75_sleep_disturbance_value</f>
        <v>-1124.3695642633168</v>
      </c>
      <c r="P144" s="131">
        <f>-(HLOOKUP(Noise_3dB_bands,Sleep_disturbance_values_3dB_table,2,0))+Without_51_54_with_75_78_sleep_disturbance_value</f>
        <v>-1326.6057694256674</v>
      </c>
      <c r="Q144" s="131">
        <f>-(HLOOKUP(Noise_3dB_bands,Sleep_disturbance_values_3dB_table,2,0))+Without_51_54_with_78_81_sleep_disturbance_value</f>
        <v>-1528.841974588018</v>
      </c>
      <c r="R144" s="22" t="s">
        <v>341</v>
      </c>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row>
    <row r="145" spans="1:96" s="21" customFormat="1" ht="15" customHeight="1" outlineLevel="1">
      <c r="A145" s="23"/>
      <c r="B145" s="104" t="s">
        <v>84</v>
      </c>
      <c r="C145" s="132"/>
      <c r="D145" s="131">
        <f>-Without_45_with_54_57_sleep_disturbance_value</f>
        <v>88.090150161558128</v>
      </c>
      <c r="E145" s="131">
        <f>-Without_45_48_with_54_57_sleep_disturbance_value</f>
        <v>88.090150161558128</v>
      </c>
      <c r="F145" s="131">
        <f>-Without_48_51_with_54_57_sleep_disturbance_value</f>
        <v>88.090150161558128</v>
      </c>
      <c r="G145" s="131">
        <f>-Without_51_54_with_54_57_sleep_disturbance_value</f>
        <v>76.816846742173823</v>
      </c>
      <c r="H145" s="131">
        <v>0</v>
      </c>
      <c r="I145" s="131">
        <f>-(HLOOKUP(Noise_3dB_bands,Sleep_disturbance_values_3dB_table,2,0))</f>
        <v>-95.170899193906735</v>
      </c>
      <c r="J145" s="131">
        <f>-(HLOOKUP(Noise_3dB_bands,Sleep_disturbance_values_3dB_table,2,0))+Without_54_57_with_57_60_sleep_disturbance_value</f>
        <v>-208.69585083954698</v>
      </c>
      <c r="K145" s="131">
        <f>-(HLOOKUP(Noise_3dB_bands,Sleep_disturbance_values_3dB_table,2,0))+Without_54_57_with_60_63_sleep_disturbance_value</f>
        <v>-340.57485493692178</v>
      </c>
      <c r="L145" s="131">
        <f>-(HLOOKUP(Noise_3dB_bands,Sleep_disturbance_values_3dB_table,2,0))+Without_54_57_with_63_66_sleep_disturbance_value</f>
        <v>-490.80791148602862</v>
      </c>
      <c r="M145" s="131">
        <f>-(HLOOKUP(Noise_3dB_bands,Sleep_disturbance_values_3dB_table,2,0))+Without_54_57_with_66_69_sleep_disturbance_value</f>
        <v>-659.39502048686927</v>
      </c>
      <c r="N145" s="131">
        <f>-(HLOOKUP(Noise_3dB_bands,Sleep_disturbance_values_3dB_table,2,0))+Without_54_57_with_69_72_sleep_disturbance_value</f>
        <v>-846.33618193944335</v>
      </c>
      <c r="O145" s="131">
        <f>-(HLOOKUP(Noise_3dB_bands,Sleep_disturbance_values_3dB_table,2,0))+Without_54_57_with_72_75_sleep_disturbance_value</f>
        <v>-1047.552717521143</v>
      </c>
      <c r="P145" s="131">
        <f>-(HLOOKUP(Noise_3dB_bands,Sleep_disturbance_values_3dB_table,2,0))+Without_54_57_with_75_78_sleep_disturbance_value</f>
        <v>-1249.7889226834936</v>
      </c>
      <c r="Q145" s="131">
        <f>-(HLOOKUP(Noise_3dB_bands,Sleep_disturbance_values_3dB_table,2,0))+Without_54_57_with_78_81_sleep_disturbance_value</f>
        <v>-1452.0251278458443</v>
      </c>
      <c r="R145" s="22" t="s">
        <v>342</v>
      </c>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row>
    <row r="146" spans="1:96" s="21" customFormat="1" ht="15" customHeight="1" outlineLevel="1">
      <c r="A146" s="23"/>
      <c r="B146" s="104" t="s">
        <v>85</v>
      </c>
      <c r="C146" s="132"/>
      <c r="D146" s="131">
        <f>-Without_45_with_57_60_sleep_disturbance_value</f>
        <v>183.26104935546488</v>
      </c>
      <c r="E146" s="131">
        <f>-Without_45_48_with_57_60_sleep_disturbance_value</f>
        <v>183.26104935546488</v>
      </c>
      <c r="F146" s="131">
        <f>-Without_48_51_with_57_60_sleep_disturbance_value</f>
        <v>183.26104935546488</v>
      </c>
      <c r="G146" s="131">
        <f>-Without_51_54_with_57_60_sleep_disturbance_value</f>
        <v>171.98774593608056</v>
      </c>
      <c r="H146" s="131">
        <f>-Without_54_57_with_57_60_sleep_disturbance_value</f>
        <v>95.170899193906735</v>
      </c>
      <c r="I146" s="131">
        <v>0</v>
      </c>
      <c r="J146" s="131">
        <f>-(HLOOKUP(Noise_3dB_bands,Sleep_disturbance_values_3dB_table,2,0))</f>
        <v>-113.52495164564024</v>
      </c>
      <c r="K146" s="131">
        <f>-(HLOOKUP(Noise_3dB_bands,Sleep_disturbance_values_3dB_table,2,0))+Without_57_60_with_60_63_sleep_disturbance_value</f>
        <v>-245.40395574301505</v>
      </c>
      <c r="L146" s="131">
        <f>-(HLOOKUP(Noise_3dB_bands,Sleep_disturbance_values_3dB_table,2,0))+Without_57_60_with_63_66_sleep_disturbance_value</f>
        <v>-395.63701229212188</v>
      </c>
      <c r="M146" s="131">
        <f>-(HLOOKUP(Noise_3dB_bands,Sleep_disturbance_values_3dB_table,2,0))+Without_57_60_with_66_69_sleep_disturbance_value</f>
        <v>-564.22412129296254</v>
      </c>
      <c r="N146" s="131">
        <f>-(HLOOKUP(Noise_3dB_bands,Sleep_disturbance_values_3dB_table,2,0))+Without_57_60_with_69_72_sleep_disturbance_value</f>
        <v>-751.16528274553662</v>
      </c>
      <c r="O146" s="131">
        <f>-(HLOOKUP(Noise_3dB_bands,Sleep_disturbance_values_3dB_table,2,0))+Without_57_60_with_72_75_sleep_disturbance_value</f>
        <v>-952.38181832723626</v>
      </c>
      <c r="P146" s="131">
        <f>-(HLOOKUP(Noise_3dB_bands,Sleep_disturbance_values_3dB_table,2,0))+Without_57_60_with_75_78_sleep_disturbance_value</f>
        <v>-1154.6180234895869</v>
      </c>
      <c r="Q146" s="131">
        <f>-(HLOOKUP(Noise_3dB_bands,Sleep_disturbance_values_3dB_table,2,0))+Without_57_60_with_78_81_sleep_disturbance_value</f>
        <v>-1356.8542286519375</v>
      </c>
      <c r="R146" s="22" t="s">
        <v>343</v>
      </c>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row>
    <row r="147" spans="1:96" s="21" customFormat="1" ht="15" customHeight="1" outlineLevel="1">
      <c r="A147" s="23"/>
      <c r="B147" s="104" t="s">
        <v>86</v>
      </c>
      <c r="C147" s="132"/>
      <c r="D147" s="131">
        <f>-Without_45_with_60_63_sleep_disturbance_value</f>
        <v>296.78600100110509</v>
      </c>
      <c r="E147" s="131">
        <f>-Without_45_48_with_60_63_sleep_disturbance_value</f>
        <v>296.78600100110509</v>
      </c>
      <c r="F147" s="131">
        <f>-Without_48_51_with_60_63_sleep_disturbance_value</f>
        <v>296.78600100110509</v>
      </c>
      <c r="G147" s="131">
        <f>-Without_51_54_with_60_63_sleep_disturbance_value</f>
        <v>285.51269758172077</v>
      </c>
      <c r="H147" s="131">
        <f>-Without_54_57_with_60_63_sleep_disturbance_value</f>
        <v>208.69585083954698</v>
      </c>
      <c r="I147" s="131">
        <f>-Without_57_60_with_60_63_sleep_disturbance_value</f>
        <v>113.52495164564024</v>
      </c>
      <c r="J147" s="131">
        <v>0</v>
      </c>
      <c r="K147" s="131">
        <f>-(HLOOKUP(Noise_3dB_bands,Sleep_disturbance_values_3dB_table,2,0))</f>
        <v>-131.8790040973748</v>
      </c>
      <c r="L147" s="131">
        <f>-(HLOOKUP(Noise_3dB_bands,Sleep_disturbance_values_3dB_table,2,0))+Without_60_63_with_63_66_sleep_disturbance_value</f>
        <v>-282.11206064648161</v>
      </c>
      <c r="M147" s="131">
        <f>-(HLOOKUP(Noise_3dB_bands,Sleep_disturbance_values_3dB_table,2,0))+Without_60_63_with_66_69_sleep_disturbance_value</f>
        <v>-450.69916964732226</v>
      </c>
      <c r="N147" s="131">
        <f>-(HLOOKUP(Noise_3dB_bands,Sleep_disturbance_values_3dB_table,2,0))+Without_60_63_with_69_72_sleep_disturbance_value</f>
        <v>-637.64033109989646</v>
      </c>
      <c r="O147" s="131">
        <f>-(HLOOKUP(Noise_3dB_bands,Sleep_disturbance_values_3dB_table,2,0))+Without_60_63_with_72_75_sleep_disturbance_value</f>
        <v>-838.8568666815961</v>
      </c>
      <c r="P147" s="131">
        <f>-(HLOOKUP(Noise_3dB_bands,Sleep_disturbance_values_3dB_table,2,0))+Without_60_63_with_75_78_sleep_disturbance_value</f>
        <v>-1041.0930718439467</v>
      </c>
      <c r="Q147" s="131">
        <f>-(HLOOKUP(Noise_3dB_bands,Sleep_disturbance_values_3dB_table,2,0))+Without_60_63_with_78_81_sleep_disturbance_value</f>
        <v>-1243.3292770062974</v>
      </c>
      <c r="R147" s="22" t="s">
        <v>344</v>
      </c>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row>
    <row r="148" spans="1:96" s="21" customFormat="1" ht="15" customHeight="1" outlineLevel="1">
      <c r="A148" s="23"/>
      <c r="B148" s="104" t="s">
        <v>87</v>
      </c>
      <c r="C148" s="132"/>
      <c r="D148" s="131">
        <f>-Without_45_with_63_66_sleep_disturbance_value</f>
        <v>428.66500509847992</v>
      </c>
      <c r="E148" s="131">
        <f>-Without_45_48_with_63_66_sleep_disturbance_value</f>
        <v>428.66500509847992</v>
      </c>
      <c r="F148" s="131">
        <f>-Without_48_51_with_63_66_sleep_disturbance_value</f>
        <v>428.66500509847992</v>
      </c>
      <c r="G148" s="131">
        <f>-Without_51_54_with_63_66_sleep_disturbance_value</f>
        <v>417.3917016790956</v>
      </c>
      <c r="H148" s="131">
        <f>-Without_54_57_with_63_66_sleep_disturbance_value</f>
        <v>340.57485493692178</v>
      </c>
      <c r="I148" s="131">
        <f>-Without_57_60_with_63_66_sleep_disturbance_value</f>
        <v>245.40395574301505</v>
      </c>
      <c r="J148" s="131">
        <f>-Without_60_63_with_63_66_sleep_disturbance_value</f>
        <v>131.8790040973748</v>
      </c>
      <c r="K148" s="131">
        <v>0</v>
      </c>
      <c r="L148" s="131">
        <f>-(HLOOKUP(Noise_3dB_bands,Sleep_disturbance_values_3dB_table,2,0))</f>
        <v>-150.23305654910683</v>
      </c>
      <c r="M148" s="131">
        <f>-(HLOOKUP(Noise_3dB_bands,Sleep_disturbance_values_3dB_table,2,0))+Without_63_66_with_66_69_sleep_disturbance_value</f>
        <v>-318.82016554994743</v>
      </c>
      <c r="N148" s="131">
        <f>-(HLOOKUP(Noise_3dB_bands,Sleep_disturbance_values_3dB_table,2,0))+Without_63_66_with_69_72_sleep_disturbance_value</f>
        <v>-505.76132700252157</v>
      </c>
      <c r="O148" s="131">
        <f>-(HLOOKUP(Noise_3dB_bands,Sleep_disturbance_values_3dB_table,2,0))+Without_63_66_with_72_75_sleep_disturbance_value</f>
        <v>-706.97786258422116</v>
      </c>
      <c r="P148" s="131">
        <f>-(HLOOKUP(Noise_3dB_bands,Sleep_disturbance_values_3dB_table,2,0))+Without_63_66_with_75_78_sleep_disturbance_value</f>
        <v>-909.21406774657191</v>
      </c>
      <c r="Q148" s="131">
        <f>-(HLOOKUP(Noise_3dB_bands,Sleep_disturbance_values_3dB_table,2,0))+Without_63_66_with_78_81_sleep_disturbance_value</f>
        <v>-1111.4502729089227</v>
      </c>
      <c r="R148" s="22" t="s">
        <v>345</v>
      </c>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row>
    <row r="149" spans="1:96" ht="15" customHeight="1" outlineLevel="1">
      <c r="A149" s="97"/>
      <c r="B149" s="104" t="s">
        <v>88</v>
      </c>
      <c r="C149" s="132"/>
      <c r="D149" s="131">
        <f>-Without_45_with_66_69_sleep_disturbance_value</f>
        <v>578.8980616475867</v>
      </c>
      <c r="E149" s="131">
        <f>-Without_45_48_with_66_69_sleep_disturbance_value</f>
        <v>578.8980616475867</v>
      </c>
      <c r="F149" s="131">
        <f>-Without_48_51_with_66_69_sleep_disturbance_value</f>
        <v>578.8980616475867</v>
      </c>
      <c r="G149" s="131">
        <f>-Without_51_54_with_66_69_sleep_disturbance_value</f>
        <v>567.62475822820238</v>
      </c>
      <c r="H149" s="131">
        <f>-Without_54_57_with_66_69_sleep_disturbance_value</f>
        <v>490.80791148602862</v>
      </c>
      <c r="I149" s="131">
        <f>-Without_57_60_with_66_69_sleep_disturbance_value</f>
        <v>395.63701229212188</v>
      </c>
      <c r="J149" s="131">
        <f>-Without_60_63_with_66_69_sleep_disturbance_value</f>
        <v>282.11206064648161</v>
      </c>
      <c r="K149" s="131">
        <f>-Without_63_66_with_66_69_sleep_disturbance_value</f>
        <v>150.23305654910683</v>
      </c>
      <c r="L149" s="131">
        <v>0</v>
      </c>
      <c r="M149" s="131">
        <f>-(HLOOKUP(Noise_3dB_bands,Sleep_disturbance_values_3dB_table,2,0))</f>
        <v>-168.58710900084063</v>
      </c>
      <c r="N149" s="131">
        <f>-(HLOOKUP(Noise_3dB_bands,Sleep_disturbance_values_3dB_table,2,0))+Without_66_69_with_69_72_sleep_disturbance_value</f>
        <v>-355.52827045341473</v>
      </c>
      <c r="O149" s="131">
        <f>-(HLOOKUP(Noise_3dB_bands,Sleep_disturbance_values_3dB_table,2,0))+Without_66_69_with_72_75_sleep_disturbance_value</f>
        <v>-556.74480603511438</v>
      </c>
      <c r="P149" s="131">
        <f>-(HLOOKUP(Noise_3dB_bands,Sleep_disturbance_values_3dB_table,2,0))+Without_66_69_with_75_78_sleep_disturbance_value</f>
        <v>-758.98101119746514</v>
      </c>
      <c r="Q149" s="131">
        <f>-(HLOOKUP(Noise_3dB_bands,Sleep_disturbance_values_3dB_table,2,0))+Without_66_69_with_78_81_sleep_disturbance_value</f>
        <v>-961.21721635981589</v>
      </c>
      <c r="R149" s="22" t="s">
        <v>346</v>
      </c>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row>
    <row r="150" spans="1:96" ht="15" customHeight="1" outlineLevel="1">
      <c r="A150" s="97"/>
      <c r="B150" s="104" t="s">
        <v>89</v>
      </c>
      <c r="C150" s="132"/>
      <c r="D150" s="131">
        <f>-Without_45_with_69_72_sleep_disturbance_value</f>
        <v>747.48517064842736</v>
      </c>
      <c r="E150" s="131">
        <f>-Without_45_48_with_69_72_sleep_disturbance_value</f>
        <v>747.48517064842736</v>
      </c>
      <c r="F150" s="131">
        <f>-Without_48_51_with_69_72_sleep_disturbance_value</f>
        <v>747.48517064842736</v>
      </c>
      <c r="G150" s="131">
        <f>-Without_51_54_with_69_72_sleep_disturbance_value</f>
        <v>736.21186722904304</v>
      </c>
      <c r="H150" s="131">
        <f>-Without_54_57_with_69_72_sleep_disturbance_value</f>
        <v>659.39502048686927</v>
      </c>
      <c r="I150" s="131">
        <f>-Without_57_60_with_69_72_sleep_disturbance_value</f>
        <v>564.22412129296254</v>
      </c>
      <c r="J150" s="131">
        <f>-Without_60_63_with_69_72_sleep_disturbance_value</f>
        <v>450.69916964732226</v>
      </c>
      <c r="K150" s="131">
        <f>-Without_63_66_with_69_72_sleep_disturbance_value</f>
        <v>318.82016554994743</v>
      </c>
      <c r="L150" s="131">
        <f>-Without_66_69_with_69_72_sleep_disturbance_value</f>
        <v>168.58710900084063</v>
      </c>
      <c r="M150" s="131">
        <v>0</v>
      </c>
      <c r="N150" s="131">
        <f>-(HLOOKUP(Noise_3dB_bands,Sleep_disturbance_values_3dB_table,2,0))</f>
        <v>-186.94116145257414</v>
      </c>
      <c r="O150" s="131">
        <f>-(HLOOKUP(Noise_3dB_bands,Sleep_disturbance_values_3dB_table,2,0))+Without_69_72_with_72_75_sleep_disturbance_value</f>
        <v>-388.15769703427372</v>
      </c>
      <c r="P150" s="131">
        <f>-(HLOOKUP(Noise_3dB_bands,Sleep_disturbance_values_3dB_table,2,0))+Without_69_72_with_75_78_sleep_disturbance_value</f>
        <v>-590.39390219662448</v>
      </c>
      <c r="Q150" s="131">
        <f>-(HLOOKUP(Noise_3dB_bands,Sleep_disturbance_values_3dB_table,2,0))+Without_69_72_with_78_81_sleep_disturbance_value</f>
        <v>-792.63010735897524</v>
      </c>
      <c r="R150" s="22" t="s">
        <v>347</v>
      </c>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row>
    <row r="151" spans="1:96" ht="15" customHeight="1" outlineLevel="1">
      <c r="A151" s="97"/>
      <c r="B151" s="104" t="s">
        <v>90</v>
      </c>
      <c r="C151" s="132"/>
      <c r="D151" s="131">
        <f>-Without_45_with_72_75_sleep_disturbance_value</f>
        <v>934.42633210100144</v>
      </c>
      <c r="E151" s="131">
        <f>-Without_45_48_with_72_75_sleep_disturbance_value</f>
        <v>934.42633210100144</v>
      </c>
      <c r="F151" s="131">
        <f>-Without_48_51_with_72_75_sleep_disturbance_value</f>
        <v>934.42633210100144</v>
      </c>
      <c r="G151" s="131">
        <f>-Without_51_54_with_72_75_sleep_disturbance_value</f>
        <v>923.15302868161712</v>
      </c>
      <c r="H151" s="131">
        <f>-Without_54_57_with_72_75_sleep_disturbance_value</f>
        <v>846.33618193944335</v>
      </c>
      <c r="I151" s="131">
        <f>-Without_57_60_with_72_75_sleep_disturbance_value</f>
        <v>751.16528274553662</v>
      </c>
      <c r="J151" s="131">
        <f>-Without_60_63_with_72_75_sleep_disturbance_value</f>
        <v>637.64033109989646</v>
      </c>
      <c r="K151" s="131">
        <f>-Without_63_66_with_72_75_sleep_disturbance_value</f>
        <v>505.76132700252157</v>
      </c>
      <c r="L151" s="131">
        <f>-Without_66_69_with_72_75_sleep_disturbance_value</f>
        <v>355.52827045341473</v>
      </c>
      <c r="M151" s="131">
        <f>-Without_69_72_with_72_75_sleep_disturbance_value</f>
        <v>186.94116145257414</v>
      </c>
      <c r="N151" s="131">
        <v>0</v>
      </c>
      <c r="O151" s="131">
        <f>-(HLOOKUP(Noise_3dB_bands,Sleep_disturbance_values_3dB_table,2,0))</f>
        <v>-201.21653558169962</v>
      </c>
      <c r="P151" s="131">
        <f>-(HLOOKUP(Noise_3dB_bands,Sleep_disturbance_values_3dB_table,2,0))+Without_72_75_with_75_78_sleep_disturbance_value</f>
        <v>-403.45274074405035</v>
      </c>
      <c r="Q151" s="131">
        <f>-(HLOOKUP(Noise_3dB_bands,Sleep_disturbance_values_3dB_table,2,0))+Without_72_75_with_78_81_sleep_disturbance_value</f>
        <v>-605.68894590640105</v>
      </c>
      <c r="R151" s="22" t="s">
        <v>348</v>
      </c>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row>
    <row r="152" spans="1:96" ht="15" customHeight="1" outlineLevel="1">
      <c r="A152" s="97"/>
      <c r="B152" s="104" t="s">
        <v>91</v>
      </c>
      <c r="C152" s="132"/>
      <c r="D152" s="131">
        <f>-Without_45_with_75_78_sleep_disturbance_value</f>
        <v>1135.6428676827011</v>
      </c>
      <c r="E152" s="131">
        <f>-Without_45_48_with_75_78_sleep_disturbance_value</f>
        <v>1135.6428676827011</v>
      </c>
      <c r="F152" s="131">
        <f>-Without_48_51_with_75_78_sleep_disturbance_value</f>
        <v>1135.6428676827011</v>
      </c>
      <c r="G152" s="131">
        <f>-Without_51_54_with_75_78_sleep_disturbance_value</f>
        <v>1124.3695642633168</v>
      </c>
      <c r="H152" s="131">
        <f>-Without_54_57_with_75_78_sleep_disturbance_value</f>
        <v>1047.552717521143</v>
      </c>
      <c r="I152" s="131">
        <f>-Without_57_60_with_75_78_sleep_disturbance_value</f>
        <v>952.38181832723626</v>
      </c>
      <c r="J152" s="131">
        <f>-Without_60_63_with_75_78_sleep_disturbance_value</f>
        <v>838.8568666815961</v>
      </c>
      <c r="K152" s="131">
        <f>-Without_63_66_with_75_78_sleep_disturbance_value</f>
        <v>706.97786258422116</v>
      </c>
      <c r="L152" s="131">
        <f>-Without_66_69_with_75_78_sleep_disturbance_value</f>
        <v>556.74480603511438</v>
      </c>
      <c r="M152" s="131">
        <f>-Without_69_72_with_75_78_sleep_disturbance_value</f>
        <v>388.15769703427372</v>
      </c>
      <c r="N152" s="131">
        <f>-Without_72_75_with_75_78_sleep_disturbance_value</f>
        <v>201.21653558169962</v>
      </c>
      <c r="O152" s="131">
        <v>0</v>
      </c>
      <c r="P152" s="131">
        <f>-(HLOOKUP(Noise_3dB_bands,Sleep_disturbance_values_3dB_table,2,0))</f>
        <v>-202.23620516235073</v>
      </c>
      <c r="Q152" s="131">
        <f>-(HLOOKUP(Noise_3dB_bands,Sleep_disturbance_values_3dB_table,2,0))+Without_75_78_with_78_81_sleep_disturbance_value</f>
        <v>-404.47241032470146</v>
      </c>
      <c r="R152" s="22" t="s">
        <v>349</v>
      </c>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3"/>
    </row>
    <row r="153" spans="1:96" ht="15" customHeight="1" outlineLevel="1">
      <c r="A153" s="97"/>
      <c r="B153" s="104" t="s">
        <v>92</v>
      </c>
      <c r="C153" s="132"/>
      <c r="D153" s="131">
        <f>-Without_45_with_78_81_sleep_disturbance_value</f>
        <v>1337.8790728450517</v>
      </c>
      <c r="E153" s="131">
        <f>-Without_45_48_with_78_81_sleep_disturbance_value</f>
        <v>1337.8790728450517</v>
      </c>
      <c r="F153" s="131">
        <f>-Without_48_51_with_78_81_sleep_disturbance_value</f>
        <v>1337.8790728450517</v>
      </c>
      <c r="G153" s="131">
        <f>-Without_51_54_with_78_81_sleep_disturbance_value</f>
        <v>1326.6057694256674</v>
      </c>
      <c r="H153" s="131">
        <f>-Without_54_57_with_78_81_sleep_disturbance_value</f>
        <v>1249.7889226834936</v>
      </c>
      <c r="I153" s="131">
        <f>-Without_57_60_with_78_81_sleep_disturbance_value</f>
        <v>1154.6180234895869</v>
      </c>
      <c r="J153" s="131">
        <f>-Without_60_63_with_78_81_sleep_disturbance_value</f>
        <v>1041.0930718439467</v>
      </c>
      <c r="K153" s="131">
        <f>-Without_63_66_with_78_81_sleep_disturbance_value</f>
        <v>909.21406774657191</v>
      </c>
      <c r="L153" s="131">
        <f>-Without_66_69_with_78_81_sleep_disturbance_value</f>
        <v>758.98101119746514</v>
      </c>
      <c r="M153" s="131">
        <f>-Without_69_72_with_78_81_sleep_disturbance_value</f>
        <v>590.39390219662448</v>
      </c>
      <c r="N153" s="131">
        <f>-Without_72_75_with_78_81_sleep_disturbance_value</f>
        <v>403.45274074405035</v>
      </c>
      <c r="O153" s="131">
        <f>-Without_75_78_with_78_81_sleep_disturbance_value</f>
        <v>202.23620516235073</v>
      </c>
      <c r="P153" s="131">
        <v>0</v>
      </c>
      <c r="Q153" s="131">
        <f>-(HLOOKUP(Noise_3dB_bands,Sleep_disturbance_values_3dB_table,2,0))</f>
        <v>-202.23620516235073</v>
      </c>
      <c r="R153" s="22" t="s">
        <v>350</v>
      </c>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3"/>
    </row>
    <row r="154" spans="1:96" ht="15" customHeight="1" outlineLevel="1">
      <c r="A154" s="97"/>
      <c r="B154" s="104" t="s">
        <v>93</v>
      </c>
      <c r="C154" s="133"/>
      <c r="D154" s="131">
        <f>-Without_45_with_81_sleep_disturbance_value</f>
        <v>1540.1152780074024</v>
      </c>
      <c r="E154" s="131">
        <f>-Without_45_48_with_81_sleep_disturbance_value</f>
        <v>1540.1152780074024</v>
      </c>
      <c r="F154" s="131">
        <f>-Without_48_51_with_81_sleep_disturbance_value</f>
        <v>1540.1152780074024</v>
      </c>
      <c r="G154" s="131">
        <f>-Without_51_54_with_81_sleep_disturbance_value</f>
        <v>1528.841974588018</v>
      </c>
      <c r="H154" s="131">
        <f>-Without_54_57_with_81_sleep_disturbance_value</f>
        <v>1452.0251278458443</v>
      </c>
      <c r="I154" s="131">
        <f>-Without_57_60_with_81_sleep_disturbance_value</f>
        <v>1356.8542286519375</v>
      </c>
      <c r="J154" s="131">
        <f>-Without_60_63_with_81_sleep_disturbance_value</f>
        <v>1243.3292770062974</v>
      </c>
      <c r="K154" s="131">
        <f>-Without_63_66_with_81_sleep_disturbance_value</f>
        <v>1111.4502729089227</v>
      </c>
      <c r="L154" s="131">
        <f>-Without_66_69_with_81_sleep_disturbance_value</f>
        <v>961.21721635981589</v>
      </c>
      <c r="M154" s="131">
        <f>-Without_69_72_with_81_sleep_disturbance_value</f>
        <v>792.63010735897524</v>
      </c>
      <c r="N154" s="131">
        <f>-Without_72_75_with_81_sleep_disturbance_value</f>
        <v>605.68894590640105</v>
      </c>
      <c r="O154" s="131">
        <f>-Without_75_78_with_81_sleep_disturbance_value</f>
        <v>404.47241032470146</v>
      </c>
      <c r="P154" s="131">
        <f>-Without_78_81_with_81_sleep_disturbance_value</f>
        <v>202.23620516235073</v>
      </c>
      <c r="Q154" s="131">
        <v>0</v>
      </c>
      <c r="R154" s="22" t="s">
        <v>351</v>
      </c>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3"/>
    </row>
    <row r="155" spans="1:96" ht="15" customHeight="1" outlineLevel="1">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3"/>
    </row>
    <row r="156" spans="1:96" s="8" customFormat="1" ht="15.6" outlineLevel="1">
      <c r="B156" s="9" t="s">
        <v>165</v>
      </c>
      <c r="C156" s="10"/>
      <c r="D156" s="11"/>
      <c r="E156" s="11"/>
    </row>
    <row r="157" spans="1:96" ht="15" customHeight="1" outlineLevel="1">
      <c r="A157" s="97"/>
      <c r="B157" s="97"/>
      <c r="C157" s="111"/>
      <c r="D157" s="3"/>
      <c r="E157" s="3"/>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row>
    <row r="158" spans="1:96" ht="15" hidden="1" customHeight="1" outlineLevel="2">
      <c r="A158" s="97"/>
      <c r="B158" s="126" t="s">
        <v>161</v>
      </c>
      <c r="C158" s="97"/>
      <c r="D158" s="13" t="s">
        <v>162</v>
      </c>
      <c r="E158" s="14">
        <v>45</v>
      </c>
      <c r="F158" s="15">
        <v>46</v>
      </c>
      <c r="G158" s="14">
        <v>47</v>
      </c>
      <c r="H158" s="15">
        <v>48</v>
      </c>
      <c r="I158" s="14">
        <v>49</v>
      </c>
      <c r="J158" s="15">
        <v>50</v>
      </c>
      <c r="K158" s="14">
        <v>51</v>
      </c>
      <c r="L158" s="15">
        <v>52</v>
      </c>
      <c r="M158" s="14">
        <v>53</v>
      </c>
      <c r="N158" s="15">
        <v>54</v>
      </c>
      <c r="O158" s="14">
        <v>55</v>
      </c>
      <c r="P158" s="15">
        <v>56</v>
      </c>
      <c r="Q158" s="14">
        <v>57</v>
      </c>
      <c r="R158" s="15">
        <v>58</v>
      </c>
      <c r="S158" s="14">
        <v>59</v>
      </c>
      <c r="T158" s="15">
        <v>60</v>
      </c>
      <c r="U158" s="14">
        <v>61</v>
      </c>
      <c r="V158" s="15">
        <v>62</v>
      </c>
      <c r="W158" s="14">
        <v>63</v>
      </c>
      <c r="X158" s="15">
        <v>64</v>
      </c>
      <c r="Y158" s="14">
        <v>65</v>
      </c>
      <c r="Z158" s="15">
        <v>66</v>
      </c>
      <c r="AA158" s="14">
        <v>67</v>
      </c>
      <c r="AB158" s="15">
        <v>68</v>
      </c>
      <c r="AC158" s="14">
        <v>69</v>
      </c>
      <c r="AD158" s="15">
        <v>70</v>
      </c>
      <c r="AE158" s="14">
        <v>71</v>
      </c>
      <c r="AF158" s="15">
        <v>72</v>
      </c>
      <c r="AG158" s="14">
        <v>73</v>
      </c>
      <c r="AH158" s="15">
        <v>74</v>
      </c>
      <c r="AI158" s="14">
        <v>75</v>
      </c>
      <c r="AJ158" s="15">
        <v>76</v>
      </c>
      <c r="AK158" s="14">
        <v>77</v>
      </c>
      <c r="AL158" s="15">
        <v>78</v>
      </c>
      <c r="AM158" s="14">
        <v>79</v>
      </c>
      <c r="AN158" s="15">
        <v>80</v>
      </c>
      <c r="AO158" s="14">
        <v>81</v>
      </c>
      <c r="AP158" s="15">
        <v>82</v>
      </c>
      <c r="AQ158" s="14">
        <v>83</v>
      </c>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row>
    <row r="159" spans="1:96" ht="15" hidden="1" customHeight="1" outlineLevel="2">
      <c r="A159" s="97"/>
      <c r="B159" s="126"/>
      <c r="C159" s="81" t="s">
        <v>308</v>
      </c>
      <c r="D159" s="13">
        <v>45</v>
      </c>
      <c r="E159" s="14">
        <v>46</v>
      </c>
      <c r="F159" s="13">
        <v>47</v>
      </c>
      <c r="G159" s="14">
        <v>48</v>
      </c>
      <c r="H159" s="13">
        <v>49</v>
      </c>
      <c r="I159" s="14">
        <v>50</v>
      </c>
      <c r="J159" s="13">
        <v>51</v>
      </c>
      <c r="K159" s="14">
        <v>52</v>
      </c>
      <c r="L159" s="13">
        <v>53</v>
      </c>
      <c r="M159" s="14">
        <v>54</v>
      </c>
      <c r="N159" s="13">
        <v>55</v>
      </c>
      <c r="O159" s="14">
        <v>56</v>
      </c>
      <c r="P159" s="13">
        <v>57</v>
      </c>
      <c r="Q159" s="14">
        <v>58</v>
      </c>
      <c r="R159" s="13">
        <v>59</v>
      </c>
      <c r="S159" s="14">
        <v>60</v>
      </c>
      <c r="T159" s="13">
        <v>61</v>
      </c>
      <c r="U159" s="14">
        <v>62</v>
      </c>
      <c r="V159" s="13">
        <v>63</v>
      </c>
      <c r="W159" s="14">
        <v>64</v>
      </c>
      <c r="X159" s="13">
        <v>65</v>
      </c>
      <c r="Y159" s="14">
        <v>66</v>
      </c>
      <c r="Z159" s="13">
        <v>67</v>
      </c>
      <c r="AA159" s="14">
        <v>68</v>
      </c>
      <c r="AB159" s="13">
        <v>69</v>
      </c>
      <c r="AC159" s="14">
        <v>70</v>
      </c>
      <c r="AD159" s="13">
        <v>71</v>
      </c>
      <c r="AE159" s="14">
        <v>72</v>
      </c>
      <c r="AF159" s="13">
        <v>73</v>
      </c>
      <c r="AG159" s="14">
        <v>74</v>
      </c>
      <c r="AH159" s="13">
        <v>75</v>
      </c>
      <c r="AI159" s="14">
        <v>76</v>
      </c>
      <c r="AJ159" s="13">
        <v>77</v>
      </c>
      <c r="AK159" s="14">
        <v>78</v>
      </c>
      <c r="AL159" s="13">
        <v>79</v>
      </c>
      <c r="AM159" s="14">
        <v>80</v>
      </c>
      <c r="AN159" s="13">
        <v>81</v>
      </c>
      <c r="AO159" s="14">
        <v>82</v>
      </c>
      <c r="AP159" s="13">
        <v>83</v>
      </c>
      <c r="AQ159" s="14">
        <v>84</v>
      </c>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row>
    <row r="160" spans="1:96" ht="15" hidden="1" customHeight="1" outlineLevel="2">
      <c r="A160" s="97"/>
      <c r="B160" s="97" t="s">
        <v>352</v>
      </c>
      <c r="C160" s="97">
        <f>Road_mask</f>
        <v>1</v>
      </c>
      <c r="D160" s="90">
        <f t="shared" ref="D160:AQ160" si="62">Amenity_values_road_1dB_in</f>
        <v>0</v>
      </c>
      <c r="E160" s="90">
        <f t="shared" si="62"/>
        <v>9.9227629889971318</v>
      </c>
      <c r="F160" s="90">
        <f t="shared" si="62"/>
        <v>10.105834346646247</v>
      </c>
      <c r="G160" s="90">
        <f t="shared" si="62"/>
        <v>10.400497293870213</v>
      </c>
      <c r="H160" s="90">
        <f t="shared" si="62"/>
        <v>10.806751830669237</v>
      </c>
      <c r="I160" s="90">
        <f t="shared" si="62"/>
        <v>11.324597957043132</v>
      </c>
      <c r="J160" s="90">
        <f t="shared" si="62"/>
        <v>11.954035672991939</v>
      </c>
      <c r="K160" s="90">
        <f t="shared" si="62"/>
        <v>12.695064978515616</v>
      </c>
      <c r="L160" s="90">
        <f t="shared" si="62"/>
        <v>13.547685873614345</v>
      </c>
      <c r="M160" s="90">
        <f t="shared" si="62"/>
        <v>14.511898358287944</v>
      </c>
      <c r="N160" s="90">
        <f t="shared" si="62"/>
        <v>15.587702432536508</v>
      </c>
      <c r="O160" s="90">
        <f t="shared" si="62"/>
        <v>16.775098096359745</v>
      </c>
      <c r="P160" s="90">
        <f t="shared" si="62"/>
        <v>18.074085349758274</v>
      </c>
      <c r="Q160" s="90">
        <f t="shared" si="62"/>
        <v>19.484664192731611</v>
      </c>
      <c r="R160" s="90">
        <f t="shared" si="62"/>
        <v>21.006834625279801</v>
      </c>
      <c r="S160" s="90">
        <f t="shared" si="62"/>
        <v>22.640596647402802</v>
      </c>
      <c r="T160" s="90">
        <f t="shared" si="62"/>
        <v>24.385950259101001</v>
      </c>
      <c r="U160" s="90">
        <f t="shared" si="62"/>
        <v>26.242895460374093</v>
      </c>
      <c r="V160" s="90">
        <f t="shared" si="62"/>
        <v>28.211432251221737</v>
      </c>
      <c r="W160" s="90">
        <f t="shared" si="62"/>
        <v>30.291560631644877</v>
      </c>
      <c r="X160" s="90">
        <f t="shared" si="62"/>
        <v>32.483280601642583</v>
      </c>
      <c r="Y160" s="90">
        <f t="shared" si="62"/>
        <v>34.786592161215253</v>
      </c>
      <c r="Z160" s="90">
        <f t="shared" si="62"/>
        <v>37.201495310362915</v>
      </c>
      <c r="AA160" s="90">
        <f t="shared" si="62"/>
        <v>39.727990049085562</v>
      </c>
      <c r="AB160" s="90">
        <f t="shared" si="62"/>
        <v>42.366076377383017</v>
      </c>
      <c r="AC160" s="90">
        <f t="shared" si="62"/>
        <v>45.115754295255442</v>
      </c>
      <c r="AD160" s="90">
        <f t="shared" si="62"/>
        <v>47.977023802701922</v>
      </c>
      <c r="AE160" s="90">
        <f t="shared" si="62"/>
        <v>50.949884899725006</v>
      </c>
      <c r="AF160" s="90">
        <f t="shared" si="62"/>
        <v>54.034337586322316</v>
      </c>
      <c r="AG160" s="90">
        <f t="shared" si="62"/>
        <v>57.23038186249407</v>
      </c>
      <c r="AH160" s="90">
        <f t="shared" si="62"/>
        <v>60.53801772824167</v>
      </c>
      <c r="AI160" s="90">
        <f t="shared" si="62"/>
        <v>63.957245183563224</v>
      </c>
      <c r="AJ160" s="90">
        <f t="shared" si="62"/>
        <v>63.957245183563224</v>
      </c>
      <c r="AK160" s="90">
        <f t="shared" si="62"/>
        <v>63.957245183563224</v>
      </c>
      <c r="AL160" s="90">
        <f t="shared" si="62"/>
        <v>63.957245183563224</v>
      </c>
      <c r="AM160" s="90">
        <f t="shared" si="62"/>
        <v>63.957245183563224</v>
      </c>
      <c r="AN160" s="90">
        <f t="shared" si="62"/>
        <v>63.957245183563224</v>
      </c>
      <c r="AO160" s="90">
        <f t="shared" si="62"/>
        <v>63.957245183563224</v>
      </c>
      <c r="AP160" s="90">
        <f t="shared" si="62"/>
        <v>63.957245183563224</v>
      </c>
      <c r="AQ160" s="90">
        <f t="shared" si="62"/>
        <v>63.957245183563224</v>
      </c>
      <c r="AR160" s="3" t="s">
        <v>353</v>
      </c>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row>
    <row r="161" spans="1:95" ht="15" hidden="1" customHeight="1" outlineLevel="2">
      <c r="A161" s="97"/>
      <c r="B161" s="97" t="s">
        <v>354</v>
      </c>
      <c r="C161" s="111">
        <f>Rail_mask</f>
        <v>0</v>
      </c>
      <c r="D161" s="90">
        <f t="shared" ref="D161:AQ161" si="63">Amenity_values_rail_1dB_in</f>
        <v>0</v>
      </c>
      <c r="E161" s="90">
        <f t="shared" si="63"/>
        <v>3.4206894857745564</v>
      </c>
      <c r="F161" s="90">
        <f t="shared" si="63"/>
        <v>3.4611489337681185</v>
      </c>
      <c r="G161" s="90">
        <f t="shared" si="63"/>
        <v>3.6067361434362768</v>
      </c>
      <c r="H161" s="90">
        <f t="shared" si="63"/>
        <v>3.8574511147790171</v>
      </c>
      <c r="I161" s="90">
        <f t="shared" si="63"/>
        <v>4.2132938477963453</v>
      </c>
      <c r="J161" s="90">
        <f t="shared" si="63"/>
        <v>4.6742643424882688</v>
      </c>
      <c r="K161" s="90">
        <f t="shared" si="63"/>
        <v>5.2403625988547775</v>
      </c>
      <c r="L161" s="90">
        <f t="shared" si="63"/>
        <v>5.9115886168958856</v>
      </c>
      <c r="M161" s="90">
        <f t="shared" si="63"/>
        <v>6.687942396611577</v>
      </c>
      <c r="N161" s="90">
        <f t="shared" si="63"/>
        <v>7.5694239380018438</v>
      </c>
      <c r="O161" s="90">
        <f t="shared" si="63"/>
        <v>8.5560332410667232</v>
      </c>
      <c r="P161" s="90">
        <f t="shared" si="63"/>
        <v>9.6477703058061781</v>
      </c>
      <c r="Q161" s="90">
        <f t="shared" si="63"/>
        <v>10.844635132220219</v>
      </c>
      <c r="R161" s="90">
        <f t="shared" si="63"/>
        <v>12.146627720308873</v>
      </c>
      <c r="S161" s="90">
        <f t="shared" si="63"/>
        <v>13.55374807007208</v>
      </c>
      <c r="T161" s="90">
        <f t="shared" si="63"/>
        <v>15.065996181509881</v>
      </c>
      <c r="U161" s="90">
        <f t="shared" si="63"/>
        <v>16.683372054622332</v>
      </c>
      <c r="V161" s="90">
        <f t="shared" si="63"/>
        <v>18.405875689409303</v>
      </c>
      <c r="W161" s="90">
        <f t="shared" si="63"/>
        <v>20.233507085870901</v>
      </c>
      <c r="X161" s="90">
        <f t="shared" si="63"/>
        <v>22.166266244007041</v>
      </c>
      <c r="Y161" s="90">
        <f t="shared" si="63"/>
        <v>24.204153163817868</v>
      </c>
      <c r="Z161" s="90">
        <f t="shared" si="63"/>
        <v>26.347167845303151</v>
      </c>
      <c r="AA161" s="90">
        <f t="shared" si="63"/>
        <v>28.595310288463143</v>
      </c>
      <c r="AB161" s="90">
        <f t="shared" si="63"/>
        <v>30.948580493297598</v>
      </c>
      <c r="AC161" s="90">
        <f t="shared" si="63"/>
        <v>33.406978459806808</v>
      </c>
      <c r="AD161" s="90">
        <f t="shared" si="63"/>
        <v>35.970504187990521</v>
      </c>
      <c r="AE161" s="90">
        <f t="shared" si="63"/>
        <v>38.63915767784885</v>
      </c>
      <c r="AF161" s="90">
        <f t="shared" si="63"/>
        <v>41.412938929381646</v>
      </c>
      <c r="AG161" s="90">
        <f t="shared" si="63"/>
        <v>44.291847942589094</v>
      </c>
      <c r="AH161" s="90">
        <f t="shared" si="63"/>
        <v>47.275884717471143</v>
      </c>
      <c r="AI161" s="90">
        <f t="shared" si="63"/>
        <v>50.365049254028115</v>
      </c>
      <c r="AJ161" s="90">
        <f t="shared" si="63"/>
        <v>50.365049254028115</v>
      </c>
      <c r="AK161" s="90">
        <f t="shared" si="63"/>
        <v>50.365049254028115</v>
      </c>
      <c r="AL161" s="90">
        <f t="shared" si="63"/>
        <v>50.365049254028115</v>
      </c>
      <c r="AM161" s="90">
        <f t="shared" si="63"/>
        <v>50.365049254028115</v>
      </c>
      <c r="AN161" s="90">
        <f t="shared" si="63"/>
        <v>50.365049254028115</v>
      </c>
      <c r="AO161" s="90">
        <f t="shared" si="63"/>
        <v>50.365049254028115</v>
      </c>
      <c r="AP161" s="90">
        <f t="shared" si="63"/>
        <v>50.365049254028115</v>
      </c>
      <c r="AQ161" s="90">
        <f t="shared" si="63"/>
        <v>50.365049254028115</v>
      </c>
      <c r="AR161" s="3" t="s">
        <v>355</v>
      </c>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row>
    <row r="162" spans="1:95" ht="15" hidden="1" customHeight="1" outlineLevel="2">
      <c r="A162" s="97"/>
      <c r="B162" s="97" t="s">
        <v>356</v>
      </c>
      <c r="C162" s="111">
        <f>Aviation_mask</f>
        <v>0</v>
      </c>
      <c r="D162" s="90">
        <f t="shared" ref="D162:AQ162" si="64">Amenity_values_aviation_1dB_in</f>
        <v>0</v>
      </c>
      <c r="E162" s="90">
        <f t="shared" si="64"/>
        <v>13.693097176407283</v>
      </c>
      <c r="F162" s="90">
        <f t="shared" si="64"/>
        <v>15.543065015191422</v>
      </c>
      <c r="G162" s="90">
        <f t="shared" si="64"/>
        <v>17.379673684481912</v>
      </c>
      <c r="H162" s="90">
        <f t="shared" si="64"/>
        <v>19.202923184278777</v>
      </c>
      <c r="I162" s="90">
        <f t="shared" si="64"/>
        <v>21.012813514581985</v>
      </c>
      <c r="J162" s="90">
        <f t="shared" si="64"/>
        <v>22.809344675391568</v>
      </c>
      <c r="K162" s="90">
        <f t="shared" si="64"/>
        <v>24.592516666707517</v>
      </c>
      <c r="L162" s="90">
        <f t="shared" si="64"/>
        <v>26.362329488529824</v>
      </c>
      <c r="M162" s="90">
        <f t="shared" si="64"/>
        <v>28.118783140858483</v>
      </c>
      <c r="N162" s="90">
        <f t="shared" si="64"/>
        <v>29.861877623693509</v>
      </c>
      <c r="O162" s="90">
        <f t="shared" si="64"/>
        <v>31.591612937034878</v>
      </c>
      <c r="P162" s="90">
        <f t="shared" si="64"/>
        <v>33.30798908088267</v>
      </c>
      <c r="Q162" s="90">
        <f t="shared" si="64"/>
        <v>35.011006055236706</v>
      </c>
      <c r="R162" s="90">
        <f t="shared" si="64"/>
        <v>36.700663860097244</v>
      </c>
      <c r="S162" s="90">
        <f t="shared" si="64"/>
        <v>38.376962495464035</v>
      </c>
      <c r="T162" s="90">
        <f t="shared" si="64"/>
        <v>40.039901961337243</v>
      </c>
      <c r="U162" s="90">
        <f t="shared" si="64"/>
        <v>41.68948225771679</v>
      </c>
      <c r="V162" s="90">
        <f t="shared" si="64"/>
        <v>43.325703384602662</v>
      </c>
      <c r="W162" s="90">
        <f t="shared" si="64"/>
        <v>44.948565341994865</v>
      </c>
      <c r="X162" s="90">
        <f t="shared" si="64"/>
        <v>46.55806812989367</v>
      </c>
      <c r="Y162" s="90">
        <f t="shared" si="64"/>
        <v>48.154211748298643</v>
      </c>
      <c r="Z162" s="90">
        <f t="shared" si="64"/>
        <v>49.736996197209841</v>
      </c>
      <c r="AA162" s="90">
        <f t="shared" si="64"/>
        <v>51.306421476627634</v>
      </c>
      <c r="AB162" s="90">
        <f t="shared" si="64"/>
        <v>52.862487586551765</v>
      </c>
      <c r="AC162" s="90">
        <f t="shared" si="64"/>
        <v>54.40519452698215</v>
      </c>
      <c r="AD162" s="90">
        <f t="shared" si="64"/>
        <v>55.934542297918867</v>
      </c>
      <c r="AE162" s="90">
        <f t="shared" si="64"/>
        <v>57.450530899362079</v>
      </c>
      <c r="AF162" s="90">
        <f t="shared" si="64"/>
        <v>58.9531603313118</v>
      </c>
      <c r="AG162" s="90">
        <f t="shared" si="64"/>
        <v>60.442430593767497</v>
      </c>
      <c r="AH162" s="90">
        <f t="shared" si="64"/>
        <v>61.918341686729555</v>
      </c>
      <c r="AI162" s="90">
        <f t="shared" si="64"/>
        <v>63.380893610198456</v>
      </c>
      <c r="AJ162" s="90">
        <f t="shared" si="64"/>
        <v>63.380893610198456</v>
      </c>
      <c r="AK162" s="90">
        <f t="shared" si="64"/>
        <v>63.380893610198456</v>
      </c>
      <c r="AL162" s="90">
        <f t="shared" si="64"/>
        <v>63.380893610198456</v>
      </c>
      <c r="AM162" s="90">
        <f t="shared" si="64"/>
        <v>63.380893610198456</v>
      </c>
      <c r="AN162" s="90">
        <f t="shared" si="64"/>
        <v>63.380893610198456</v>
      </c>
      <c r="AO162" s="90">
        <f t="shared" si="64"/>
        <v>63.380893610198456</v>
      </c>
      <c r="AP162" s="90">
        <f t="shared" si="64"/>
        <v>63.380893610198456</v>
      </c>
      <c r="AQ162" s="90">
        <f t="shared" si="64"/>
        <v>63.380893610198456</v>
      </c>
      <c r="AR162" s="3" t="s">
        <v>357</v>
      </c>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row>
    <row r="163" spans="1:95" ht="15" hidden="1" customHeight="1" outlineLevel="2">
      <c r="A163" s="97"/>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row>
    <row r="164" spans="1:95" ht="15" hidden="1" customHeight="1" outlineLevel="2">
      <c r="A164" s="97"/>
      <c r="B164" s="126" t="s">
        <v>161</v>
      </c>
      <c r="C164" s="97"/>
      <c r="D164" s="13" t="s">
        <v>162</v>
      </c>
      <c r="E164" s="14">
        <v>45</v>
      </c>
      <c r="F164" s="15">
        <v>46</v>
      </c>
      <c r="G164" s="14">
        <v>47</v>
      </c>
      <c r="H164" s="15">
        <v>48</v>
      </c>
      <c r="I164" s="14">
        <v>49</v>
      </c>
      <c r="J164" s="15">
        <v>50</v>
      </c>
      <c r="K164" s="14">
        <v>51</v>
      </c>
      <c r="L164" s="15">
        <v>52</v>
      </c>
      <c r="M164" s="14">
        <v>53</v>
      </c>
      <c r="N164" s="15">
        <v>54</v>
      </c>
      <c r="O164" s="14">
        <v>55</v>
      </c>
      <c r="P164" s="15">
        <v>56</v>
      </c>
      <c r="Q164" s="14">
        <v>57</v>
      </c>
      <c r="R164" s="15">
        <v>58</v>
      </c>
      <c r="S164" s="14">
        <v>59</v>
      </c>
      <c r="T164" s="15">
        <v>60</v>
      </c>
      <c r="U164" s="14">
        <v>61</v>
      </c>
      <c r="V164" s="15">
        <v>62</v>
      </c>
      <c r="W164" s="14">
        <v>63</v>
      </c>
      <c r="X164" s="15">
        <v>64</v>
      </c>
      <c r="Y164" s="14">
        <v>65</v>
      </c>
      <c r="Z164" s="15">
        <v>66</v>
      </c>
      <c r="AA164" s="14">
        <v>67</v>
      </c>
      <c r="AB164" s="15">
        <v>68</v>
      </c>
      <c r="AC164" s="14">
        <v>69</v>
      </c>
      <c r="AD164" s="15">
        <v>70</v>
      </c>
      <c r="AE164" s="14">
        <v>71</v>
      </c>
      <c r="AF164" s="15">
        <v>72</v>
      </c>
      <c r="AG164" s="14">
        <v>73</v>
      </c>
      <c r="AH164" s="15">
        <v>74</v>
      </c>
      <c r="AI164" s="14">
        <v>75</v>
      </c>
      <c r="AJ164" s="15">
        <v>76</v>
      </c>
      <c r="AK164" s="14">
        <v>77</v>
      </c>
      <c r="AL164" s="15">
        <v>78</v>
      </c>
      <c r="AM164" s="14">
        <v>79</v>
      </c>
      <c r="AN164" s="15">
        <v>80</v>
      </c>
      <c r="AO164" s="14">
        <v>81</v>
      </c>
      <c r="AP164" s="15">
        <v>82</v>
      </c>
      <c r="AQ164" s="14">
        <v>83</v>
      </c>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row>
    <row r="165" spans="1:95" ht="15" hidden="1" customHeight="1" outlineLevel="2">
      <c r="A165" s="97"/>
      <c r="B165" s="126"/>
      <c r="C165" s="97"/>
      <c r="D165" s="13">
        <v>45</v>
      </c>
      <c r="E165" s="14">
        <v>46</v>
      </c>
      <c r="F165" s="13">
        <v>47</v>
      </c>
      <c r="G165" s="14">
        <v>48</v>
      </c>
      <c r="H165" s="13">
        <v>49</v>
      </c>
      <c r="I165" s="14">
        <v>50</v>
      </c>
      <c r="J165" s="13">
        <v>51</v>
      </c>
      <c r="K165" s="14">
        <v>52</v>
      </c>
      <c r="L165" s="13">
        <v>53</v>
      </c>
      <c r="M165" s="14">
        <v>54</v>
      </c>
      <c r="N165" s="13">
        <v>55</v>
      </c>
      <c r="O165" s="14">
        <v>56</v>
      </c>
      <c r="P165" s="13">
        <v>57</v>
      </c>
      <c r="Q165" s="14">
        <v>58</v>
      </c>
      <c r="R165" s="13">
        <v>59</v>
      </c>
      <c r="S165" s="14">
        <v>60</v>
      </c>
      <c r="T165" s="13">
        <v>61</v>
      </c>
      <c r="U165" s="14">
        <v>62</v>
      </c>
      <c r="V165" s="13">
        <v>63</v>
      </c>
      <c r="W165" s="14">
        <v>64</v>
      </c>
      <c r="X165" s="13">
        <v>65</v>
      </c>
      <c r="Y165" s="14">
        <v>66</v>
      </c>
      <c r="Z165" s="13">
        <v>67</v>
      </c>
      <c r="AA165" s="14">
        <v>68</v>
      </c>
      <c r="AB165" s="13">
        <v>69</v>
      </c>
      <c r="AC165" s="14">
        <v>70</v>
      </c>
      <c r="AD165" s="13">
        <v>71</v>
      </c>
      <c r="AE165" s="14">
        <v>72</v>
      </c>
      <c r="AF165" s="13">
        <v>73</v>
      </c>
      <c r="AG165" s="14">
        <v>74</v>
      </c>
      <c r="AH165" s="13">
        <v>75</v>
      </c>
      <c r="AI165" s="14">
        <v>76</v>
      </c>
      <c r="AJ165" s="13">
        <v>77</v>
      </c>
      <c r="AK165" s="14">
        <v>78</v>
      </c>
      <c r="AL165" s="13">
        <v>79</v>
      </c>
      <c r="AM165" s="14">
        <v>80</v>
      </c>
      <c r="AN165" s="13">
        <v>81</v>
      </c>
      <c r="AO165" s="14">
        <v>82</v>
      </c>
      <c r="AP165" s="13">
        <v>83</v>
      </c>
      <c r="AQ165" s="14">
        <v>84</v>
      </c>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row>
    <row r="166" spans="1:95" ht="15" hidden="1" customHeight="1" outlineLevel="2">
      <c r="A166" s="97"/>
      <c r="B166" s="97" t="s">
        <v>317</v>
      </c>
      <c r="C166" s="97"/>
      <c r="D166" s="90">
        <f>Amenity_values_road_1dB*Road_mask +Amenity_values_rail_1dB*Rail_mask +Amenity_values_aviation_1dB*Aviation_mask</f>
        <v>0</v>
      </c>
      <c r="E166" s="90">
        <f>Amenity_values_road_1dB*Road_mask +Amenity_values_rail_1dB*Rail_mask +Amenity_values_aviation_1dB*Aviation_mask</f>
        <v>9.9227629889971318</v>
      </c>
      <c r="F166" s="90">
        <f t="shared" ref="F166:AQ166" si="65">Amenity_values_road_1dB*Road_mask +Amenity_values_rail_1dB*Rail_mask +Amenity_values_aviation_1dB*Aviation_mask</f>
        <v>10.105834346646247</v>
      </c>
      <c r="G166" s="90">
        <f t="shared" si="65"/>
        <v>10.400497293870213</v>
      </c>
      <c r="H166" s="90">
        <f t="shared" si="65"/>
        <v>10.806751830669237</v>
      </c>
      <c r="I166" s="90">
        <f t="shared" si="65"/>
        <v>11.324597957043132</v>
      </c>
      <c r="J166" s="90">
        <f t="shared" si="65"/>
        <v>11.954035672991939</v>
      </c>
      <c r="K166" s="90">
        <f t="shared" si="65"/>
        <v>12.695064978515616</v>
      </c>
      <c r="L166" s="90">
        <f t="shared" si="65"/>
        <v>13.547685873614345</v>
      </c>
      <c r="M166" s="90">
        <f t="shared" si="65"/>
        <v>14.511898358287944</v>
      </c>
      <c r="N166" s="90">
        <f t="shared" si="65"/>
        <v>15.587702432536508</v>
      </c>
      <c r="O166" s="90">
        <f t="shared" si="65"/>
        <v>16.775098096359745</v>
      </c>
      <c r="P166" s="90">
        <f t="shared" si="65"/>
        <v>18.074085349758274</v>
      </c>
      <c r="Q166" s="90">
        <f t="shared" si="65"/>
        <v>19.484664192731611</v>
      </c>
      <c r="R166" s="90">
        <f t="shared" si="65"/>
        <v>21.006834625279801</v>
      </c>
      <c r="S166" s="90">
        <f t="shared" si="65"/>
        <v>22.640596647402802</v>
      </c>
      <c r="T166" s="90">
        <f t="shared" si="65"/>
        <v>24.385950259101001</v>
      </c>
      <c r="U166" s="90">
        <f t="shared" si="65"/>
        <v>26.242895460374093</v>
      </c>
      <c r="V166" s="90">
        <f t="shared" si="65"/>
        <v>28.211432251221737</v>
      </c>
      <c r="W166" s="90">
        <f t="shared" si="65"/>
        <v>30.291560631644877</v>
      </c>
      <c r="X166" s="90">
        <f t="shared" si="65"/>
        <v>32.483280601642583</v>
      </c>
      <c r="Y166" s="90">
        <f t="shared" si="65"/>
        <v>34.786592161215253</v>
      </c>
      <c r="Z166" s="90">
        <f t="shared" si="65"/>
        <v>37.201495310362915</v>
      </c>
      <c r="AA166" s="90">
        <f t="shared" si="65"/>
        <v>39.727990049085562</v>
      </c>
      <c r="AB166" s="90">
        <f t="shared" si="65"/>
        <v>42.366076377383017</v>
      </c>
      <c r="AC166" s="90">
        <f t="shared" si="65"/>
        <v>45.115754295255442</v>
      </c>
      <c r="AD166" s="90">
        <f t="shared" si="65"/>
        <v>47.977023802701922</v>
      </c>
      <c r="AE166" s="90">
        <f t="shared" si="65"/>
        <v>50.949884899725006</v>
      </c>
      <c r="AF166" s="90">
        <f t="shared" si="65"/>
        <v>54.034337586322316</v>
      </c>
      <c r="AG166" s="90">
        <f t="shared" si="65"/>
        <v>57.23038186249407</v>
      </c>
      <c r="AH166" s="90">
        <f t="shared" si="65"/>
        <v>60.53801772824167</v>
      </c>
      <c r="AI166" s="90">
        <f t="shared" si="65"/>
        <v>63.957245183563224</v>
      </c>
      <c r="AJ166" s="90">
        <f t="shared" si="65"/>
        <v>63.957245183563224</v>
      </c>
      <c r="AK166" s="90">
        <f t="shared" si="65"/>
        <v>63.957245183563224</v>
      </c>
      <c r="AL166" s="90">
        <f t="shared" si="65"/>
        <v>63.957245183563224</v>
      </c>
      <c r="AM166" s="90">
        <f t="shared" si="65"/>
        <v>63.957245183563224</v>
      </c>
      <c r="AN166" s="90">
        <f t="shared" si="65"/>
        <v>63.957245183563224</v>
      </c>
      <c r="AO166" s="90">
        <f t="shared" si="65"/>
        <v>63.957245183563224</v>
      </c>
      <c r="AP166" s="90">
        <f t="shared" si="65"/>
        <v>63.957245183563224</v>
      </c>
      <c r="AQ166" s="90">
        <f t="shared" si="65"/>
        <v>63.957245183563224</v>
      </c>
      <c r="AR166" s="3" t="s">
        <v>358</v>
      </c>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row>
    <row r="167" spans="1:95" ht="15" hidden="1" customHeight="1" outlineLevel="2">
      <c r="A167" s="97"/>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row>
    <row r="168" spans="1:95" ht="15" hidden="1" customHeight="1" outlineLevel="2">
      <c r="A168" s="97"/>
      <c r="C168" s="127" t="s">
        <v>319</v>
      </c>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3"/>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row>
    <row r="169" spans="1:95" ht="15" hidden="1" customHeight="1" outlineLevel="2">
      <c r="A169" s="97"/>
      <c r="B169" s="97" t="s">
        <v>320</v>
      </c>
      <c r="C169" s="127" t="s">
        <v>80</v>
      </c>
      <c r="D169" s="90">
        <v>1</v>
      </c>
      <c r="E169" s="90">
        <v>1</v>
      </c>
      <c r="F169" s="90">
        <v>0.5</v>
      </c>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3" t="s">
        <v>359</v>
      </c>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row>
    <row r="170" spans="1:95" ht="15" hidden="1" customHeight="1" outlineLevel="2">
      <c r="A170" s="97"/>
      <c r="B170" s="97" t="s">
        <v>322</v>
      </c>
      <c r="C170" s="127" t="s">
        <v>81</v>
      </c>
      <c r="D170" s="90"/>
      <c r="E170" s="90"/>
      <c r="F170" s="90">
        <v>0.5</v>
      </c>
      <c r="G170" s="90">
        <v>1</v>
      </c>
      <c r="H170" s="90">
        <v>1</v>
      </c>
      <c r="I170" s="90">
        <v>0.5</v>
      </c>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3" t="s">
        <v>360</v>
      </c>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row>
    <row r="171" spans="1:95" ht="15" hidden="1" customHeight="1" outlineLevel="2">
      <c r="A171" s="97"/>
      <c r="B171" s="97" t="s">
        <v>324</v>
      </c>
      <c r="C171" s="127" t="s">
        <v>82</v>
      </c>
      <c r="D171" s="90"/>
      <c r="E171" s="90"/>
      <c r="F171" s="90"/>
      <c r="G171" s="90"/>
      <c r="H171" s="90"/>
      <c r="I171" s="90">
        <v>0.5</v>
      </c>
      <c r="J171" s="90">
        <v>1</v>
      </c>
      <c r="K171" s="90">
        <v>1</v>
      </c>
      <c r="L171" s="90">
        <v>0.5</v>
      </c>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3" t="s">
        <v>361</v>
      </c>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row>
    <row r="172" spans="1:95" ht="15" hidden="1" customHeight="1" outlineLevel="2">
      <c r="A172" s="97"/>
      <c r="B172" s="97"/>
      <c r="C172" s="127" t="s">
        <v>83</v>
      </c>
      <c r="D172" s="90"/>
      <c r="E172" s="90"/>
      <c r="F172" s="90"/>
      <c r="G172" s="90"/>
      <c r="H172" s="90"/>
      <c r="I172" s="90"/>
      <c r="J172" s="90"/>
      <c r="K172" s="90"/>
      <c r="L172" s="90">
        <v>0.5</v>
      </c>
      <c r="M172" s="90">
        <v>1</v>
      </c>
      <c r="N172" s="90">
        <v>1</v>
      </c>
      <c r="O172" s="90">
        <v>0.5</v>
      </c>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3" t="s">
        <v>362</v>
      </c>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row>
    <row r="173" spans="1:95" ht="15" hidden="1" customHeight="1" outlineLevel="2">
      <c r="A173" s="97"/>
      <c r="B173" s="97"/>
      <c r="C173" s="127" t="s">
        <v>84</v>
      </c>
      <c r="D173" s="90"/>
      <c r="E173" s="90"/>
      <c r="F173" s="90"/>
      <c r="G173" s="90"/>
      <c r="H173" s="90"/>
      <c r="I173" s="90"/>
      <c r="J173" s="90"/>
      <c r="K173" s="90"/>
      <c r="L173" s="90"/>
      <c r="M173" s="90"/>
      <c r="N173" s="90"/>
      <c r="O173" s="90">
        <v>0.5</v>
      </c>
      <c r="P173" s="90">
        <v>1</v>
      </c>
      <c r="Q173" s="90">
        <v>1</v>
      </c>
      <c r="R173" s="90">
        <v>0.5</v>
      </c>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3" t="s">
        <v>363</v>
      </c>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row>
    <row r="174" spans="1:95" ht="15" hidden="1" customHeight="1" outlineLevel="2">
      <c r="A174" s="97"/>
      <c r="B174" s="97"/>
      <c r="C174" s="127" t="s">
        <v>85</v>
      </c>
      <c r="D174" s="90"/>
      <c r="E174" s="90"/>
      <c r="F174" s="90"/>
      <c r="G174" s="90"/>
      <c r="H174" s="90"/>
      <c r="I174" s="90"/>
      <c r="J174" s="90"/>
      <c r="K174" s="90"/>
      <c r="L174" s="90"/>
      <c r="M174" s="90"/>
      <c r="N174" s="90"/>
      <c r="O174" s="90"/>
      <c r="P174" s="90"/>
      <c r="Q174" s="90"/>
      <c r="R174" s="90">
        <v>0.5</v>
      </c>
      <c r="S174" s="90">
        <v>1</v>
      </c>
      <c r="T174" s="90">
        <v>1</v>
      </c>
      <c r="U174" s="90">
        <v>0.5</v>
      </c>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3" t="s">
        <v>364</v>
      </c>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row>
    <row r="175" spans="1:95" ht="15" hidden="1" customHeight="1" outlineLevel="2">
      <c r="A175" s="97"/>
      <c r="B175" s="97"/>
      <c r="C175" s="127" t="s">
        <v>86</v>
      </c>
      <c r="D175" s="90"/>
      <c r="E175" s="90"/>
      <c r="F175" s="90"/>
      <c r="G175" s="90"/>
      <c r="H175" s="90"/>
      <c r="I175" s="90"/>
      <c r="J175" s="90"/>
      <c r="K175" s="90"/>
      <c r="L175" s="90"/>
      <c r="M175" s="90"/>
      <c r="N175" s="90"/>
      <c r="O175" s="90"/>
      <c r="P175" s="90"/>
      <c r="Q175" s="90"/>
      <c r="R175" s="90"/>
      <c r="S175" s="90"/>
      <c r="T175" s="90"/>
      <c r="U175" s="90">
        <v>0.5</v>
      </c>
      <c r="V175" s="90">
        <v>1</v>
      </c>
      <c r="W175" s="90">
        <v>1</v>
      </c>
      <c r="X175" s="90">
        <v>0.5</v>
      </c>
      <c r="Y175" s="90"/>
      <c r="Z175" s="90"/>
      <c r="AA175" s="90"/>
      <c r="AB175" s="90"/>
      <c r="AC175" s="90"/>
      <c r="AD175" s="90"/>
      <c r="AE175" s="90"/>
      <c r="AF175" s="90"/>
      <c r="AG175" s="90"/>
      <c r="AH175" s="90"/>
      <c r="AI175" s="90"/>
      <c r="AJ175" s="90"/>
      <c r="AK175" s="90"/>
      <c r="AL175" s="90"/>
      <c r="AM175" s="90"/>
      <c r="AN175" s="90"/>
      <c r="AO175" s="90"/>
      <c r="AP175" s="90"/>
      <c r="AQ175" s="90"/>
      <c r="AR175" s="3" t="s">
        <v>365</v>
      </c>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row>
    <row r="176" spans="1:95" ht="15" hidden="1" customHeight="1" outlineLevel="2">
      <c r="A176" s="97"/>
      <c r="B176" s="97"/>
      <c r="C176" s="127" t="s">
        <v>87</v>
      </c>
      <c r="D176" s="90"/>
      <c r="E176" s="90"/>
      <c r="F176" s="90"/>
      <c r="G176" s="90"/>
      <c r="H176" s="90"/>
      <c r="I176" s="90"/>
      <c r="J176" s="90"/>
      <c r="K176" s="90"/>
      <c r="L176" s="90"/>
      <c r="M176" s="90"/>
      <c r="N176" s="90"/>
      <c r="O176" s="90"/>
      <c r="P176" s="90"/>
      <c r="Q176" s="90"/>
      <c r="R176" s="90"/>
      <c r="S176" s="90"/>
      <c r="T176" s="90"/>
      <c r="U176" s="90"/>
      <c r="V176" s="90"/>
      <c r="W176" s="90"/>
      <c r="X176" s="90">
        <v>0.5</v>
      </c>
      <c r="Y176" s="90">
        <v>1</v>
      </c>
      <c r="Z176" s="90">
        <v>1</v>
      </c>
      <c r="AA176" s="90">
        <v>0.5</v>
      </c>
      <c r="AB176" s="90"/>
      <c r="AC176" s="90"/>
      <c r="AD176" s="90"/>
      <c r="AE176" s="90"/>
      <c r="AF176" s="90"/>
      <c r="AG176" s="90"/>
      <c r="AH176" s="90"/>
      <c r="AI176" s="90"/>
      <c r="AJ176" s="90"/>
      <c r="AK176" s="90"/>
      <c r="AL176" s="90"/>
      <c r="AM176" s="90"/>
      <c r="AN176" s="90"/>
      <c r="AO176" s="90"/>
      <c r="AP176" s="90"/>
      <c r="AQ176" s="90"/>
      <c r="AR176" s="3" t="s">
        <v>366</v>
      </c>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row>
    <row r="177" spans="1:95" ht="15" hidden="1" customHeight="1" outlineLevel="2">
      <c r="A177" s="97"/>
      <c r="B177" s="97"/>
      <c r="C177" s="127" t="s">
        <v>88</v>
      </c>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v>0.5</v>
      </c>
      <c r="AB177" s="90">
        <v>1</v>
      </c>
      <c r="AC177" s="90">
        <v>1</v>
      </c>
      <c r="AD177" s="90">
        <v>0.5</v>
      </c>
      <c r="AE177" s="90"/>
      <c r="AF177" s="90"/>
      <c r="AG177" s="90"/>
      <c r="AH177" s="90"/>
      <c r="AI177" s="90"/>
      <c r="AJ177" s="90"/>
      <c r="AK177" s="90"/>
      <c r="AL177" s="90"/>
      <c r="AM177" s="90"/>
      <c r="AN177" s="90"/>
      <c r="AO177" s="90"/>
      <c r="AP177" s="90"/>
      <c r="AQ177" s="90"/>
      <c r="AR177" s="3" t="s">
        <v>367</v>
      </c>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row>
    <row r="178" spans="1:95" ht="15" hidden="1" customHeight="1" outlineLevel="2">
      <c r="A178" s="97"/>
      <c r="B178" s="97"/>
      <c r="C178" s="127" t="s">
        <v>89</v>
      </c>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v>0.5</v>
      </c>
      <c r="AE178" s="90">
        <v>1</v>
      </c>
      <c r="AF178" s="90">
        <v>1</v>
      </c>
      <c r="AG178" s="90">
        <v>0.5</v>
      </c>
      <c r="AH178" s="90"/>
      <c r="AI178" s="90"/>
      <c r="AJ178" s="90"/>
      <c r="AK178" s="90"/>
      <c r="AL178" s="90"/>
      <c r="AM178" s="90"/>
      <c r="AN178" s="90"/>
      <c r="AO178" s="90"/>
      <c r="AP178" s="90"/>
      <c r="AQ178" s="90"/>
      <c r="AR178" s="3" t="s">
        <v>368</v>
      </c>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row>
    <row r="179" spans="1:95" ht="15" hidden="1" customHeight="1" outlineLevel="2">
      <c r="A179" s="97"/>
      <c r="B179" s="97"/>
      <c r="C179" s="127" t="s">
        <v>90</v>
      </c>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v>0.5</v>
      </c>
      <c r="AH179" s="90">
        <v>1</v>
      </c>
      <c r="AI179" s="90">
        <v>1</v>
      </c>
      <c r="AJ179" s="90">
        <v>0.5</v>
      </c>
      <c r="AK179" s="90"/>
      <c r="AL179" s="90"/>
      <c r="AM179" s="90"/>
      <c r="AN179" s="90"/>
      <c r="AO179" s="90"/>
      <c r="AP179" s="90"/>
      <c r="AQ179" s="90"/>
      <c r="AR179" s="3" t="s">
        <v>369</v>
      </c>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row>
    <row r="180" spans="1:95" ht="15" hidden="1" customHeight="1" outlineLevel="2">
      <c r="A180" s="97"/>
      <c r="B180" s="97"/>
      <c r="C180" s="127" t="s">
        <v>91</v>
      </c>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v>0.5</v>
      </c>
      <c r="AK180" s="90">
        <v>1</v>
      </c>
      <c r="AL180" s="90">
        <v>1</v>
      </c>
      <c r="AM180" s="90">
        <v>0.5</v>
      </c>
      <c r="AN180" s="90"/>
      <c r="AO180" s="90"/>
      <c r="AP180" s="90"/>
      <c r="AQ180" s="90"/>
      <c r="AR180" s="3" t="s">
        <v>370</v>
      </c>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row>
    <row r="181" spans="1:95" ht="15" hidden="1" customHeight="1" outlineLevel="2">
      <c r="A181" s="97"/>
      <c r="B181" s="97"/>
      <c r="C181" s="127" t="s">
        <v>92</v>
      </c>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v>0.5</v>
      </c>
      <c r="AN181" s="90">
        <v>1</v>
      </c>
      <c r="AO181" s="90">
        <v>1</v>
      </c>
      <c r="AP181" s="90">
        <v>0.5</v>
      </c>
      <c r="AQ181" s="90"/>
      <c r="AR181" s="3" t="s">
        <v>371</v>
      </c>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row>
    <row r="182" spans="1:95" ht="15" hidden="1" customHeight="1" outlineLevel="2">
      <c r="A182" s="97"/>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row>
    <row r="183" spans="1:95" ht="15" customHeight="1" outlineLevel="1" collapsed="1">
      <c r="A183" s="97"/>
      <c r="B183" s="126" t="s">
        <v>161</v>
      </c>
      <c r="C183" s="97"/>
      <c r="D183" s="19" t="s">
        <v>80</v>
      </c>
      <c r="E183" s="20" t="s">
        <v>81</v>
      </c>
      <c r="F183" s="20" t="s">
        <v>82</v>
      </c>
      <c r="G183" s="20" t="s">
        <v>83</v>
      </c>
      <c r="H183" s="20" t="s">
        <v>84</v>
      </c>
      <c r="I183" s="20" t="s">
        <v>85</v>
      </c>
      <c r="J183" s="20" t="s">
        <v>86</v>
      </c>
      <c r="K183" s="20" t="s">
        <v>87</v>
      </c>
      <c r="L183" s="20" t="s">
        <v>88</v>
      </c>
      <c r="M183" s="20" t="s">
        <v>89</v>
      </c>
      <c r="N183" s="20" t="s">
        <v>90</v>
      </c>
      <c r="O183" s="20" t="s">
        <v>91</v>
      </c>
      <c r="P183" s="20" t="s">
        <v>92</v>
      </c>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row>
    <row r="184" spans="1:95" ht="15" customHeight="1" outlineLevel="1">
      <c r="A184" s="97"/>
      <c r="B184" s="126"/>
      <c r="C184" s="97"/>
      <c r="D184" s="19" t="s">
        <v>81</v>
      </c>
      <c r="E184" s="20" t="s">
        <v>82</v>
      </c>
      <c r="F184" s="20" t="s">
        <v>83</v>
      </c>
      <c r="G184" s="20" t="s">
        <v>84</v>
      </c>
      <c r="H184" s="20" t="s">
        <v>85</v>
      </c>
      <c r="I184" s="20" t="s">
        <v>86</v>
      </c>
      <c r="J184" s="20" t="s">
        <v>87</v>
      </c>
      <c r="K184" s="20" t="s">
        <v>88</v>
      </c>
      <c r="L184" s="20" t="s">
        <v>89</v>
      </c>
      <c r="M184" s="20" t="s">
        <v>90</v>
      </c>
      <c r="N184" s="20" t="s">
        <v>91</v>
      </c>
      <c r="O184" s="20" t="s">
        <v>92</v>
      </c>
      <c r="P184" s="20" t="s">
        <v>93</v>
      </c>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row>
    <row r="185" spans="1:95" ht="15" customHeight="1" outlineLevel="1">
      <c r="A185" s="97"/>
      <c r="B185" s="97" t="s">
        <v>317</v>
      </c>
      <c r="C185" s="97"/>
      <c r="D185" s="90">
        <f>SUMPRODUCT(Amenity_values_1dB_table,amenity_1_to_3_dB_band_45)</f>
        <v>14.975680162320256</v>
      </c>
      <c r="E185" s="90">
        <f>SUMPRODUCT(Amenity_values_1dB_table,amenity_1_to_3_dB_band_45_48)</f>
        <v>31.922465276384141</v>
      </c>
      <c r="F185" s="90">
        <f>SUMPRODUCT(Amenity_values_1dB_table,amenity_1_to_3_dB_band_48_51)</f>
        <v>37.085242566836293</v>
      </c>
      <c r="G185" s="90">
        <f>SUMPRODUCT(Amenity_values_1dB_table,amenity_1_to_3_dB_band_51_54)</f>
        <v>45.260992775811495</v>
      </c>
      <c r="H185" s="90">
        <f>SUMPRODUCT(Amenity_values_1dB_table,amenity_1_to_3_dB_band_54_57)</f>
        <v>56.449715903309652</v>
      </c>
      <c r="I185" s="90">
        <f>SUMPRODUCT(Amenity_values_1dB_table,amenity_1_to_3_dB_band_57_60)</f>
        <v>70.65141194933075</v>
      </c>
      <c r="J185" s="90">
        <f>SUMPRODUCT(Amenity_values_1dB_table,amenity_1_to_3_dB_band_60_63)</f>
        <v>87.866080913874939</v>
      </c>
      <c r="K185" s="90">
        <f>SUMPRODUCT(Amenity_values_1dB_table,amenity_1_to_3_dB_band_63_66)</f>
        <v>108.09372279694225</v>
      </c>
      <c r="L185" s="90">
        <f>SUMPRODUCT(Amenity_values_1dB_table,amenity_1_to_3_dB_band_66_69)</f>
        <v>131.33433759853222</v>
      </c>
      <c r="M185" s="90">
        <f>SUMPRODUCT(Amenity_values_1dB_table,amenity_1_to_3_dB_band_69_72)</f>
        <v>157.58792531864532</v>
      </c>
      <c r="N185" s="90">
        <f>SUMPRODUCT(Amenity_values_1dB_table,amenity_1_to_3_dB_band_72_75)</f>
        <v>185.08907643483354</v>
      </c>
      <c r="O185" s="90">
        <f>SUMPRODUCT(Amenity_values_1dB_table,amenity_1_to_3_dB_band_75_78)</f>
        <v>191.87173555068966</v>
      </c>
      <c r="P185" s="90">
        <f>SUMPRODUCT(Amenity_values_1dB_table,amenity_1_to_3_dB_band_78_81)</f>
        <v>191.87173555068966</v>
      </c>
      <c r="Q185" s="16" t="s">
        <v>372</v>
      </c>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row>
    <row r="186" spans="1:95" ht="15" customHeight="1" outlineLevel="1">
      <c r="A186" s="97"/>
      <c r="B186" s="18"/>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row>
    <row r="187" spans="1:95" s="21" customFormat="1" ht="15" customHeight="1" outlineLevel="1">
      <c r="A187" s="23"/>
      <c r="B187" s="122"/>
      <c r="C187" s="60" t="s">
        <v>79</v>
      </c>
      <c r="D187" s="61" t="s">
        <v>80</v>
      </c>
      <c r="E187" s="104" t="s">
        <v>81</v>
      </c>
      <c r="F187" s="104" t="s">
        <v>82</v>
      </c>
      <c r="G187" s="104" t="s">
        <v>83</v>
      </c>
      <c r="H187" s="104" t="s">
        <v>84</v>
      </c>
      <c r="I187" s="104" t="s">
        <v>85</v>
      </c>
      <c r="J187" s="104" t="s">
        <v>86</v>
      </c>
      <c r="K187" s="104" t="s">
        <v>87</v>
      </c>
      <c r="L187" s="104" t="s">
        <v>88</v>
      </c>
      <c r="M187" s="104" t="s">
        <v>89</v>
      </c>
      <c r="N187" s="104" t="s">
        <v>90</v>
      </c>
      <c r="O187" s="104" t="s">
        <v>91</v>
      </c>
      <c r="P187" s="104" t="s">
        <v>92</v>
      </c>
      <c r="Q187" s="104" t="s">
        <v>93</v>
      </c>
      <c r="R187" s="22" t="s">
        <v>337</v>
      </c>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row>
    <row r="188" spans="1:95" s="21" customFormat="1" ht="15" customHeight="1" outlineLevel="1">
      <c r="A188" s="23"/>
      <c r="B188" s="60" t="s">
        <v>94</v>
      </c>
      <c r="C188" s="129"/>
      <c r="D188" s="129"/>
      <c r="E188" s="129"/>
      <c r="F188" s="129"/>
      <c r="G188" s="129"/>
      <c r="H188" s="129"/>
      <c r="I188" s="129"/>
      <c r="J188" s="129"/>
      <c r="K188" s="129"/>
      <c r="L188" s="129"/>
      <c r="M188" s="129"/>
      <c r="N188" s="129"/>
      <c r="O188" s="129"/>
      <c r="P188" s="129"/>
      <c r="Q188" s="130"/>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row>
    <row r="189" spans="1:95" s="21" customFormat="1" ht="15" customHeight="1" outlineLevel="1">
      <c r="A189" s="23"/>
      <c r="B189" s="61" t="s">
        <v>80</v>
      </c>
      <c r="C189" s="105"/>
      <c r="D189" s="131">
        <v>0</v>
      </c>
      <c r="E189" s="131">
        <f>-(HLOOKUP(Noise_3dB_bands,Amenity_values_3dB_table,2,0))</f>
        <v>-14.975680162320256</v>
      </c>
      <c r="F189" s="131">
        <f>-(HLOOKUP(Noise_3dB_bands,Amenity_values_3dB_table,2,0)) + Without_45_with_45_48_amenity_value</f>
        <v>-46.898145438704397</v>
      </c>
      <c r="G189" s="131">
        <f>-(HLOOKUP(Noise_3dB_bands,Amenity_values_3dB_table,2,0)) +Without_45_with_48_51_amenity_value</f>
        <v>-83.983388005540689</v>
      </c>
      <c r="H189" s="131">
        <f>-(HLOOKUP(Noise_3dB_bands,Amenity_values_3dB_table,2,0)) +Without_45_with_51_54_amenity_value</f>
        <v>-129.24438078135219</v>
      </c>
      <c r="I189" s="131">
        <f>-(HLOOKUP(Noise_3dB_bands,Amenity_values_3dB_table,2,0)) +Without_45_with_54_57_amenity_value</f>
        <v>-185.69409668466184</v>
      </c>
      <c r="J189" s="131">
        <f>-(HLOOKUP(Noise_3dB_bands,Amenity_values_3dB_table,2,0)) + Without_45_with_57_60_amenity_value</f>
        <v>-256.34550863399261</v>
      </c>
      <c r="K189" s="131">
        <f>-(HLOOKUP(Noise_3dB_bands,Amenity_values_3dB_table,2,0)) +Without_45_with_60_63_amenity_value</f>
        <v>-344.21158954786756</v>
      </c>
      <c r="L189" s="131">
        <f>-(HLOOKUP(Noise_3dB_bands,Amenity_values_3dB_table,2,0)) +Without_45_with_63_66_amenity_value</f>
        <v>-452.30531234480981</v>
      </c>
      <c r="M189" s="131">
        <f>-(HLOOKUP(Noise_3dB_bands,Amenity_values_3dB_table,2,0)) +Without_45_with_66_69_amenity_value</f>
        <v>-583.63964994334196</v>
      </c>
      <c r="N189" s="131">
        <f>-(HLOOKUP(Noise_3dB_bands,Amenity_values_3dB_table,2,0)) +Without_45_with_69_72_amenity_value</f>
        <v>-741.22757526198734</v>
      </c>
      <c r="O189" s="131">
        <f>-(HLOOKUP(Noise_3dB_bands,Amenity_values_3dB_table,2,0)) +Without_45_with_72_75_amenity_value</f>
        <v>-926.31665169682083</v>
      </c>
      <c r="P189" s="131">
        <f>-(HLOOKUP(Noise_3dB_bands,Amenity_values_3dB_table,2,0)) +Without_45_with_75_78_amenity_value</f>
        <v>-1118.1883872475105</v>
      </c>
      <c r="Q189" s="131">
        <f>-(HLOOKUP(Noise_3dB_bands,Amenity_values_3dB_table,2,0)) +Without_45_with_78_81_amenity_value</f>
        <v>-1310.0601227982002</v>
      </c>
      <c r="R189" s="22" t="s">
        <v>373</v>
      </c>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row>
    <row r="190" spans="1:95" s="21" customFormat="1" ht="15" customHeight="1" outlineLevel="1">
      <c r="A190" s="23"/>
      <c r="B190" s="104" t="s">
        <v>81</v>
      </c>
      <c r="C190" s="132"/>
      <c r="D190" s="131">
        <f>-Without_45_with_45_48_amenity_value</f>
        <v>14.975680162320256</v>
      </c>
      <c r="E190" s="131">
        <v>0</v>
      </c>
      <c r="F190" s="131">
        <f>-(HLOOKUP(Noise_3dB_bands,Amenity_values_3dB_table,2,0))</f>
        <v>-31.922465276384141</v>
      </c>
      <c r="G190" s="131">
        <f>-(HLOOKUP(Noise_3dB_bands,Amenity_values_3dB_table,2,0))+Without_45_48_with_48_51_amenity_value</f>
        <v>-69.00770784322043</v>
      </c>
      <c r="H190" s="131">
        <f>-(HLOOKUP(Noise_3dB_bands,Amenity_values_3dB_table,2,0))+Without_45_48_with_51_54_amenity_value</f>
        <v>-114.26870061903193</v>
      </c>
      <c r="I190" s="131">
        <f>-(HLOOKUP(Noise_3dB_bands,Amenity_values_3dB_table,2,0))+Without_45_48_with_54_57_amenity_value</f>
        <v>-170.71841652234158</v>
      </c>
      <c r="J190" s="131">
        <f>-(HLOOKUP(Noise_3dB_bands,Amenity_values_3dB_table,2,0))+Without_45_48_with_57_60_amenity_value</f>
        <v>-241.36982847167235</v>
      </c>
      <c r="K190" s="131">
        <f>-(HLOOKUP(Noise_3dB_bands,Amenity_values_3dB_table,2,0))+Without_45_48_with_60_63_amenity_value</f>
        <v>-329.2359093855473</v>
      </c>
      <c r="L190" s="131">
        <f>-(HLOOKUP(Noise_3dB_bands,Amenity_values_3dB_table,2,0))+Without_45_48_with_63_66_amenity_value</f>
        <v>-437.32963218248955</v>
      </c>
      <c r="M190" s="131">
        <f>-(HLOOKUP(Noise_3dB_bands,Amenity_values_3dB_table,2,0))+Without_45_48_with_66_69_amenity_value</f>
        <v>-568.66396978102171</v>
      </c>
      <c r="N190" s="131">
        <f>-(HLOOKUP(Noise_3dB_bands,Amenity_values_3dB_table,2,0))+Without_45_48_with_69_72_amenity_value</f>
        <v>-726.25189509966708</v>
      </c>
      <c r="O190" s="131">
        <f>-(HLOOKUP(Noise_3dB_bands,Amenity_values_3dB_table,2,0))+Without_45_48_with_72_75_amenity_value</f>
        <v>-911.34097153450057</v>
      </c>
      <c r="P190" s="131">
        <f>-(HLOOKUP(Noise_3dB_bands,Amenity_values_3dB_table,2,0))+Without_45_48_with_75_78_amenity_value</f>
        <v>-1103.2127070851902</v>
      </c>
      <c r="Q190" s="131">
        <f>-(HLOOKUP(Noise_3dB_bands,Amenity_values_3dB_table,2,0))+Without_45_48_with_78_81_amenity_value</f>
        <v>-1295.0844426358799</v>
      </c>
      <c r="R190" s="22" t="s">
        <v>374</v>
      </c>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row>
    <row r="191" spans="1:95" s="21" customFormat="1" ht="15" customHeight="1" outlineLevel="1">
      <c r="A191" s="23"/>
      <c r="B191" s="104" t="s">
        <v>82</v>
      </c>
      <c r="C191" s="132"/>
      <c r="D191" s="131">
        <f>-Without_45_with_48_51_amenity_value</f>
        <v>46.898145438704397</v>
      </c>
      <c r="E191" s="131">
        <f>-Without_45_48_with_48_51_amenity_value</f>
        <v>31.922465276384141</v>
      </c>
      <c r="F191" s="131">
        <v>0</v>
      </c>
      <c r="G191" s="131">
        <f>-(HLOOKUP(Noise_3dB_bands,Amenity_values_3dB_table,2,0))</f>
        <v>-37.085242566836293</v>
      </c>
      <c r="H191" s="131">
        <f>-(HLOOKUP(Noise_3dB_bands,Amenity_values_3dB_table,2,0))+Without_48_51_with_51_54_amenity_value</f>
        <v>-82.346235342647788</v>
      </c>
      <c r="I191" s="131">
        <f>-(HLOOKUP(Noise_3dB_bands,Amenity_values_3dB_table,2,0))+Without_48_51_with_54_57_amenity_value</f>
        <v>-138.79595124595744</v>
      </c>
      <c r="J191" s="131">
        <f>-(HLOOKUP(Noise_3dB_bands,Amenity_values_3dB_table,2,0))+Without_48_51_with_57_60_amenity_value</f>
        <v>-209.44736319528818</v>
      </c>
      <c r="K191" s="131">
        <f>-(HLOOKUP(Noise_3dB_bands,Amenity_values_3dB_table,2,0))+Without_48_51_with_60_63_amenity_value</f>
        <v>-297.31344410916313</v>
      </c>
      <c r="L191" s="131">
        <f>-(HLOOKUP(Noise_3dB_bands,Amenity_values_3dB_table,2,0))+Without_48_51_with_63_66_amenity_value</f>
        <v>-405.40716690610537</v>
      </c>
      <c r="M191" s="131">
        <f>-(HLOOKUP(Noise_3dB_bands,Amenity_values_3dB_table,2,0))+Without_48_51_with_66_69_amenity_value</f>
        <v>-536.74150450463753</v>
      </c>
      <c r="N191" s="131">
        <f>-(HLOOKUP(Noise_3dB_bands,Amenity_values_3dB_table,2,0))+Without_48_51_with_69_72_amenity_value</f>
        <v>-694.32942982328291</v>
      </c>
      <c r="O191" s="131">
        <f>-(HLOOKUP(Noise_3dB_bands,Amenity_values_3dB_table,2,0))+Without_48_51_with_72_75_amenity_value</f>
        <v>-879.41850625811639</v>
      </c>
      <c r="P191" s="131">
        <f>-(HLOOKUP(Noise_3dB_bands,Amenity_values_3dB_table,2,0))+Without_48_51_with_75_78_amenity_value</f>
        <v>-1071.2902418088061</v>
      </c>
      <c r="Q191" s="131">
        <f>-(HLOOKUP(Noise_3dB_bands,Amenity_values_3dB_table,2,0))+Without_48_51_with_78_81_amenity_value</f>
        <v>-1263.1619773594957</v>
      </c>
      <c r="R191" s="22" t="s">
        <v>375</v>
      </c>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row>
    <row r="192" spans="1:95" s="21" customFormat="1" ht="15" customHeight="1" outlineLevel="1">
      <c r="A192" s="23"/>
      <c r="B192" s="104" t="s">
        <v>83</v>
      </c>
      <c r="C192" s="132"/>
      <c r="D192" s="131">
        <f>-Without_45_with_51_54_amenity_value</f>
        <v>83.983388005540689</v>
      </c>
      <c r="E192" s="131">
        <f>-Without_45_48_with_51_54_amenity_value</f>
        <v>69.00770784322043</v>
      </c>
      <c r="F192" s="131">
        <f>-Without_48_51_with_51_54_amenity_value</f>
        <v>37.085242566836293</v>
      </c>
      <c r="G192" s="131">
        <v>0</v>
      </c>
      <c r="H192" s="131">
        <f>-(HLOOKUP(Noise_3dB_bands,Amenity_values_3dB_table,2,0))</f>
        <v>-45.260992775811495</v>
      </c>
      <c r="I192" s="131">
        <f>-(HLOOKUP(Noise_3dB_bands,Amenity_values_3dB_table,2,0))+Without_51_54_with_54_57_amenity_value</f>
        <v>-101.71070867912115</v>
      </c>
      <c r="J192" s="131">
        <f>-(HLOOKUP(Noise_3dB_bands,Amenity_values_3dB_table,2,0))+Without_51_54_with_57_60_amenity_value</f>
        <v>-172.36212062845192</v>
      </c>
      <c r="K192" s="131">
        <f>-(HLOOKUP(Noise_3dB_bands,Amenity_values_3dB_table,2,0))+Without_51_54_with_60_63_amenity_value</f>
        <v>-260.22820154232687</v>
      </c>
      <c r="L192" s="131">
        <f>-(HLOOKUP(Noise_3dB_bands,Amenity_values_3dB_table,2,0))+Without_51_54_with_63_66_amenity_value</f>
        <v>-368.32192433926912</v>
      </c>
      <c r="M192" s="131">
        <f>-(HLOOKUP(Noise_3dB_bands,Amenity_values_3dB_table,2,0))+Without_51_54_with_66_69_amenity_value</f>
        <v>-499.65626193780133</v>
      </c>
      <c r="N192" s="131">
        <f>-(HLOOKUP(Noise_3dB_bands,Amenity_values_3dB_table,2,0))+Without_51_54_with_69_72_amenity_value</f>
        <v>-657.24418725644659</v>
      </c>
      <c r="O192" s="131">
        <f>-(HLOOKUP(Noise_3dB_bands,Amenity_values_3dB_table,2,0))+Without_51_54_with_72_75_amenity_value</f>
        <v>-842.33326369128008</v>
      </c>
      <c r="P192" s="131">
        <f>-(HLOOKUP(Noise_3dB_bands,Amenity_values_3dB_table,2,0))+Without_51_54_with_75_78_amenity_value</f>
        <v>-1034.2049992419697</v>
      </c>
      <c r="Q192" s="131">
        <f>-(HLOOKUP(Noise_3dB_bands,Amenity_values_3dB_table,2,0))+Without_51_54_with_78_81_amenity_value</f>
        <v>-1226.0767347926594</v>
      </c>
      <c r="R192" s="22" t="s">
        <v>376</v>
      </c>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row>
    <row r="193" spans="1:96" s="21" customFormat="1" ht="15" customHeight="1" outlineLevel="1">
      <c r="A193" s="23"/>
      <c r="B193" s="104" t="s">
        <v>84</v>
      </c>
      <c r="C193" s="132"/>
      <c r="D193" s="131">
        <f>-Without_45_with_54_57_amenity_value</f>
        <v>129.24438078135219</v>
      </c>
      <c r="E193" s="131">
        <f>-Without_45_48_with_54_57_amenity_value</f>
        <v>114.26870061903193</v>
      </c>
      <c r="F193" s="131">
        <f>-Without_48_51_with_54_57_amenity_value</f>
        <v>82.346235342647788</v>
      </c>
      <c r="G193" s="131">
        <f>-Without_51_54_with_54_57_amenity_value</f>
        <v>45.260992775811495</v>
      </c>
      <c r="H193" s="131">
        <v>0</v>
      </c>
      <c r="I193" s="131">
        <f>-(HLOOKUP(Noise_3dB_bands,Amenity_values_3dB_table,2,0))</f>
        <v>-56.449715903309652</v>
      </c>
      <c r="J193" s="131">
        <f>-(HLOOKUP(Noise_3dB_bands,Amenity_values_3dB_table,2,0))+Without_54_57_with_57_60_amenity_value</f>
        <v>-127.1011278526404</v>
      </c>
      <c r="K193" s="131">
        <f>-(HLOOKUP(Noise_3dB_bands,Amenity_values_3dB_table,2,0))+Without_54_57_with_60_63_amenity_value</f>
        <v>-214.96720876651534</v>
      </c>
      <c r="L193" s="131">
        <f>-(HLOOKUP(Noise_3dB_bands,Amenity_values_3dB_table,2,0))+Without_54_57_with_63_66_amenity_value</f>
        <v>-323.06093156345759</v>
      </c>
      <c r="M193" s="131">
        <f>-(HLOOKUP(Noise_3dB_bands,Amenity_values_3dB_table,2,0))+Without_54_57_with_66_69_amenity_value</f>
        <v>-454.3952691619898</v>
      </c>
      <c r="N193" s="131">
        <f>-(HLOOKUP(Noise_3dB_bands,Amenity_values_3dB_table,2,0))+Without_54_57_with_69_72_amenity_value</f>
        <v>-611.98319448063512</v>
      </c>
      <c r="O193" s="131">
        <f>-(HLOOKUP(Noise_3dB_bands,Amenity_values_3dB_table,2,0))+Without_54_57_with_72_75_amenity_value</f>
        <v>-797.07227091546861</v>
      </c>
      <c r="P193" s="131">
        <f>-(HLOOKUP(Noise_3dB_bands,Amenity_values_3dB_table,2,0))+Without_54_57_with_75_78_amenity_value</f>
        <v>-988.94400646615827</v>
      </c>
      <c r="Q193" s="131">
        <f>-(HLOOKUP(Noise_3dB_bands,Amenity_values_3dB_table,2,0))+Without_54_57_with_78_81_amenity_value</f>
        <v>-1180.8157420168479</v>
      </c>
      <c r="R193" s="22" t="s">
        <v>377</v>
      </c>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row>
    <row r="194" spans="1:96" s="21" customFormat="1" ht="15" customHeight="1" outlineLevel="1">
      <c r="A194" s="23"/>
      <c r="B194" s="104" t="s">
        <v>85</v>
      </c>
      <c r="C194" s="132"/>
      <c r="D194" s="131">
        <f>-Without_45_with_57_60_amenity_value</f>
        <v>185.69409668466184</v>
      </c>
      <c r="E194" s="131">
        <f>-Without_45_48_with_57_60_amenity_value</f>
        <v>170.71841652234158</v>
      </c>
      <c r="F194" s="131">
        <f>-Without_48_51_with_57_60_amenity_value</f>
        <v>138.79595124595744</v>
      </c>
      <c r="G194" s="131">
        <f>-Without_51_54_with_57_60_amenity_value</f>
        <v>101.71070867912115</v>
      </c>
      <c r="H194" s="131">
        <f>-Without_54_57_with_57_60_amenity_value</f>
        <v>56.449715903309652</v>
      </c>
      <c r="I194" s="131">
        <v>0</v>
      </c>
      <c r="J194" s="131">
        <f>-(HLOOKUP(Noise_3dB_bands,Amenity_values_3dB_table,2,0))</f>
        <v>-70.65141194933075</v>
      </c>
      <c r="K194" s="131">
        <f>-(HLOOKUP(Noise_3dB_bands,Amenity_values_3dB_table,2,0))+Without_57_60_with_60_63_amenity_value</f>
        <v>-158.51749286320569</v>
      </c>
      <c r="L194" s="131">
        <f>-(HLOOKUP(Noise_3dB_bands,Amenity_values_3dB_table,2,0))+Without_57_60_with_63_66_amenity_value</f>
        <v>-266.61121566014793</v>
      </c>
      <c r="M194" s="131">
        <f>-(HLOOKUP(Noise_3dB_bands,Amenity_values_3dB_table,2,0))+Without_57_60_with_66_69_amenity_value</f>
        <v>-397.94555325868015</v>
      </c>
      <c r="N194" s="131">
        <f>-(HLOOKUP(Noise_3dB_bands,Amenity_values_3dB_table,2,0))+Without_57_60_with_69_72_amenity_value</f>
        <v>-555.53347857732547</v>
      </c>
      <c r="O194" s="131">
        <f>-(HLOOKUP(Noise_3dB_bands,Amenity_values_3dB_table,2,0))+Without_57_60_with_72_75_amenity_value</f>
        <v>-740.62255501215895</v>
      </c>
      <c r="P194" s="131">
        <f>-(HLOOKUP(Noise_3dB_bands,Amenity_values_3dB_table,2,0))+Without_57_60_with_75_78_amenity_value</f>
        <v>-932.49429056284862</v>
      </c>
      <c r="Q194" s="131">
        <f>-(HLOOKUP(Noise_3dB_bands,Amenity_values_3dB_table,2,0))+Without_57_60_with_78_81_amenity_value</f>
        <v>-1124.3660261135383</v>
      </c>
      <c r="R194" s="22" t="s">
        <v>378</v>
      </c>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row>
    <row r="195" spans="1:96" s="21" customFormat="1" ht="15" customHeight="1" outlineLevel="1">
      <c r="A195" s="23"/>
      <c r="B195" s="104" t="s">
        <v>86</v>
      </c>
      <c r="C195" s="132"/>
      <c r="D195" s="131">
        <f>-Without_45_with_60_63_amenity_value</f>
        <v>256.34550863399261</v>
      </c>
      <c r="E195" s="131">
        <f>-Without_45_48_with_60_63_amenity_value</f>
        <v>241.36982847167235</v>
      </c>
      <c r="F195" s="131">
        <f>-Without_48_51_with_60_63_amenity_value</f>
        <v>209.44736319528818</v>
      </c>
      <c r="G195" s="131">
        <f>-Without_51_54_with_60_63_amenity_value</f>
        <v>172.36212062845192</v>
      </c>
      <c r="H195" s="131">
        <f>-Without_54_57_with_60_63_amenity_value</f>
        <v>127.1011278526404</v>
      </c>
      <c r="I195" s="131">
        <f>-Without_57_60_with_60_63_amenity_value</f>
        <v>70.65141194933075</v>
      </c>
      <c r="J195" s="131">
        <v>0</v>
      </c>
      <c r="K195" s="131">
        <f>-(HLOOKUP(Noise_3dB_bands,Amenity_values_3dB_table,2,0))</f>
        <v>-87.866080913874939</v>
      </c>
      <c r="L195" s="131">
        <f>-(HLOOKUP(Noise_3dB_bands,Amenity_values_3dB_table,2,0))+Without_60_63_with_63_66_amenity_value</f>
        <v>-195.9598037108172</v>
      </c>
      <c r="M195" s="131">
        <f>-(HLOOKUP(Noise_3dB_bands,Amenity_values_3dB_table,2,0))+Without_60_63_with_66_69_amenity_value</f>
        <v>-327.29414130934941</v>
      </c>
      <c r="N195" s="131">
        <f>-(HLOOKUP(Noise_3dB_bands,Amenity_values_3dB_table,2,0))+Without_60_63_with_69_72_amenity_value</f>
        <v>-484.88206662799473</v>
      </c>
      <c r="O195" s="131">
        <f>-(HLOOKUP(Noise_3dB_bands,Amenity_values_3dB_table,2,0))+Without_60_63_with_72_75_amenity_value</f>
        <v>-669.97114306282833</v>
      </c>
      <c r="P195" s="131">
        <f>-(HLOOKUP(Noise_3dB_bands,Amenity_values_3dB_table,2,0))+Without_60_63_with_75_78_amenity_value</f>
        <v>-861.842878613518</v>
      </c>
      <c r="Q195" s="131">
        <f>-(HLOOKUP(Noise_3dB_bands,Amenity_values_3dB_table,2,0))+Without_60_63_with_78_81_amenity_value</f>
        <v>-1053.7146141642077</v>
      </c>
      <c r="R195" s="22" t="s">
        <v>379</v>
      </c>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row>
    <row r="196" spans="1:96" s="21" customFormat="1" ht="15" customHeight="1" outlineLevel="1">
      <c r="A196" s="23"/>
      <c r="B196" s="104" t="s">
        <v>87</v>
      </c>
      <c r="C196" s="132"/>
      <c r="D196" s="131">
        <f>-Without_45_with_63_66_amenity_value</f>
        <v>344.21158954786756</v>
      </c>
      <c r="E196" s="131">
        <f>-Without_45_48_with_63_66_amenity_value</f>
        <v>329.2359093855473</v>
      </c>
      <c r="F196" s="131">
        <f>-Without_48_51_with_63_66_amenity_value</f>
        <v>297.31344410916313</v>
      </c>
      <c r="G196" s="131">
        <f>-Without_51_54_with_63_66_amenity_value</f>
        <v>260.22820154232687</v>
      </c>
      <c r="H196" s="131">
        <f>-Without_54_57_with_63_66_amenity_value</f>
        <v>214.96720876651534</v>
      </c>
      <c r="I196" s="131">
        <f>-Without_57_60_with_63_66_amenity_value</f>
        <v>158.51749286320569</v>
      </c>
      <c r="J196" s="131">
        <f>-Without_60_63_with_63_66_amenity_value</f>
        <v>87.866080913874939</v>
      </c>
      <c r="K196" s="131">
        <v>0</v>
      </c>
      <c r="L196" s="131">
        <f>-(HLOOKUP(Noise_3dB_bands,Amenity_values_3dB_table,2,0))</f>
        <v>-108.09372279694225</v>
      </c>
      <c r="M196" s="131">
        <f>-(HLOOKUP(Noise_3dB_bands,Amenity_values_3dB_table,2,0))+Without_63_66_with_66_69_amenity_value</f>
        <v>-239.42806039547446</v>
      </c>
      <c r="N196" s="131">
        <f>-(HLOOKUP(Noise_3dB_bands,Amenity_values_3dB_table,2,0))+Without_63_66_with_69_72_amenity_value</f>
        <v>-397.01598571411978</v>
      </c>
      <c r="O196" s="131">
        <f>-(HLOOKUP(Noise_3dB_bands,Amenity_values_3dB_table,2,0))+Without_63_66_with_72_75_amenity_value</f>
        <v>-582.10506214895327</v>
      </c>
      <c r="P196" s="131">
        <f>-(HLOOKUP(Noise_3dB_bands,Amenity_values_3dB_table,2,0))+Without_63_66_with_75_78_amenity_value</f>
        <v>-773.97679769964293</v>
      </c>
      <c r="Q196" s="131">
        <f>-(HLOOKUP(Noise_3dB_bands,Amenity_values_3dB_table,2,0))+Without_63_66_with_78_81_amenity_value</f>
        <v>-965.84853325033259</v>
      </c>
      <c r="R196" s="22" t="s">
        <v>380</v>
      </c>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row>
    <row r="197" spans="1:96" ht="15" customHeight="1" outlineLevel="1">
      <c r="A197" s="97"/>
      <c r="B197" s="104" t="s">
        <v>88</v>
      </c>
      <c r="C197" s="132"/>
      <c r="D197" s="131">
        <f>-Without_45_with_66_69_amenity_value</f>
        <v>452.30531234480981</v>
      </c>
      <c r="E197" s="131">
        <f>-Without_45_48_with_66_69_amenity_value</f>
        <v>437.32963218248955</v>
      </c>
      <c r="F197" s="131">
        <f>-Without_48_51_with_66_69_amenity_value</f>
        <v>405.40716690610537</v>
      </c>
      <c r="G197" s="131">
        <f>-Without_51_54_with_66_69_amenity_value</f>
        <v>368.32192433926912</v>
      </c>
      <c r="H197" s="131">
        <f>-Without_54_57_with_66_69_amenity_value</f>
        <v>323.06093156345759</v>
      </c>
      <c r="I197" s="131">
        <f>-Without_57_60_with_66_69_amenity_value</f>
        <v>266.61121566014793</v>
      </c>
      <c r="J197" s="131">
        <f>-Without_60_63_with_66_69_amenity_value</f>
        <v>195.9598037108172</v>
      </c>
      <c r="K197" s="131">
        <f>-Without_63_66_with_66_69_amenity_value</f>
        <v>108.09372279694225</v>
      </c>
      <c r="L197" s="131">
        <v>0</v>
      </c>
      <c r="M197" s="131">
        <f>-(HLOOKUP(Noise_3dB_bands,Amenity_values_3dB_table,2,0))</f>
        <v>-131.33433759853222</v>
      </c>
      <c r="N197" s="131">
        <f>-(HLOOKUP(Noise_3dB_bands,Amenity_values_3dB_table,2,0))+Without_66_69_with_69_72_amenity_value</f>
        <v>-288.92226291717753</v>
      </c>
      <c r="O197" s="131">
        <f>-(HLOOKUP(Noise_3dB_bands,Amenity_values_3dB_table,2,0))+Without_66_69_with_72_75_amenity_value</f>
        <v>-474.01133935201108</v>
      </c>
      <c r="P197" s="131">
        <f>-(HLOOKUP(Noise_3dB_bands,Amenity_values_3dB_table,2,0))+Without_66_69_with_75_78_amenity_value</f>
        <v>-665.88307490270074</v>
      </c>
      <c r="Q197" s="131">
        <f>-(HLOOKUP(Noise_3dB_bands,Amenity_values_3dB_table,2,0))+Without_66_69_with_78_81_amenity_value</f>
        <v>-857.75481045339041</v>
      </c>
      <c r="R197" s="22" t="s">
        <v>381</v>
      </c>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row>
    <row r="198" spans="1:96" ht="15" customHeight="1" outlineLevel="1">
      <c r="A198" s="97"/>
      <c r="B198" s="104" t="s">
        <v>89</v>
      </c>
      <c r="C198" s="132"/>
      <c r="D198" s="131">
        <f>-Without_45_with_69_72_amenity_value</f>
        <v>583.63964994334196</v>
      </c>
      <c r="E198" s="131">
        <f>-Without_45_48_with_69_72_amenity_value</f>
        <v>568.66396978102171</v>
      </c>
      <c r="F198" s="131">
        <f>-Without_48_51_with_69_72_amenity_value</f>
        <v>536.74150450463753</v>
      </c>
      <c r="G198" s="131">
        <f>-Without_51_54_with_69_72_amenity_value</f>
        <v>499.65626193780133</v>
      </c>
      <c r="H198" s="131">
        <f>-Without_54_57_with_69_72_amenity_value</f>
        <v>454.3952691619898</v>
      </c>
      <c r="I198" s="131">
        <f>-Without_57_60_with_69_72_amenity_value</f>
        <v>397.94555325868015</v>
      </c>
      <c r="J198" s="131">
        <f>-Without_60_63_with_69_72_amenity_value</f>
        <v>327.29414130934941</v>
      </c>
      <c r="K198" s="131">
        <f>-Without_63_66_with_69_72_amenity_value</f>
        <v>239.42806039547446</v>
      </c>
      <c r="L198" s="131">
        <f>-Without_66_69_with_69_72_amenity_value</f>
        <v>131.33433759853222</v>
      </c>
      <c r="M198" s="131">
        <v>0</v>
      </c>
      <c r="N198" s="131">
        <f>-(HLOOKUP(Noise_3dB_bands,Amenity_values_3dB_table,2,0))</f>
        <v>-157.58792531864532</v>
      </c>
      <c r="O198" s="131">
        <f>-(HLOOKUP(Noise_3dB_bands,Amenity_values_3dB_table,2,0))+Without_69_72_with_72_75_amenity_value</f>
        <v>-342.67700175347886</v>
      </c>
      <c r="P198" s="131">
        <f>-(HLOOKUP(Noise_3dB_bands,Amenity_values_3dB_table,2,0))+Without_69_72_with_75_78_amenity_value</f>
        <v>-534.54873730416853</v>
      </c>
      <c r="Q198" s="131">
        <f>-(HLOOKUP(Noise_3dB_bands,Amenity_values_3dB_table,2,0))+Without_69_72_with_78_81_amenity_value</f>
        <v>-726.42047285485819</v>
      </c>
      <c r="R198" s="22" t="s">
        <v>382</v>
      </c>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row>
    <row r="199" spans="1:96" ht="15" customHeight="1" outlineLevel="1">
      <c r="A199" s="97"/>
      <c r="B199" s="104" t="s">
        <v>90</v>
      </c>
      <c r="C199" s="132"/>
      <c r="D199" s="131">
        <f>-Without_45_with_72_75_amenity_value</f>
        <v>741.22757526198734</v>
      </c>
      <c r="E199" s="131">
        <f>-Without_45_48_with_72_75_amenity_value</f>
        <v>726.25189509966708</v>
      </c>
      <c r="F199" s="131">
        <f>-Without_48_51_with_72_75_amenity_value</f>
        <v>694.32942982328291</v>
      </c>
      <c r="G199" s="131">
        <f>-Without_51_54_with_72_75_amenity_value</f>
        <v>657.24418725644659</v>
      </c>
      <c r="H199" s="131">
        <f>-Without_54_57_with_72_75_amenity_value</f>
        <v>611.98319448063512</v>
      </c>
      <c r="I199" s="131">
        <f>-Without_57_60_with_72_75_amenity_value</f>
        <v>555.53347857732547</v>
      </c>
      <c r="J199" s="131">
        <f>-Without_60_63_with_72_75_amenity_value</f>
        <v>484.88206662799473</v>
      </c>
      <c r="K199" s="131">
        <f>-Without_63_66_with_72_75_amenity_value</f>
        <v>397.01598571411978</v>
      </c>
      <c r="L199" s="131">
        <f>-Without_66_69_with_72_75_amenity_value</f>
        <v>288.92226291717753</v>
      </c>
      <c r="M199" s="131">
        <f>-Without_69_72_with_72_75_amenity_value</f>
        <v>157.58792531864532</v>
      </c>
      <c r="N199" s="131">
        <v>0</v>
      </c>
      <c r="O199" s="131">
        <f>-(HLOOKUP(Noise_3dB_bands,Amenity_values_3dB_table,2,0))</f>
        <v>-185.08907643483354</v>
      </c>
      <c r="P199" s="131">
        <f>-(HLOOKUP(Noise_3dB_bands,Amenity_values_3dB_table,2,0))+Without_72_75_with_75_78_amenity_value</f>
        <v>-376.96081198552321</v>
      </c>
      <c r="Q199" s="131">
        <f>-(HLOOKUP(Noise_3dB_bands,Amenity_values_3dB_table,2,0))+Without_72_75_with_78_81_amenity_value</f>
        <v>-568.83254753621281</v>
      </c>
      <c r="R199" s="22" t="s">
        <v>383</v>
      </c>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row>
    <row r="200" spans="1:96" ht="15" customHeight="1" outlineLevel="1">
      <c r="A200" s="97"/>
      <c r="B200" s="104" t="s">
        <v>91</v>
      </c>
      <c r="C200" s="132"/>
      <c r="D200" s="131">
        <f>-Without_45_with_75_78_amenity_value</f>
        <v>926.31665169682083</v>
      </c>
      <c r="E200" s="131">
        <f>-Without_45_48_with_75_78_amenity_value</f>
        <v>911.34097153450057</v>
      </c>
      <c r="F200" s="131">
        <f>-Without_48_51_with_75_78_amenity_value</f>
        <v>879.41850625811639</v>
      </c>
      <c r="G200" s="131">
        <f>-Without_51_54_with_75_78_amenity_value</f>
        <v>842.33326369128008</v>
      </c>
      <c r="H200" s="131">
        <f>-Without_54_57_with_75_78_amenity_value</f>
        <v>797.07227091546861</v>
      </c>
      <c r="I200" s="131">
        <f>-Without_57_60_with_75_78_amenity_value</f>
        <v>740.62255501215895</v>
      </c>
      <c r="J200" s="131">
        <f>-Without_60_63_with_75_78_amenity_value</f>
        <v>669.97114306282833</v>
      </c>
      <c r="K200" s="131">
        <f>-Without_63_66_with_75_78_amenity_value</f>
        <v>582.10506214895327</v>
      </c>
      <c r="L200" s="131">
        <f>-Without_66_69_with_75_78_amenity_value</f>
        <v>474.01133935201108</v>
      </c>
      <c r="M200" s="131">
        <f>-Without_69_72_with_75_78_amenity_value</f>
        <v>342.67700175347886</v>
      </c>
      <c r="N200" s="131">
        <f>-Without_72_75_with_75_78_amenity_value</f>
        <v>185.08907643483354</v>
      </c>
      <c r="O200" s="131">
        <v>0</v>
      </c>
      <c r="P200" s="131">
        <f>-(HLOOKUP(Noise_3dB_bands,Amenity_values_3dB_table,2,0))</f>
        <v>-191.87173555068966</v>
      </c>
      <c r="Q200" s="131">
        <f>-(HLOOKUP(Noise_3dB_bands,Amenity_values_3dB_table,2,0))+Without_75_78_with_78_81_amenity_value</f>
        <v>-383.74347110137933</v>
      </c>
      <c r="R200" s="22" t="s">
        <v>384</v>
      </c>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3"/>
    </row>
    <row r="201" spans="1:96" ht="15" customHeight="1" outlineLevel="1">
      <c r="A201" s="97"/>
      <c r="B201" s="104" t="s">
        <v>92</v>
      </c>
      <c r="C201" s="132"/>
      <c r="D201" s="131">
        <f>-Without_45_with_78_81_amenity_value</f>
        <v>1118.1883872475105</v>
      </c>
      <c r="E201" s="131">
        <f>-Without_45_48_with_78_81_amenity_value</f>
        <v>1103.2127070851902</v>
      </c>
      <c r="F201" s="131">
        <f>-Without_48_51_with_78_81_amenity_value</f>
        <v>1071.2902418088061</v>
      </c>
      <c r="G201" s="131">
        <f>-Without_51_54_with_78_81_amenity_value</f>
        <v>1034.2049992419697</v>
      </c>
      <c r="H201" s="131">
        <f>-Without_54_57_with_78_81_amenity_value</f>
        <v>988.94400646615827</v>
      </c>
      <c r="I201" s="131">
        <f>-Without_57_60_with_78_81_amenity_value</f>
        <v>932.49429056284862</v>
      </c>
      <c r="J201" s="131">
        <f>-Without_60_63_with_78_81_amenity_value</f>
        <v>861.842878613518</v>
      </c>
      <c r="K201" s="131">
        <f>-Without_63_66_with_78_81_amenity_value</f>
        <v>773.97679769964293</v>
      </c>
      <c r="L201" s="131">
        <f>-Without_66_69_with_78_81_amenity_value</f>
        <v>665.88307490270074</v>
      </c>
      <c r="M201" s="131">
        <f>-Without_69_72_with_78_81_amenity_value</f>
        <v>534.54873730416853</v>
      </c>
      <c r="N201" s="131">
        <f>-Without_72_75_with_78_81_amenity_value</f>
        <v>376.96081198552321</v>
      </c>
      <c r="O201" s="131">
        <f>-Without_75_78_with_78_81_amenity_value</f>
        <v>191.87173555068966</v>
      </c>
      <c r="P201" s="131">
        <v>0</v>
      </c>
      <c r="Q201" s="131">
        <f>-(HLOOKUP(Noise_3dB_bands,Amenity_values_3dB_table,2,0))</f>
        <v>-191.87173555068966</v>
      </c>
      <c r="R201" s="22" t="s">
        <v>385</v>
      </c>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3"/>
    </row>
    <row r="202" spans="1:96" ht="15" customHeight="1" outlineLevel="1">
      <c r="A202" s="97"/>
      <c r="B202" s="104" t="s">
        <v>93</v>
      </c>
      <c r="C202" s="133"/>
      <c r="D202" s="131">
        <f>-Without_45_with_81_amenity_value</f>
        <v>1310.0601227982002</v>
      </c>
      <c r="E202" s="131">
        <f>-Without_45_48_with_81_amenity_value</f>
        <v>1295.0844426358799</v>
      </c>
      <c r="F202" s="131">
        <f>-Without_48_51_with_81_amenity_value</f>
        <v>1263.1619773594957</v>
      </c>
      <c r="G202" s="131">
        <f>-Without_51_54_with_81_amenity_value</f>
        <v>1226.0767347926594</v>
      </c>
      <c r="H202" s="131">
        <f>-Without_54_57_with_81_amenity_value</f>
        <v>1180.8157420168479</v>
      </c>
      <c r="I202" s="131">
        <f>-Without_57_60_with_81_amenity_value</f>
        <v>1124.3660261135383</v>
      </c>
      <c r="J202" s="131">
        <f>-Without_60_63_with_81_amenity_value</f>
        <v>1053.7146141642077</v>
      </c>
      <c r="K202" s="131">
        <f>-Without_63_66_with_81_amenity_value</f>
        <v>965.84853325033259</v>
      </c>
      <c r="L202" s="131">
        <f>-Without_66_69_with_81_amenity_value</f>
        <v>857.75481045339041</v>
      </c>
      <c r="M202" s="131">
        <f>-Without_69_72_with_81_amenity_value</f>
        <v>726.42047285485819</v>
      </c>
      <c r="N202" s="131">
        <f>-Without_72_75_with_81_amenity_value</f>
        <v>568.83254753621281</v>
      </c>
      <c r="O202" s="131">
        <f>-Without_75_78_with_81_amenity_value</f>
        <v>383.74347110137933</v>
      </c>
      <c r="P202" s="131">
        <f>-Without_78_81_with_81_amenity_value</f>
        <v>191.87173555068966</v>
      </c>
      <c r="Q202" s="131">
        <v>0</v>
      </c>
      <c r="R202" s="22" t="s">
        <v>386</v>
      </c>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3"/>
    </row>
    <row r="203" spans="1:96" ht="15" customHeight="1" outlineLevel="1">
      <c r="A203" s="97"/>
      <c r="B203" s="122"/>
      <c r="C203" s="97"/>
      <c r="D203" s="113"/>
      <c r="E203" s="113"/>
      <c r="F203" s="113"/>
      <c r="G203" s="113"/>
      <c r="H203" s="113"/>
      <c r="I203" s="113"/>
      <c r="J203" s="113"/>
      <c r="K203" s="113"/>
      <c r="L203" s="113"/>
      <c r="M203" s="113"/>
      <c r="N203" s="113"/>
      <c r="O203" s="113"/>
      <c r="P203" s="113"/>
      <c r="Q203" s="113"/>
      <c r="R203" s="22"/>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3"/>
    </row>
    <row r="204" spans="1:96" s="8" customFormat="1" ht="15.6" outlineLevel="1">
      <c r="B204" s="9" t="s">
        <v>167</v>
      </c>
      <c r="C204" s="10"/>
      <c r="D204" s="11"/>
      <c r="E204" s="11"/>
    </row>
    <row r="205" spans="1:96" ht="15" customHeight="1" outlineLevel="1">
      <c r="A205" s="97"/>
      <c r="B205" s="97"/>
      <c r="C205" s="111"/>
      <c r="D205" s="3"/>
      <c r="E205" s="3"/>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row>
    <row r="206" spans="1:96" ht="15" hidden="1" customHeight="1" outlineLevel="2">
      <c r="A206" s="97"/>
      <c r="B206" s="126" t="s">
        <v>161</v>
      </c>
      <c r="C206" s="97"/>
      <c r="D206" s="13" t="s">
        <v>162</v>
      </c>
      <c r="E206" s="14">
        <v>45</v>
      </c>
      <c r="F206" s="15">
        <v>46</v>
      </c>
      <c r="G206" s="14">
        <v>47</v>
      </c>
      <c r="H206" s="15">
        <v>48</v>
      </c>
      <c r="I206" s="14">
        <v>49</v>
      </c>
      <c r="J206" s="15">
        <v>50</v>
      </c>
      <c r="K206" s="14">
        <v>51</v>
      </c>
      <c r="L206" s="15">
        <v>52</v>
      </c>
      <c r="M206" s="14">
        <v>53</v>
      </c>
      <c r="N206" s="15">
        <v>54</v>
      </c>
      <c r="O206" s="14">
        <v>55</v>
      </c>
      <c r="P206" s="15">
        <v>56</v>
      </c>
      <c r="Q206" s="14">
        <v>57</v>
      </c>
      <c r="R206" s="15">
        <v>58</v>
      </c>
      <c r="S206" s="14">
        <v>59</v>
      </c>
      <c r="T206" s="15">
        <v>60</v>
      </c>
      <c r="U206" s="14">
        <v>61</v>
      </c>
      <c r="V206" s="15">
        <v>62</v>
      </c>
      <c r="W206" s="14">
        <v>63</v>
      </c>
      <c r="X206" s="15">
        <v>64</v>
      </c>
      <c r="Y206" s="14">
        <v>65</v>
      </c>
      <c r="Z206" s="15">
        <v>66</v>
      </c>
      <c r="AA206" s="14">
        <v>67</v>
      </c>
      <c r="AB206" s="15">
        <v>68</v>
      </c>
      <c r="AC206" s="14">
        <v>69</v>
      </c>
      <c r="AD206" s="15">
        <v>70</v>
      </c>
      <c r="AE206" s="14">
        <v>71</v>
      </c>
      <c r="AF206" s="15">
        <v>72</v>
      </c>
      <c r="AG206" s="14">
        <v>73</v>
      </c>
      <c r="AH206" s="15">
        <v>74</v>
      </c>
      <c r="AI206" s="14">
        <v>75</v>
      </c>
      <c r="AJ206" s="15">
        <v>76</v>
      </c>
      <c r="AK206" s="14">
        <v>77</v>
      </c>
      <c r="AL206" s="15">
        <v>78</v>
      </c>
      <c r="AM206" s="14">
        <v>79</v>
      </c>
      <c r="AN206" s="15">
        <v>80</v>
      </c>
      <c r="AO206" s="14">
        <v>81</v>
      </c>
      <c r="AP206" s="15">
        <v>82</v>
      </c>
      <c r="AQ206" s="14">
        <v>83</v>
      </c>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row>
    <row r="207" spans="1:96" ht="15" hidden="1" customHeight="1" outlineLevel="2">
      <c r="A207" s="97"/>
      <c r="B207" s="126"/>
      <c r="C207" s="81" t="s">
        <v>308</v>
      </c>
      <c r="D207" s="13">
        <v>45</v>
      </c>
      <c r="E207" s="14">
        <v>46</v>
      </c>
      <c r="F207" s="13">
        <v>47</v>
      </c>
      <c r="G207" s="14">
        <v>48</v>
      </c>
      <c r="H207" s="13">
        <v>49</v>
      </c>
      <c r="I207" s="14">
        <v>50</v>
      </c>
      <c r="J207" s="13">
        <v>51</v>
      </c>
      <c r="K207" s="14">
        <v>52</v>
      </c>
      <c r="L207" s="13">
        <v>53</v>
      </c>
      <c r="M207" s="14">
        <v>54</v>
      </c>
      <c r="N207" s="13">
        <v>55</v>
      </c>
      <c r="O207" s="14">
        <v>56</v>
      </c>
      <c r="P207" s="13">
        <v>57</v>
      </c>
      <c r="Q207" s="14">
        <v>58</v>
      </c>
      <c r="R207" s="13">
        <v>59</v>
      </c>
      <c r="S207" s="14">
        <v>60</v>
      </c>
      <c r="T207" s="13">
        <v>61</v>
      </c>
      <c r="U207" s="14">
        <v>62</v>
      </c>
      <c r="V207" s="13">
        <v>63</v>
      </c>
      <c r="W207" s="14">
        <v>64</v>
      </c>
      <c r="X207" s="13">
        <v>65</v>
      </c>
      <c r="Y207" s="14">
        <v>66</v>
      </c>
      <c r="Z207" s="13">
        <v>67</v>
      </c>
      <c r="AA207" s="14">
        <v>68</v>
      </c>
      <c r="AB207" s="13">
        <v>69</v>
      </c>
      <c r="AC207" s="14">
        <v>70</v>
      </c>
      <c r="AD207" s="13">
        <v>71</v>
      </c>
      <c r="AE207" s="14">
        <v>72</v>
      </c>
      <c r="AF207" s="13">
        <v>73</v>
      </c>
      <c r="AG207" s="14">
        <v>74</v>
      </c>
      <c r="AH207" s="13">
        <v>75</v>
      </c>
      <c r="AI207" s="14">
        <v>76</v>
      </c>
      <c r="AJ207" s="13">
        <v>77</v>
      </c>
      <c r="AK207" s="14">
        <v>78</v>
      </c>
      <c r="AL207" s="13">
        <v>79</v>
      </c>
      <c r="AM207" s="14">
        <v>80</v>
      </c>
      <c r="AN207" s="13">
        <v>81</v>
      </c>
      <c r="AO207" s="14">
        <v>82</v>
      </c>
      <c r="AP207" s="13">
        <v>83</v>
      </c>
      <c r="AQ207" s="14">
        <v>84</v>
      </c>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row>
    <row r="208" spans="1:96" ht="15" hidden="1" customHeight="1" outlineLevel="2">
      <c r="A208" s="97"/>
      <c r="B208" s="97" t="s">
        <v>352</v>
      </c>
      <c r="C208" s="97">
        <f>Road_mask</f>
        <v>1</v>
      </c>
      <c r="D208" s="90">
        <f t="shared" ref="D208:AQ208" si="66">AMI_values_road_1dB_in</f>
        <v>0</v>
      </c>
      <c r="E208" s="90">
        <f t="shared" si="66"/>
        <v>0</v>
      </c>
      <c r="F208" s="90">
        <f t="shared" si="66"/>
        <v>0</v>
      </c>
      <c r="G208" s="90">
        <f t="shared" si="66"/>
        <v>0</v>
      </c>
      <c r="H208" s="90">
        <f t="shared" si="66"/>
        <v>0</v>
      </c>
      <c r="I208" s="90">
        <f t="shared" si="66"/>
        <v>0</v>
      </c>
      <c r="J208" s="90">
        <f t="shared" si="66"/>
        <v>0</v>
      </c>
      <c r="K208" s="90">
        <f t="shared" si="66"/>
        <v>0</v>
      </c>
      <c r="L208" s="90">
        <f t="shared" si="66"/>
        <v>0</v>
      </c>
      <c r="M208" s="90">
        <f t="shared" si="66"/>
        <v>0</v>
      </c>
      <c r="N208" s="90">
        <f t="shared" si="66"/>
        <v>0</v>
      </c>
      <c r="O208" s="90">
        <f t="shared" si="66"/>
        <v>0</v>
      </c>
      <c r="P208" s="90">
        <f t="shared" si="66"/>
        <v>1.3633799997762388</v>
      </c>
      <c r="Q208" s="90">
        <f t="shared" si="66"/>
        <v>2.6955674133126162</v>
      </c>
      <c r="R208" s="90">
        <f t="shared" si="66"/>
        <v>3.8168934223567632</v>
      </c>
      <c r="S208" s="90">
        <f t="shared" si="66"/>
        <v>4.9729580534882496</v>
      </c>
      <c r="T208" s="90">
        <f t="shared" si="66"/>
        <v>6.163761306707892</v>
      </c>
      <c r="U208" s="90">
        <f t="shared" si="66"/>
        <v>7.3893031820142623</v>
      </c>
      <c r="V208" s="90">
        <f t="shared" si="66"/>
        <v>8.6495836794089911</v>
      </c>
      <c r="W208" s="90">
        <f t="shared" si="66"/>
        <v>9.9446027988916743</v>
      </c>
      <c r="X208" s="90">
        <f t="shared" si="66"/>
        <v>11.274360540461284</v>
      </c>
      <c r="Y208" s="90">
        <f t="shared" si="66"/>
        <v>12.638856904118239</v>
      </c>
      <c r="Z208" s="90">
        <f t="shared" si="66"/>
        <v>14.038091889863759</v>
      </c>
      <c r="AA208" s="90">
        <f t="shared" si="66"/>
        <v>15.472065497697429</v>
      </c>
      <c r="AB208" s="90">
        <f t="shared" si="66"/>
        <v>16.940777727617217</v>
      </c>
      <c r="AC208" s="90">
        <f t="shared" si="66"/>
        <v>18.444228579625165</v>
      </c>
      <c r="AD208" s="90">
        <f t="shared" si="66"/>
        <v>19.982418053721265</v>
      </c>
      <c r="AE208" s="90">
        <f t="shared" si="66"/>
        <v>21.555346149905116</v>
      </c>
      <c r="AF208" s="90">
        <f t="shared" si="66"/>
        <v>23.163012868176299</v>
      </c>
      <c r="AG208" s="90">
        <f t="shared" si="66"/>
        <v>24.805418208534824</v>
      </c>
      <c r="AH208" s="90">
        <f t="shared" si="66"/>
        <v>26.482562170981105</v>
      </c>
      <c r="AI208" s="90">
        <f t="shared" si="66"/>
        <v>28.194444755515942</v>
      </c>
      <c r="AJ208" s="90">
        <f t="shared" si="66"/>
        <v>29.941065962137312</v>
      </c>
      <c r="AK208" s="90">
        <f t="shared" si="66"/>
        <v>31.722425790846827</v>
      </c>
      <c r="AL208" s="90">
        <f t="shared" si="66"/>
        <v>33.538524241644495</v>
      </c>
      <c r="AM208" s="90">
        <f t="shared" si="66"/>
        <v>33.538524241644495</v>
      </c>
      <c r="AN208" s="90">
        <f t="shared" si="66"/>
        <v>33.538524241644495</v>
      </c>
      <c r="AO208" s="90">
        <f t="shared" si="66"/>
        <v>33.538524241644495</v>
      </c>
      <c r="AP208" s="90">
        <f t="shared" si="66"/>
        <v>33.538524241644495</v>
      </c>
      <c r="AQ208" s="90">
        <f t="shared" si="66"/>
        <v>33.538524241644495</v>
      </c>
      <c r="AR208" s="3" t="s">
        <v>387</v>
      </c>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row>
    <row r="209" spans="1:95" ht="15" hidden="1" customHeight="1" outlineLevel="2">
      <c r="A209" s="97"/>
      <c r="B209" s="97" t="s">
        <v>354</v>
      </c>
      <c r="C209" s="111">
        <f>Rail_mask</f>
        <v>0</v>
      </c>
      <c r="D209" s="90">
        <f t="shared" ref="D209:AQ209" si="67">AMI_values_rail_1dB_in</f>
        <v>0</v>
      </c>
      <c r="E209" s="90">
        <f t="shared" si="67"/>
        <v>0</v>
      </c>
      <c r="F209" s="90">
        <f t="shared" si="67"/>
        <v>0</v>
      </c>
      <c r="G209" s="90">
        <f t="shared" si="67"/>
        <v>0</v>
      </c>
      <c r="H209" s="90">
        <f t="shared" si="67"/>
        <v>0</v>
      </c>
      <c r="I209" s="90">
        <f t="shared" si="67"/>
        <v>0</v>
      </c>
      <c r="J209" s="90">
        <f t="shared" si="67"/>
        <v>0</v>
      </c>
      <c r="K209" s="90">
        <f t="shared" si="67"/>
        <v>0</v>
      </c>
      <c r="L209" s="90">
        <f t="shared" si="67"/>
        <v>0</v>
      </c>
      <c r="M209" s="90">
        <f t="shared" si="67"/>
        <v>0</v>
      </c>
      <c r="N209" s="90">
        <f t="shared" si="67"/>
        <v>0</v>
      </c>
      <c r="O209" s="90">
        <f t="shared" si="67"/>
        <v>0</v>
      </c>
      <c r="P209" s="90">
        <f t="shared" si="67"/>
        <v>0</v>
      </c>
      <c r="Q209" s="90">
        <f t="shared" si="67"/>
        <v>0</v>
      </c>
      <c r="R209" s="90">
        <f t="shared" si="67"/>
        <v>1.3633799997762388</v>
      </c>
      <c r="S209" s="90">
        <f t="shared" si="67"/>
        <v>2.6955674133126162</v>
      </c>
      <c r="T209" s="90">
        <f t="shared" si="67"/>
        <v>3.8168934223567632</v>
      </c>
      <c r="U209" s="90">
        <f t="shared" si="67"/>
        <v>4.9729580534882496</v>
      </c>
      <c r="V209" s="90">
        <f t="shared" si="67"/>
        <v>6.163761306707892</v>
      </c>
      <c r="W209" s="90">
        <f t="shared" si="67"/>
        <v>7.3893031820142623</v>
      </c>
      <c r="X209" s="90">
        <f t="shared" si="67"/>
        <v>8.6495836794089911</v>
      </c>
      <c r="Y209" s="90">
        <f t="shared" si="67"/>
        <v>9.9446027988916743</v>
      </c>
      <c r="Z209" s="90">
        <f t="shared" si="67"/>
        <v>11.274360540461284</v>
      </c>
      <c r="AA209" s="90">
        <f t="shared" si="67"/>
        <v>12.638856904118239</v>
      </c>
      <c r="AB209" s="90">
        <f t="shared" si="67"/>
        <v>14.038091889863759</v>
      </c>
      <c r="AC209" s="90">
        <f t="shared" si="67"/>
        <v>15.472065497697429</v>
      </c>
      <c r="AD209" s="90">
        <f t="shared" si="67"/>
        <v>16.940777727617217</v>
      </c>
      <c r="AE209" s="90">
        <f t="shared" si="67"/>
        <v>18.444228579625165</v>
      </c>
      <c r="AF209" s="90">
        <f t="shared" si="67"/>
        <v>19.982418053721265</v>
      </c>
      <c r="AG209" s="90">
        <f t="shared" si="67"/>
        <v>21.555346149905116</v>
      </c>
      <c r="AH209" s="90">
        <f t="shared" si="67"/>
        <v>23.163012868176299</v>
      </c>
      <c r="AI209" s="90">
        <f t="shared" si="67"/>
        <v>24.805418208534824</v>
      </c>
      <c r="AJ209" s="90">
        <f t="shared" si="67"/>
        <v>26.482562170981105</v>
      </c>
      <c r="AK209" s="90">
        <f t="shared" si="67"/>
        <v>28.194444755515942</v>
      </c>
      <c r="AL209" s="90">
        <f t="shared" si="67"/>
        <v>29.941065962137312</v>
      </c>
      <c r="AM209" s="90">
        <f t="shared" si="67"/>
        <v>31.722425790846827</v>
      </c>
      <c r="AN209" s="90">
        <f t="shared" si="67"/>
        <v>33.538524241644495</v>
      </c>
      <c r="AO209" s="90">
        <f t="shared" si="67"/>
        <v>33.538524241644495</v>
      </c>
      <c r="AP209" s="90">
        <f t="shared" si="67"/>
        <v>33.538524241644495</v>
      </c>
      <c r="AQ209" s="90">
        <f t="shared" si="67"/>
        <v>33.538524241644495</v>
      </c>
      <c r="AR209" s="3" t="s">
        <v>388</v>
      </c>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row>
    <row r="210" spans="1:95" ht="15" hidden="1" customHeight="1" outlineLevel="2">
      <c r="A210" s="97"/>
      <c r="B210" s="97" t="s">
        <v>356</v>
      </c>
      <c r="C210" s="111">
        <f>Aviation_mask</f>
        <v>0</v>
      </c>
      <c r="D210" s="90">
        <f t="shared" ref="D210:AQ210" si="68">AMI_values_aviation_1dB_in</f>
        <v>0</v>
      </c>
      <c r="E210" s="90">
        <f t="shared" si="68"/>
        <v>0</v>
      </c>
      <c r="F210" s="90">
        <f t="shared" si="68"/>
        <v>0</v>
      </c>
      <c r="G210" s="90">
        <f t="shared" si="68"/>
        <v>0</v>
      </c>
      <c r="H210" s="90">
        <f t="shared" si="68"/>
        <v>0</v>
      </c>
      <c r="I210" s="90">
        <f t="shared" si="68"/>
        <v>0</v>
      </c>
      <c r="J210" s="90">
        <f t="shared" si="68"/>
        <v>0</v>
      </c>
      <c r="K210" s="90">
        <f t="shared" si="68"/>
        <v>0</v>
      </c>
      <c r="L210" s="90">
        <f t="shared" si="68"/>
        <v>0</v>
      </c>
      <c r="M210" s="90">
        <f t="shared" si="68"/>
        <v>0</v>
      </c>
      <c r="N210" s="90">
        <f t="shared" si="68"/>
        <v>0</v>
      </c>
      <c r="O210" s="90">
        <f t="shared" si="68"/>
        <v>0</v>
      </c>
      <c r="P210" s="90">
        <f t="shared" si="68"/>
        <v>0</v>
      </c>
      <c r="Q210" s="90">
        <f t="shared" si="68"/>
        <v>0</v>
      </c>
      <c r="R210" s="90">
        <f t="shared" si="68"/>
        <v>1.3633799997762388</v>
      </c>
      <c r="S210" s="90">
        <f t="shared" si="68"/>
        <v>2.6955674133126162</v>
      </c>
      <c r="T210" s="90">
        <f t="shared" si="68"/>
        <v>3.8168934223567632</v>
      </c>
      <c r="U210" s="90">
        <f t="shared" si="68"/>
        <v>4.9729580534882496</v>
      </c>
      <c r="V210" s="90">
        <f t="shared" si="68"/>
        <v>6.163761306707892</v>
      </c>
      <c r="W210" s="90">
        <f t="shared" si="68"/>
        <v>7.3893031820142623</v>
      </c>
      <c r="X210" s="90">
        <f t="shared" si="68"/>
        <v>8.6495836794089911</v>
      </c>
      <c r="Y210" s="90">
        <f t="shared" si="68"/>
        <v>9.9446027988916743</v>
      </c>
      <c r="Z210" s="90">
        <f t="shared" si="68"/>
        <v>11.274360540461284</v>
      </c>
      <c r="AA210" s="90">
        <f t="shared" si="68"/>
        <v>12.638856904118239</v>
      </c>
      <c r="AB210" s="90">
        <f t="shared" si="68"/>
        <v>14.038091889863759</v>
      </c>
      <c r="AC210" s="90">
        <f t="shared" si="68"/>
        <v>15.472065497697429</v>
      </c>
      <c r="AD210" s="90">
        <f t="shared" si="68"/>
        <v>16.940777727617217</v>
      </c>
      <c r="AE210" s="90">
        <f t="shared" si="68"/>
        <v>18.444228579625165</v>
      </c>
      <c r="AF210" s="90">
        <f t="shared" si="68"/>
        <v>19.982418053721265</v>
      </c>
      <c r="AG210" s="90">
        <f t="shared" si="68"/>
        <v>21.555346149905116</v>
      </c>
      <c r="AH210" s="90">
        <f t="shared" si="68"/>
        <v>23.163012868176299</v>
      </c>
      <c r="AI210" s="90">
        <f t="shared" si="68"/>
        <v>24.805418208534824</v>
      </c>
      <c r="AJ210" s="90">
        <f t="shared" si="68"/>
        <v>26.482562170981105</v>
      </c>
      <c r="AK210" s="90">
        <f t="shared" si="68"/>
        <v>28.194444755515942</v>
      </c>
      <c r="AL210" s="90">
        <f t="shared" si="68"/>
        <v>29.941065962137312</v>
      </c>
      <c r="AM210" s="90">
        <f t="shared" si="68"/>
        <v>31.722425790846827</v>
      </c>
      <c r="AN210" s="90">
        <f t="shared" si="68"/>
        <v>33.538524241644495</v>
      </c>
      <c r="AO210" s="90">
        <f t="shared" si="68"/>
        <v>33.538524241644495</v>
      </c>
      <c r="AP210" s="90">
        <f t="shared" si="68"/>
        <v>33.538524241644495</v>
      </c>
      <c r="AQ210" s="90">
        <f t="shared" si="68"/>
        <v>33.538524241644495</v>
      </c>
      <c r="AR210" s="3" t="s">
        <v>389</v>
      </c>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row>
    <row r="211" spans="1:95" ht="15" hidden="1" customHeight="1" outlineLevel="2">
      <c r="A211" s="97"/>
      <c r="B211" s="97"/>
      <c r="C211" s="111"/>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3"/>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row>
    <row r="212" spans="1:95" ht="15" hidden="1" customHeight="1" outlineLevel="2">
      <c r="A212" s="97"/>
      <c r="B212" s="126" t="s">
        <v>161</v>
      </c>
      <c r="C212" s="97"/>
      <c r="D212" s="13" t="s">
        <v>162</v>
      </c>
      <c r="E212" s="14">
        <v>45</v>
      </c>
      <c r="F212" s="15">
        <v>46</v>
      </c>
      <c r="G212" s="14">
        <v>47</v>
      </c>
      <c r="H212" s="15">
        <v>48</v>
      </c>
      <c r="I212" s="14">
        <v>49</v>
      </c>
      <c r="J212" s="15">
        <v>50</v>
      </c>
      <c r="K212" s="14">
        <v>51</v>
      </c>
      <c r="L212" s="15">
        <v>52</v>
      </c>
      <c r="M212" s="14">
        <v>53</v>
      </c>
      <c r="N212" s="15">
        <v>54</v>
      </c>
      <c r="O212" s="14">
        <v>55</v>
      </c>
      <c r="P212" s="15">
        <v>56</v>
      </c>
      <c r="Q212" s="14">
        <v>57</v>
      </c>
      <c r="R212" s="15">
        <v>58</v>
      </c>
      <c r="S212" s="14">
        <v>59</v>
      </c>
      <c r="T212" s="15">
        <v>60</v>
      </c>
      <c r="U212" s="14">
        <v>61</v>
      </c>
      <c r="V212" s="15">
        <v>62</v>
      </c>
      <c r="W212" s="14">
        <v>63</v>
      </c>
      <c r="X212" s="15">
        <v>64</v>
      </c>
      <c r="Y212" s="14">
        <v>65</v>
      </c>
      <c r="Z212" s="15">
        <v>66</v>
      </c>
      <c r="AA212" s="14">
        <v>67</v>
      </c>
      <c r="AB212" s="15">
        <v>68</v>
      </c>
      <c r="AC212" s="14">
        <v>69</v>
      </c>
      <c r="AD212" s="15">
        <v>70</v>
      </c>
      <c r="AE212" s="14">
        <v>71</v>
      </c>
      <c r="AF212" s="15">
        <v>72</v>
      </c>
      <c r="AG212" s="14">
        <v>73</v>
      </c>
      <c r="AH212" s="15">
        <v>74</v>
      </c>
      <c r="AI212" s="14">
        <v>75</v>
      </c>
      <c r="AJ212" s="15">
        <v>76</v>
      </c>
      <c r="AK212" s="14">
        <v>77</v>
      </c>
      <c r="AL212" s="15">
        <v>78</v>
      </c>
      <c r="AM212" s="14">
        <v>79</v>
      </c>
      <c r="AN212" s="15">
        <v>80</v>
      </c>
      <c r="AO212" s="14">
        <v>81</v>
      </c>
      <c r="AP212" s="15">
        <v>82</v>
      </c>
      <c r="AQ212" s="14">
        <v>83</v>
      </c>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row>
    <row r="213" spans="1:95" ht="15" hidden="1" customHeight="1" outlineLevel="2">
      <c r="A213" s="97"/>
      <c r="B213" s="126"/>
      <c r="C213" s="97"/>
      <c r="D213" s="13">
        <v>45</v>
      </c>
      <c r="E213" s="14">
        <v>46</v>
      </c>
      <c r="F213" s="13">
        <v>47</v>
      </c>
      <c r="G213" s="14">
        <v>48</v>
      </c>
      <c r="H213" s="13">
        <v>49</v>
      </c>
      <c r="I213" s="14">
        <v>50</v>
      </c>
      <c r="J213" s="13">
        <v>51</v>
      </c>
      <c r="K213" s="14">
        <v>52</v>
      </c>
      <c r="L213" s="13">
        <v>53</v>
      </c>
      <c r="M213" s="14">
        <v>54</v>
      </c>
      <c r="N213" s="13">
        <v>55</v>
      </c>
      <c r="O213" s="14">
        <v>56</v>
      </c>
      <c r="P213" s="13">
        <v>57</v>
      </c>
      <c r="Q213" s="14">
        <v>58</v>
      </c>
      <c r="R213" s="13">
        <v>59</v>
      </c>
      <c r="S213" s="14">
        <v>60</v>
      </c>
      <c r="T213" s="13">
        <v>61</v>
      </c>
      <c r="U213" s="14">
        <v>62</v>
      </c>
      <c r="V213" s="13">
        <v>63</v>
      </c>
      <c r="W213" s="14">
        <v>64</v>
      </c>
      <c r="X213" s="13">
        <v>65</v>
      </c>
      <c r="Y213" s="14">
        <v>66</v>
      </c>
      <c r="Z213" s="13">
        <v>67</v>
      </c>
      <c r="AA213" s="14">
        <v>68</v>
      </c>
      <c r="AB213" s="13">
        <v>69</v>
      </c>
      <c r="AC213" s="14">
        <v>70</v>
      </c>
      <c r="AD213" s="13">
        <v>71</v>
      </c>
      <c r="AE213" s="14">
        <v>72</v>
      </c>
      <c r="AF213" s="13">
        <v>73</v>
      </c>
      <c r="AG213" s="14">
        <v>74</v>
      </c>
      <c r="AH213" s="13">
        <v>75</v>
      </c>
      <c r="AI213" s="14">
        <v>76</v>
      </c>
      <c r="AJ213" s="13">
        <v>77</v>
      </c>
      <c r="AK213" s="14">
        <v>78</v>
      </c>
      <c r="AL213" s="13">
        <v>79</v>
      </c>
      <c r="AM213" s="14">
        <v>80</v>
      </c>
      <c r="AN213" s="13">
        <v>81</v>
      </c>
      <c r="AO213" s="14">
        <v>82</v>
      </c>
      <c r="AP213" s="13">
        <v>83</v>
      </c>
      <c r="AQ213" s="14">
        <v>84</v>
      </c>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row>
    <row r="214" spans="1:95" ht="15" hidden="1" customHeight="1" outlineLevel="2">
      <c r="A214" s="97"/>
      <c r="B214" s="97" t="s">
        <v>317</v>
      </c>
      <c r="C214" s="97"/>
      <c r="D214" s="90">
        <f t="shared" ref="D214:AQ214" si="69">AMI_values_road_1dB*Road_mask +AMI_values_rail_1dB*Rail_mask +AMI_values_aviation_1dB*Aviation_mask</f>
        <v>0</v>
      </c>
      <c r="E214" s="90">
        <f t="shared" si="69"/>
        <v>0</v>
      </c>
      <c r="F214" s="90">
        <f t="shared" si="69"/>
        <v>0</v>
      </c>
      <c r="G214" s="90">
        <f t="shared" si="69"/>
        <v>0</v>
      </c>
      <c r="H214" s="90">
        <f t="shared" si="69"/>
        <v>0</v>
      </c>
      <c r="I214" s="90">
        <f t="shared" si="69"/>
        <v>0</v>
      </c>
      <c r="J214" s="90">
        <f t="shared" si="69"/>
        <v>0</v>
      </c>
      <c r="K214" s="90">
        <f t="shared" si="69"/>
        <v>0</v>
      </c>
      <c r="L214" s="90">
        <f t="shared" si="69"/>
        <v>0</v>
      </c>
      <c r="M214" s="90">
        <f t="shared" si="69"/>
        <v>0</v>
      </c>
      <c r="N214" s="90">
        <f t="shared" si="69"/>
        <v>0</v>
      </c>
      <c r="O214" s="90">
        <f t="shared" si="69"/>
        <v>0</v>
      </c>
      <c r="P214" s="90">
        <f t="shared" si="69"/>
        <v>1.3633799997762388</v>
      </c>
      <c r="Q214" s="90">
        <f t="shared" si="69"/>
        <v>2.6955674133126162</v>
      </c>
      <c r="R214" s="90">
        <f t="shared" si="69"/>
        <v>3.8168934223567632</v>
      </c>
      <c r="S214" s="90">
        <f t="shared" si="69"/>
        <v>4.9729580534882496</v>
      </c>
      <c r="T214" s="90">
        <f t="shared" si="69"/>
        <v>6.163761306707892</v>
      </c>
      <c r="U214" s="90">
        <f t="shared" si="69"/>
        <v>7.3893031820142623</v>
      </c>
      <c r="V214" s="90">
        <f t="shared" si="69"/>
        <v>8.6495836794089911</v>
      </c>
      <c r="W214" s="90">
        <f t="shared" si="69"/>
        <v>9.9446027988916743</v>
      </c>
      <c r="X214" s="90">
        <f t="shared" si="69"/>
        <v>11.274360540461284</v>
      </c>
      <c r="Y214" s="90">
        <f t="shared" si="69"/>
        <v>12.638856904118239</v>
      </c>
      <c r="Z214" s="90">
        <f t="shared" si="69"/>
        <v>14.038091889863759</v>
      </c>
      <c r="AA214" s="90">
        <f t="shared" si="69"/>
        <v>15.472065497697429</v>
      </c>
      <c r="AB214" s="90">
        <f t="shared" si="69"/>
        <v>16.940777727617217</v>
      </c>
      <c r="AC214" s="90">
        <f t="shared" si="69"/>
        <v>18.444228579625165</v>
      </c>
      <c r="AD214" s="90">
        <f t="shared" si="69"/>
        <v>19.982418053721265</v>
      </c>
      <c r="AE214" s="90">
        <f t="shared" si="69"/>
        <v>21.555346149905116</v>
      </c>
      <c r="AF214" s="90">
        <f t="shared" si="69"/>
        <v>23.163012868176299</v>
      </c>
      <c r="AG214" s="90">
        <f t="shared" si="69"/>
        <v>24.805418208534824</v>
      </c>
      <c r="AH214" s="90">
        <f t="shared" si="69"/>
        <v>26.482562170981105</v>
      </c>
      <c r="AI214" s="90">
        <f t="shared" si="69"/>
        <v>28.194444755515942</v>
      </c>
      <c r="AJ214" s="90">
        <f t="shared" si="69"/>
        <v>29.941065962137312</v>
      </c>
      <c r="AK214" s="90">
        <f t="shared" si="69"/>
        <v>31.722425790846827</v>
      </c>
      <c r="AL214" s="90">
        <f t="shared" si="69"/>
        <v>33.538524241644495</v>
      </c>
      <c r="AM214" s="90">
        <f t="shared" si="69"/>
        <v>33.538524241644495</v>
      </c>
      <c r="AN214" s="90">
        <f t="shared" si="69"/>
        <v>33.538524241644495</v>
      </c>
      <c r="AO214" s="90">
        <f t="shared" si="69"/>
        <v>33.538524241644495</v>
      </c>
      <c r="AP214" s="90">
        <f t="shared" si="69"/>
        <v>33.538524241644495</v>
      </c>
      <c r="AQ214" s="90">
        <f t="shared" si="69"/>
        <v>33.538524241644495</v>
      </c>
      <c r="AR214" s="3" t="s">
        <v>390</v>
      </c>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row>
    <row r="215" spans="1:95" ht="15" hidden="1" customHeight="1" outlineLevel="2">
      <c r="A215" s="97"/>
      <c r="B215" s="97"/>
      <c r="C215" s="97"/>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3"/>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row>
    <row r="216" spans="1:95" ht="15" hidden="1" customHeight="1" outlineLevel="2">
      <c r="A216" s="97"/>
      <c r="C216" s="127" t="s">
        <v>319</v>
      </c>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3"/>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row>
    <row r="217" spans="1:95" ht="15" hidden="1" customHeight="1" outlineLevel="2">
      <c r="A217" s="97"/>
      <c r="B217" s="97" t="s">
        <v>320</v>
      </c>
      <c r="C217" s="127" t="s">
        <v>80</v>
      </c>
      <c r="D217" s="90">
        <v>1</v>
      </c>
      <c r="E217" s="90">
        <v>1</v>
      </c>
      <c r="F217" s="90">
        <v>0.5</v>
      </c>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3" t="s">
        <v>391</v>
      </c>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row>
    <row r="218" spans="1:95" ht="15" hidden="1" customHeight="1" outlineLevel="2">
      <c r="A218" s="97"/>
      <c r="B218" s="97" t="s">
        <v>322</v>
      </c>
      <c r="C218" s="127" t="s">
        <v>81</v>
      </c>
      <c r="D218" s="90"/>
      <c r="E218" s="90"/>
      <c r="F218" s="90">
        <v>0.5</v>
      </c>
      <c r="G218" s="90">
        <v>1</v>
      </c>
      <c r="H218" s="90">
        <v>1</v>
      </c>
      <c r="I218" s="90">
        <v>0.5</v>
      </c>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3" t="s">
        <v>392</v>
      </c>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row>
    <row r="219" spans="1:95" ht="15" hidden="1" customHeight="1" outlineLevel="2">
      <c r="A219" s="97"/>
      <c r="B219" s="97" t="s">
        <v>324</v>
      </c>
      <c r="C219" s="127" t="s">
        <v>82</v>
      </c>
      <c r="D219" s="90"/>
      <c r="E219" s="90"/>
      <c r="F219" s="90"/>
      <c r="G219" s="90"/>
      <c r="H219" s="90"/>
      <c r="I219" s="90">
        <v>0.5</v>
      </c>
      <c r="J219" s="90">
        <v>1</v>
      </c>
      <c r="K219" s="90">
        <v>1</v>
      </c>
      <c r="L219" s="90">
        <v>0.5</v>
      </c>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3" t="s">
        <v>393</v>
      </c>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row>
    <row r="220" spans="1:95" ht="15" hidden="1" customHeight="1" outlineLevel="2">
      <c r="A220" s="97"/>
      <c r="B220" s="97"/>
      <c r="C220" s="127" t="s">
        <v>83</v>
      </c>
      <c r="D220" s="90"/>
      <c r="E220" s="90"/>
      <c r="F220" s="90"/>
      <c r="G220" s="90"/>
      <c r="H220" s="90"/>
      <c r="I220" s="90"/>
      <c r="J220" s="90"/>
      <c r="K220" s="90"/>
      <c r="L220" s="90">
        <v>0.5</v>
      </c>
      <c r="M220" s="90">
        <v>1</v>
      </c>
      <c r="N220" s="90">
        <v>1</v>
      </c>
      <c r="O220" s="90">
        <v>0.5</v>
      </c>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3" t="s">
        <v>394</v>
      </c>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row>
    <row r="221" spans="1:95" ht="15" hidden="1" customHeight="1" outlineLevel="2">
      <c r="A221" s="97"/>
      <c r="B221" s="97"/>
      <c r="C221" s="127" t="s">
        <v>84</v>
      </c>
      <c r="D221" s="90"/>
      <c r="E221" s="90"/>
      <c r="F221" s="90"/>
      <c r="G221" s="90"/>
      <c r="H221" s="90"/>
      <c r="I221" s="90"/>
      <c r="J221" s="90"/>
      <c r="K221" s="90"/>
      <c r="L221" s="90"/>
      <c r="M221" s="90"/>
      <c r="N221" s="90"/>
      <c r="O221" s="90">
        <v>0.5</v>
      </c>
      <c r="P221" s="90">
        <v>1</v>
      </c>
      <c r="Q221" s="90">
        <v>1</v>
      </c>
      <c r="R221" s="90">
        <v>0.5</v>
      </c>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3" t="s">
        <v>395</v>
      </c>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row>
    <row r="222" spans="1:95" ht="15" hidden="1" customHeight="1" outlineLevel="2">
      <c r="A222" s="97"/>
      <c r="B222" s="97"/>
      <c r="C222" s="127" t="s">
        <v>85</v>
      </c>
      <c r="D222" s="90"/>
      <c r="E222" s="90"/>
      <c r="F222" s="90"/>
      <c r="G222" s="90"/>
      <c r="H222" s="90"/>
      <c r="I222" s="90"/>
      <c r="J222" s="90"/>
      <c r="K222" s="90"/>
      <c r="L222" s="90"/>
      <c r="M222" s="90"/>
      <c r="N222" s="90"/>
      <c r="O222" s="90"/>
      <c r="P222" s="90"/>
      <c r="Q222" s="90"/>
      <c r="R222" s="90">
        <v>0.5</v>
      </c>
      <c r="S222" s="90">
        <v>1</v>
      </c>
      <c r="T222" s="90">
        <v>1</v>
      </c>
      <c r="U222" s="90">
        <v>0.5</v>
      </c>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3" t="s">
        <v>396</v>
      </c>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row>
    <row r="223" spans="1:95" ht="15" hidden="1" customHeight="1" outlineLevel="2">
      <c r="A223" s="97"/>
      <c r="B223" s="97"/>
      <c r="C223" s="127" t="s">
        <v>86</v>
      </c>
      <c r="D223" s="90"/>
      <c r="E223" s="90"/>
      <c r="F223" s="90"/>
      <c r="G223" s="90"/>
      <c r="H223" s="90"/>
      <c r="I223" s="90"/>
      <c r="J223" s="90"/>
      <c r="K223" s="90"/>
      <c r="L223" s="90"/>
      <c r="M223" s="90"/>
      <c r="N223" s="90"/>
      <c r="O223" s="90"/>
      <c r="P223" s="90"/>
      <c r="Q223" s="90"/>
      <c r="R223" s="90"/>
      <c r="S223" s="90"/>
      <c r="T223" s="90"/>
      <c r="U223" s="90">
        <v>0.5</v>
      </c>
      <c r="V223" s="90">
        <v>1</v>
      </c>
      <c r="W223" s="90">
        <v>1</v>
      </c>
      <c r="X223" s="90">
        <v>0.5</v>
      </c>
      <c r="Y223" s="90"/>
      <c r="Z223" s="90"/>
      <c r="AA223" s="90"/>
      <c r="AB223" s="90"/>
      <c r="AC223" s="90"/>
      <c r="AD223" s="90"/>
      <c r="AE223" s="90"/>
      <c r="AF223" s="90"/>
      <c r="AG223" s="90"/>
      <c r="AH223" s="90"/>
      <c r="AI223" s="90"/>
      <c r="AJ223" s="90"/>
      <c r="AK223" s="90"/>
      <c r="AL223" s="90"/>
      <c r="AM223" s="90"/>
      <c r="AN223" s="90"/>
      <c r="AO223" s="90"/>
      <c r="AP223" s="90"/>
      <c r="AQ223" s="90"/>
      <c r="AR223" s="3" t="s">
        <v>397</v>
      </c>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row>
    <row r="224" spans="1:95" ht="15" hidden="1" customHeight="1" outlineLevel="2">
      <c r="A224" s="97"/>
      <c r="B224" s="97"/>
      <c r="C224" s="127" t="s">
        <v>87</v>
      </c>
      <c r="D224" s="90"/>
      <c r="E224" s="90"/>
      <c r="F224" s="90"/>
      <c r="G224" s="90"/>
      <c r="H224" s="90"/>
      <c r="I224" s="90"/>
      <c r="J224" s="90"/>
      <c r="K224" s="90"/>
      <c r="L224" s="90"/>
      <c r="M224" s="90"/>
      <c r="N224" s="90"/>
      <c r="O224" s="90"/>
      <c r="P224" s="90"/>
      <c r="Q224" s="90"/>
      <c r="R224" s="90"/>
      <c r="S224" s="90"/>
      <c r="T224" s="90"/>
      <c r="U224" s="90"/>
      <c r="V224" s="90"/>
      <c r="W224" s="90"/>
      <c r="X224" s="90">
        <v>0.5</v>
      </c>
      <c r="Y224" s="90">
        <v>1</v>
      </c>
      <c r="Z224" s="90">
        <v>1</v>
      </c>
      <c r="AA224" s="90">
        <v>0.5</v>
      </c>
      <c r="AB224" s="90"/>
      <c r="AC224" s="90"/>
      <c r="AD224" s="90"/>
      <c r="AE224" s="90"/>
      <c r="AF224" s="90"/>
      <c r="AG224" s="90"/>
      <c r="AH224" s="90"/>
      <c r="AI224" s="90"/>
      <c r="AJ224" s="90"/>
      <c r="AK224" s="90"/>
      <c r="AL224" s="90"/>
      <c r="AM224" s="90"/>
      <c r="AN224" s="90"/>
      <c r="AO224" s="90"/>
      <c r="AP224" s="90"/>
      <c r="AQ224" s="90"/>
      <c r="AR224" s="3" t="s">
        <v>398</v>
      </c>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row>
    <row r="225" spans="1:95" ht="15" hidden="1" customHeight="1" outlineLevel="2">
      <c r="A225" s="97"/>
      <c r="B225" s="97"/>
      <c r="C225" s="127" t="s">
        <v>88</v>
      </c>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v>0.5</v>
      </c>
      <c r="AB225" s="90">
        <v>1</v>
      </c>
      <c r="AC225" s="90">
        <v>1</v>
      </c>
      <c r="AD225" s="90">
        <v>0.5</v>
      </c>
      <c r="AE225" s="90"/>
      <c r="AF225" s="90"/>
      <c r="AG225" s="90"/>
      <c r="AH225" s="90"/>
      <c r="AI225" s="90"/>
      <c r="AJ225" s="90"/>
      <c r="AK225" s="90"/>
      <c r="AL225" s="90"/>
      <c r="AM225" s="90"/>
      <c r="AN225" s="90"/>
      <c r="AO225" s="90"/>
      <c r="AP225" s="90"/>
      <c r="AQ225" s="90"/>
      <c r="AR225" s="3" t="s">
        <v>399</v>
      </c>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row>
    <row r="226" spans="1:95" ht="15" hidden="1" customHeight="1" outlineLevel="2">
      <c r="A226" s="97"/>
      <c r="B226" s="97"/>
      <c r="C226" s="127" t="s">
        <v>89</v>
      </c>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v>0.5</v>
      </c>
      <c r="AE226" s="90">
        <v>1</v>
      </c>
      <c r="AF226" s="90">
        <v>1</v>
      </c>
      <c r="AG226" s="90">
        <v>0.5</v>
      </c>
      <c r="AH226" s="90"/>
      <c r="AI226" s="90"/>
      <c r="AJ226" s="90"/>
      <c r="AK226" s="90"/>
      <c r="AL226" s="90"/>
      <c r="AM226" s="90"/>
      <c r="AN226" s="90"/>
      <c r="AO226" s="90"/>
      <c r="AP226" s="90"/>
      <c r="AQ226" s="90"/>
      <c r="AR226" s="3" t="s">
        <v>400</v>
      </c>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row>
    <row r="227" spans="1:95" ht="15" hidden="1" customHeight="1" outlineLevel="2">
      <c r="A227" s="97"/>
      <c r="B227" s="97"/>
      <c r="C227" s="127" t="s">
        <v>90</v>
      </c>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v>0.5</v>
      </c>
      <c r="AH227" s="90">
        <v>1</v>
      </c>
      <c r="AI227" s="90">
        <v>1</v>
      </c>
      <c r="AJ227" s="90">
        <v>0.5</v>
      </c>
      <c r="AK227" s="90"/>
      <c r="AL227" s="90"/>
      <c r="AM227" s="90"/>
      <c r="AN227" s="90"/>
      <c r="AO227" s="90"/>
      <c r="AP227" s="90"/>
      <c r="AQ227" s="90"/>
      <c r="AR227" s="3" t="s">
        <v>401</v>
      </c>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row>
    <row r="228" spans="1:95" ht="15" hidden="1" customHeight="1" outlineLevel="2">
      <c r="A228" s="97"/>
      <c r="B228" s="97"/>
      <c r="C228" s="127" t="s">
        <v>91</v>
      </c>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v>0.5</v>
      </c>
      <c r="AK228" s="90">
        <v>1</v>
      </c>
      <c r="AL228" s="90">
        <v>1</v>
      </c>
      <c r="AM228" s="90">
        <v>0.5</v>
      </c>
      <c r="AN228" s="90"/>
      <c r="AO228" s="90"/>
      <c r="AP228" s="90"/>
      <c r="AQ228" s="90"/>
      <c r="AR228" s="3" t="s">
        <v>402</v>
      </c>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row>
    <row r="229" spans="1:95" ht="15" hidden="1" customHeight="1" outlineLevel="2">
      <c r="A229" s="97"/>
      <c r="B229" s="97"/>
      <c r="C229" s="127" t="s">
        <v>92</v>
      </c>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v>0.5</v>
      </c>
      <c r="AN229" s="90">
        <v>1</v>
      </c>
      <c r="AO229" s="90">
        <v>1</v>
      </c>
      <c r="AP229" s="90">
        <v>0.5</v>
      </c>
      <c r="AQ229" s="90"/>
      <c r="AR229" s="3" t="s">
        <v>403</v>
      </c>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row>
    <row r="230" spans="1:95" ht="15" hidden="1" customHeight="1" outlineLevel="2">
      <c r="A230" s="97"/>
      <c r="B230" s="17"/>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row>
    <row r="231" spans="1:95" ht="15" customHeight="1" outlineLevel="1" collapsed="1">
      <c r="A231" s="97"/>
      <c r="B231" s="126" t="s">
        <v>161</v>
      </c>
      <c r="C231" s="97"/>
      <c r="D231" s="19" t="s">
        <v>80</v>
      </c>
      <c r="E231" s="20" t="s">
        <v>81</v>
      </c>
      <c r="F231" s="20" t="s">
        <v>82</v>
      </c>
      <c r="G231" s="20" t="s">
        <v>83</v>
      </c>
      <c r="H231" s="20" t="s">
        <v>84</v>
      </c>
      <c r="I231" s="20" t="s">
        <v>85</v>
      </c>
      <c r="J231" s="20" t="s">
        <v>86</v>
      </c>
      <c r="K231" s="20" t="s">
        <v>87</v>
      </c>
      <c r="L231" s="20" t="s">
        <v>88</v>
      </c>
      <c r="M231" s="20" t="s">
        <v>89</v>
      </c>
      <c r="N231" s="20" t="s">
        <v>90</v>
      </c>
      <c r="O231" s="20" t="s">
        <v>91</v>
      </c>
      <c r="P231" s="20" t="s">
        <v>92</v>
      </c>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row>
    <row r="232" spans="1:95" ht="15" customHeight="1" outlineLevel="1">
      <c r="A232" s="97"/>
      <c r="B232" s="126"/>
      <c r="C232" s="97"/>
      <c r="D232" s="19" t="s">
        <v>81</v>
      </c>
      <c r="E232" s="20" t="s">
        <v>82</v>
      </c>
      <c r="F232" s="20" t="s">
        <v>83</v>
      </c>
      <c r="G232" s="20" t="s">
        <v>84</v>
      </c>
      <c r="H232" s="20" t="s">
        <v>85</v>
      </c>
      <c r="I232" s="20" t="s">
        <v>86</v>
      </c>
      <c r="J232" s="20" t="s">
        <v>87</v>
      </c>
      <c r="K232" s="20" t="s">
        <v>88</v>
      </c>
      <c r="L232" s="20" t="s">
        <v>89</v>
      </c>
      <c r="M232" s="20" t="s">
        <v>90</v>
      </c>
      <c r="N232" s="20" t="s">
        <v>91</v>
      </c>
      <c r="O232" s="20" t="s">
        <v>92</v>
      </c>
      <c r="P232" s="20" t="s">
        <v>93</v>
      </c>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row>
    <row r="233" spans="1:95" ht="15" customHeight="1" outlineLevel="1">
      <c r="A233" s="97"/>
      <c r="B233" s="97" t="s">
        <v>317</v>
      </c>
      <c r="C233" s="97"/>
      <c r="D233" s="90">
        <f>SUMPRODUCT(AMI_values_1dB_table,AMI_1_to_3_dB_band_45)</f>
        <v>0</v>
      </c>
      <c r="E233" s="90">
        <f>SUMPRODUCT(AMI_values_1dB_table,AMI_1_to_3_dB_band_45_48)</f>
        <v>0</v>
      </c>
      <c r="F233" s="90">
        <f>SUMPRODUCT(AMI_values_1dB_table,AMI_1_to_3_dB_band_48_51)</f>
        <v>0</v>
      </c>
      <c r="G233" s="90">
        <f>SUMPRODUCT(AMI_values_1dB_table,AMI_1_to_3_dB_band_51_54)</f>
        <v>0</v>
      </c>
      <c r="H233" s="90">
        <f>SUMPRODUCT(AMI_values_1dB_table,AMI_1_to_3_dB_band_54_57)</f>
        <v>5.967394124267237</v>
      </c>
      <c r="I233" s="90">
        <f>SUMPRODUCT(AMI_values_1dB_table,AMI_1_to_3_dB_band_57_60)</f>
        <v>16.739817662381654</v>
      </c>
      <c r="J233" s="90">
        <f>SUMPRODUCT(AMI_values_1dB_table,AMI_1_to_3_dB_band_60_63)</f>
        <v>27.926018339538437</v>
      </c>
      <c r="K233" s="90">
        <f>SUMPRODUCT(AMI_values_1dB_table,AMI_1_to_3_dB_band_63_66)</f>
        <v>40.050161813061351</v>
      </c>
      <c r="L233" s="90">
        <f>SUMPRODUCT(AMI_values_1dB_table,AMI_1_to_3_dB_band_66_69)</f>
        <v>53.112248082951723</v>
      </c>
      <c r="M233" s="90">
        <f>SUMPRODUCT(AMI_values_1dB_table,AMI_1_to_3_dB_band_69_72)</f>
        <v>67.112277149209461</v>
      </c>
      <c r="N233" s="90">
        <f>SUMPRODUCT(AMI_values_1dB_table,AMI_1_to_3_dB_band_72_75)</f>
        <v>82.050249011833117</v>
      </c>
      <c r="O233" s="90">
        <f>SUMPRODUCT(AMI_values_1dB_table,AMI_1_to_3_dB_band_75_78)</f>
        <v>97.000745134382228</v>
      </c>
      <c r="P233" s="90">
        <f>SUMPRODUCT(AMI_values_1dB_table,AMI_1_to_3_dB_band_78_81)</f>
        <v>100.61557272493349</v>
      </c>
      <c r="Q233" s="16" t="s">
        <v>404</v>
      </c>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row>
    <row r="234" spans="1:95" ht="15" customHeight="1" outlineLevel="1">
      <c r="A234" s="97"/>
      <c r="B234" s="18"/>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row>
    <row r="235" spans="1:95" s="21" customFormat="1" ht="15" customHeight="1" outlineLevel="1">
      <c r="A235" s="23"/>
      <c r="B235" s="122"/>
      <c r="C235" s="60" t="s">
        <v>79</v>
      </c>
      <c r="D235" s="61" t="s">
        <v>80</v>
      </c>
      <c r="E235" s="104" t="s">
        <v>81</v>
      </c>
      <c r="F235" s="104" t="s">
        <v>82</v>
      </c>
      <c r="G235" s="104" t="s">
        <v>83</v>
      </c>
      <c r="H235" s="104" t="s">
        <v>84</v>
      </c>
      <c r="I235" s="104" t="s">
        <v>85</v>
      </c>
      <c r="J235" s="104" t="s">
        <v>86</v>
      </c>
      <c r="K235" s="104" t="s">
        <v>87</v>
      </c>
      <c r="L235" s="104" t="s">
        <v>88</v>
      </c>
      <c r="M235" s="104" t="s">
        <v>89</v>
      </c>
      <c r="N235" s="104" t="s">
        <v>90</v>
      </c>
      <c r="O235" s="104" t="s">
        <v>91</v>
      </c>
      <c r="P235" s="104" t="s">
        <v>92</v>
      </c>
      <c r="Q235" s="104" t="s">
        <v>93</v>
      </c>
      <c r="R235" s="22" t="s">
        <v>337</v>
      </c>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row>
    <row r="236" spans="1:95" s="21" customFormat="1" ht="15" customHeight="1" outlineLevel="1">
      <c r="A236" s="23"/>
      <c r="B236" s="60" t="s">
        <v>94</v>
      </c>
      <c r="C236" s="129"/>
      <c r="D236" s="129"/>
      <c r="E236" s="129"/>
      <c r="F236" s="129"/>
      <c r="G236" s="129"/>
      <c r="H236" s="129"/>
      <c r="I236" s="129"/>
      <c r="J236" s="129"/>
      <c r="K236" s="129"/>
      <c r="L236" s="129"/>
      <c r="M236" s="129"/>
      <c r="N236" s="129"/>
      <c r="O236" s="129"/>
      <c r="P236" s="129"/>
      <c r="Q236" s="130"/>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row>
    <row r="237" spans="1:95" s="21" customFormat="1" ht="15" customHeight="1" outlineLevel="1">
      <c r="A237" s="23"/>
      <c r="B237" s="61" t="s">
        <v>80</v>
      </c>
      <c r="C237" s="105"/>
      <c r="D237" s="131">
        <v>0</v>
      </c>
      <c r="E237" s="131">
        <f>-(HLOOKUP(Noise_3dB_bands,AMI_values_3dB_table,2,0))</f>
        <v>0</v>
      </c>
      <c r="F237" s="131">
        <f>-(HLOOKUP(Noise_3dB_bands,AMI_values_3dB_table,2,0)) + Without_45_with_45_48_AMI_value</f>
        <v>0</v>
      </c>
      <c r="G237" s="131">
        <f>-(HLOOKUP(Noise_3dB_bands,AMI_values_3dB_table,2,0)) +Without_45_with_48_51_AMI_value</f>
        <v>0</v>
      </c>
      <c r="H237" s="131">
        <f>-(HLOOKUP(Noise_3dB_bands,AMI_values_3dB_table,2,0)) +Without_45_with_51_54_AMI_value</f>
        <v>0</v>
      </c>
      <c r="I237" s="131">
        <f>-(HLOOKUP(Noise_3dB_bands,AMI_values_3dB_table,2,0)) +Without_45_with_54_57_AMI_value</f>
        <v>-5.967394124267237</v>
      </c>
      <c r="J237" s="131">
        <f>-(HLOOKUP(Noise_3dB_bands,AMI_values_3dB_table,2,0)) + Without_45_with_57_60_AMI_value</f>
        <v>-22.707211786648891</v>
      </c>
      <c r="K237" s="131">
        <f>-(HLOOKUP(Noise_3dB_bands,AMI_values_3dB_table,2,0)) +Without_45_with_60_63_AMI_value</f>
        <v>-50.633230126187328</v>
      </c>
      <c r="L237" s="131">
        <f>-(HLOOKUP(Noise_3dB_bands,AMI_values_3dB_table,2,0)) +Without_45_with_63_66_AMI_value</f>
        <v>-90.683391939248679</v>
      </c>
      <c r="M237" s="131">
        <f>-(HLOOKUP(Noise_3dB_bands,AMI_values_3dB_table,2,0)) +Without_45_with_66_69_AMI_value</f>
        <v>-143.79564002220042</v>
      </c>
      <c r="N237" s="131">
        <f>-(HLOOKUP(Noise_3dB_bands,AMI_values_3dB_table,2,0)) +Without_45_with_69_72_AMI_value</f>
        <v>-210.90791717140988</v>
      </c>
      <c r="O237" s="131">
        <f>-(HLOOKUP(Noise_3dB_bands,AMI_values_3dB_table,2,0)) +Without_45_with_72_75_AMI_value</f>
        <v>-292.95816618324301</v>
      </c>
      <c r="P237" s="131">
        <f>-(HLOOKUP(Noise_3dB_bands,AMI_values_3dB_table,2,0)) +Without_45_with_75_78_AMI_value</f>
        <v>-389.95891131762522</v>
      </c>
      <c r="Q237" s="131">
        <f>-(HLOOKUP(Noise_3dB_bands,AMI_values_3dB_table,2,0)) +Without_45_with_78_81_AMI_value</f>
        <v>-490.57448404255871</v>
      </c>
      <c r="R237" s="22" t="s">
        <v>405</v>
      </c>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row>
    <row r="238" spans="1:95" s="21" customFormat="1" ht="15" customHeight="1" outlineLevel="1">
      <c r="A238" s="23"/>
      <c r="B238" s="104" t="s">
        <v>81</v>
      </c>
      <c r="C238" s="132"/>
      <c r="D238" s="131">
        <f>-Without_45_with_45_48_AMI_value</f>
        <v>0</v>
      </c>
      <c r="E238" s="131">
        <v>0</v>
      </c>
      <c r="F238" s="131">
        <f>-(HLOOKUP(Noise_3dB_bands,AMI_values_3dB_table,2,0))</f>
        <v>0</v>
      </c>
      <c r="G238" s="131">
        <f>-(HLOOKUP(Noise_3dB_bands,AMI_values_3dB_table,2,0))+Without_45_48_with_48_51_AMI_value</f>
        <v>0</v>
      </c>
      <c r="H238" s="131">
        <f>-(HLOOKUP(Noise_3dB_bands,AMI_values_3dB_table,2,0))+Without_45_48_with_51_54_AMI_value</f>
        <v>0</v>
      </c>
      <c r="I238" s="131">
        <f>-(HLOOKUP(Noise_3dB_bands,AMI_values_3dB_table,2,0))+Without_45_48_with_54_57_AMI_value</f>
        <v>-5.967394124267237</v>
      </c>
      <c r="J238" s="131">
        <f>-(HLOOKUP(Noise_3dB_bands,AMI_values_3dB_table,2,0))+Without_45_48_with_57_60_AMI_value</f>
        <v>-22.707211786648891</v>
      </c>
      <c r="K238" s="131">
        <f>-(HLOOKUP(Noise_3dB_bands,AMI_values_3dB_table,2,0))+Without_45_48_with_60_63_AMI_value</f>
        <v>-50.633230126187328</v>
      </c>
      <c r="L238" s="131">
        <f>-(HLOOKUP(Noise_3dB_bands,AMI_values_3dB_table,2,0))+Without_45_48_with_63_66_AMI_value</f>
        <v>-90.683391939248679</v>
      </c>
      <c r="M238" s="131">
        <f>-(HLOOKUP(Noise_3dB_bands,AMI_values_3dB_table,2,0))+Without_45_48_with_66_69_AMI_value</f>
        <v>-143.79564002220042</v>
      </c>
      <c r="N238" s="131">
        <f>-(HLOOKUP(Noise_3dB_bands,AMI_values_3dB_table,2,0))+Without_45_48_with_69_72_AMI_value</f>
        <v>-210.90791717140988</v>
      </c>
      <c r="O238" s="131">
        <f>-(HLOOKUP(Noise_3dB_bands,AMI_values_3dB_table,2,0))+Without_45_48_with_72_75_AMI_value</f>
        <v>-292.95816618324301</v>
      </c>
      <c r="P238" s="131">
        <f>-(HLOOKUP(Noise_3dB_bands,AMI_values_3dB_table,2,0))+Without_45_48_with_75_78_AMI_value</f>
        <v>-389.95891131762522</v>
      </c>
      <c r="Q238" s="131">
        <f>-(HLOOKUP(Noise_3dB_bands,AMI_values_3dB_table,2,0))+Without_45_48_with_78_81_AMI_value</f>
        <v>-490.57448404255871</v>
      </c>
      <c r="R238" s="22" t="s">
        <v>406</v>
      </c>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row>
    <row r="239" spans="1:95" s="21" customFormat="1" ht="15" customHeight="1" outlineLevel="1">
      <c r="A239" s="23"/>
      <c r="B239" s="104" t="s">
        <v>82</v>
      </c>
      <c r="C239" s="132"/>
      <c r="D239" s="131">
        <f>-Without_45_with_48_51_AMI_value</f>
        <v>0</v>
      </c>
      <c r="E239" s="131">
        <f>-Without_45_48_with_48_51_AMI_value</f>
        <v>0</v>
      </c>
      <c r="F239" s="131">
        <v>0</v>
      </c>
      <c r="G239" s="131">
        <f>-(HLOOKUP(Noise_3dB_bands,AMI_values_3dB_table,2,0))</f>
        <v>0</v>
      </c>
      <c r="H239" s="131">
        <f>-(HLOOKUP(Noise_3dB_bands,AMI_values_3dB_table,2,0))+Without_48_51_with_51_54_AMI_value</f>
        <v>0</v>
      </c>
      <c r="I239" s="131">
        <f>-(HLOOKUP(Noise_3dB_bands,AMI_values_3dB_table,2,0))+Without_48_51_with_54_57_AMI_value</f>
        <v>-5.967394124267237</v>
      </c>
      <c r="J239" s="131">
        <f>-(HLOOKUP(Noise_3dB_bands,AMI_values_3dB_table,2,0))+Without_48_51_with_57_60_AMI_value</f>
        <v>-22.707211786648891</v>
      </c>
      <c r="K239" s="131">
        <f>-(HLOOKUP(Noise_3dB_bands,AMI_values_3dB_table,2,0))+Without_48_51_with_60_63_AMI_value</f>
        <v>-50.633230126187328</v>
      </c>
      <c r="L239" s="131">
        <f>-(HLOOKUP(Noise_3dB_bands,AMI_values_3dB_table,2,0))+Without_48_51_with_63_66_AMI_value</f>
        <v>-90.683391939248679</v>
      </c>
      <c r="M239" s="131">
        <f>-(HLOOKUP(Noise_3dB_bands,AMI_values_3dB_table,2,0))+Without_48_51_with_66_69_AMI_value</f>
        <v>-143.79564002220042</v>
      </c>
      <c r="N239" s="131">
        <f>-(HLOOKUP(Noise_3dB_bands,AMI_values_3dB_table,2,0))+Without_48_51_with_69_72_AMI_value</f>
        <v>-210.90791717140988</v>
      </c>
      <c r="O239" s="131">
        <f>-(HLOOKUP(Noise_3dB_bands,AMI_values_3dB_table,2,0))+Without_48_51_with_72_75_AMI_value</f>
        <v>-292.95816618324301</v>
      </c>
      <c r="P239" s="131">
        <f>-(HLOOKUP(Noise_3dB_bands,AMI_values_3dB_table,2,0))+Without_48_51_with_75_78_AMI_value</f>
        <v>-389.95891131762522</v>
      </c>
      <c r="Q239" s="131">
        <f>-(HLOOKUP(Noise_3dB_bands,AMI_values_3dB_table,2,0))+Without_48_51_with_78_81_AMI_value</f>
        <v>-490.57448404255871</v>
      </c>
      <c r="R239" s="22" t="s">
        <v>407</v>
      </c>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row>
    <row r="240" spans="1:95" s="21" customFormat="1" ht="15" customHeight="1" outlineLevel="1">
      <c r="A240" s="23"/>
      <c r="B240" s="104" t="s">
        <v>83</v>
      </c>
      <c r="C240" s="132"/>
      <c r="D240" s="131">
        <f>-Without_45_with_51_54_AMI_value</f>
        <v>0</v>
      </c>
      <c r="E240" s="131">
        <f>-Without_45_48_with_51_54_AMI_value</f>
        <v>0</v>
      </c>
      <c r="F240" s="131">
        <f>-Without_48_51_with_51_54_AMI_value</f>
        <v>0</v>
      </c>
      <c r="G240" s="131">
        <v>0</v>
      </c>
      <c r="H240" s="131">
        <f>-(HLOOKUP(Noise_3dB_bands,AMI_values_3dB_table,2,0))</f>
        <v>0</v>
      </c>
      <c r="I240" s="131">
        <f>-(HLOOKUP(Noise_3dB_bands,AMI_values_3dB_table,2,0))+Without_51_54_with_54_57_AMI_value</f>
        <v>-5.967394124267237</v>
      </c>
      <c r="J240" s="131">
        <f>-(HLOOKUP(Noise_3dB_bands,AMI_values_3dB_table,2,0))+Without_51_54_with_57_60_AMI_value</f>
        <v>-22.707211786648891</v>
      </c>
      <c r="K240" s="131">
        <f>-(HLOOKUP(Noise_3dB_bands,AMI_values_3dB_table,2,0))+Without_51_54_with_60_63_AMI_value</f>
        <v>-50.633230126187328</v>
      </c>
      <c r="L240" s="131">
        <f>-(HLOOKUP(Noise_3dB_bands,AMI_values_3dB_table,2,0))+Without_51_54_with_63_66_AMI_value</f>
        <v>-90.683391939248679</v>
      </c>
      <c r="M240" s="131">
        <f>-(HLOOKUP(Noise_3dB_bands,AMI_values_3dB_table,2,0))+Without_51_54_with_66_69_AMI_value</f>
        <v>-143.79564002220042</v>
      </c>
      <c r="N240" s="131">
        <f>-(HLOOKUP(Noise_3dB_bands,AMI_values_3dB_table,2,0))+Without_51_54_with_69_72_AMI_value</f>
        <v>-210.90791717140988</v>
      </c>
      <c r="O240" s="131">
        <f>-(HLOOKUP(Noise_3dB_bands,AMI_values_3dB_table,2,0))+Without_51_54_with_72_75_AMI_value</f>
        <v>-292.95816618324301</v>
      </c>
      <c r="P240" s="131">
        <f>-(HLOOKUP(Noise_3dB_bands,AMI_values_3dB_table,2,0))+Without_51_54_with_75_78_AMI_value</f>
        <v>-389.95891131762522</v>
      </c>
      <c r="Q240" s="131">
        <f>-(HLOOKUP(Noise_3dB_bands,AMI_values_3dB_table,2,0))+Without_51_54_with_78_81_AMI_value</f>
        <v>-490.57448404255871</v>
      </c>
      <c r="R240" s="22" t="s">
        <v>408</v>
      </c>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row>
    <row r="241" spans="1:96" s="21" customFormat="1" ht="15" customHeight="1" outlineLevel="1">
      <c r="A241" s="23"/>
      <c r="B241" s="104" t="s">
        <v>84</v>
      </c>
      <c r="C241" s="132"/>
      <c r="D241" s="131">
        <f>-Without_45_with_54_57_AMI_value</f>
        <v>0</v>
      </c>
      <c r="E241" s="131">
        <f>-Without_45_48_with_54_57_AMI_value</f>
        <v>0</v>
      </c>
      <c r="F241" s="131">
        <f>-Without_48_51_with_54_57_AMI_value</f>
        <v>0</v>
      </c>
      <c r="G241" s="131">
        <f>-Without_51_54_with_54_57_AMI_value</f>
        <v>0</v>
      </c>
      <c r="H241" s="131">
        <v>0</v>
      </c>
      <c r="I241" s="131">
        <f>-(HLOOKUP(Noise_3dB_bands,AMI_values_3dB_table,2,0))</f>
        <v>-5.967394124267237</v>
      </c>
      <c r="J241" s="131">
        <f>-(HLOOKUP(Noise_3dB_bands,AMI_values_3dB_table,2,0))+Without_54_57_with_57_60_AMI_value</f>
        <v>-22.707211786648891</v>
      </c>
      <c r="K241" s="131">
        <f>-(HLOOKUP(Noise_3dB_bands,AMI_values_3dB_table,2,0))+Without_54_57_with_60_63_AMI_value</f>
        <v>-50.633230126187328</v>
      </c>
      <c r="L241" s="131">
        <f>-(HLOOKUP(Noise_3dB_bands,AMI_values_3dB_table,2,0))+Without_54_57_with_63_66_AMI_value</f>
        <v>-90.683391939248679</v>
      </c>
      <c r="M241" s="131">
        <f>-(HLOOKUP(Noise_3dB_bands,AMI_values_3dB_table,2,0))+Without_54_57_with_66_69_AMI_value</f>
        <v>-143.79564002220042</v>
      </c>
      <c r="N241" s="131">
        <f>-(HLOOKUP(Noise_3dB_bands,AMI_values_3dB_table,2,0))+Without_54_57_with_69_72_AMI_value</f>
        <v>-210.90791717140988</v>
      </c>
      <c r="O241" s="131">
        <f>-(HLOOKUP(Noise_3dB_bands,AMI_values_3dB_table,2,0))+Without_54_57_with_72_75_AMI_value</f>
        <v>-292.95816618324301</v>
      </c>
      <c r="P241" s="131">
        <f>-(HLOOKUP(Noise_3dB_bands,AMI_values_3dB_table,2,0))+Without_54_57_with_75_78_AMI_value</f>
        <v>-389.95891131762522</v>
      </c>
      <c r="Q241" s="131">
        <f>-(HLOOKUP(Noise_3dB_bands,AMI_values_3dB_table,2,0))+Without_54_57_with_78_81_AMI_value</f>
        <v>-490.57448404255871</v>
      </c>
      <c r="R241" s="22" t="s">
        <v>409</v>
      </c>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row>
    <row r="242" spans="1:96" s="21" customFormat="1" ht="15" customHeight="1" outlineLevel="1">
      <c r="A242" s="23"/>
      <c r="B242" s="104" t="s">
        <v>85</v>
      </c>
      <c r="C242" s="132"/>
      <c r="D242" s="131">
        <f>-Without_45_with_57_60_AMI_value</f>
        <v>5.967394124267237</v>
      </c>
      <c r="E242" s="131">
        <f>-Without_45_48_with_57_60_AMI_value</f>
        <v>5.967394124267237</v>
      </c>
      <c r="F242" s="131">
        <f>-Without_48_51_with_57_60_AMI_value</f>
        <v>5.967394124267237</v>
      </c>
      <c r="G242" s="131">
        <f>-Without_51_54_with_57_60_AMI_value</f>
        <v>5.967394124267237</v>
      </c>
      <c r="H242" s="131">
        <f>-Without_54_57_with_57_60_AMI_value</f>
        <v>5.967394124267237</v>
      </c>
      <c r="I242" s="131">
        <v>0</v>
      </c>
      <c r="J242" s="131">
        <f>-(HLOOKUP(Noise_3dB_bands,AMI_values_3dB_table,2,0))</f>
        <v>-16.739817662381654</v>
      </c>
      <c r="K242" s="131">
        <f>-(HLOOKUP(Noise_3dB_bands,AMI_values_3dB_table,2,0))+Without_57_60_with_60_63_AMI_value</f>
        <v>-44.665836001920091</v>
      </c>
      <c r="L242" s="131">
        <f>-(HLOOKUP(Noise_3dB_bands,AMI_values_3dB_table,2,0))+Without_57_60_with_63_66_AMI_value</f>
        <v>-84.715997814981449</v>
      </c>
      <c r="M242" s="131">
        <f>-(HLOOKUP(Noise_3dB_bands,AMI_values_3dB_table,2,0))+Without_57_60_with_66_69_AMI_value</f>
        <v>-137.82824589793319</v>
      </c>
      <c r="N242" s="131">
        <f>-(HLOOKUP(Noise_3dB_bands,AMI_values_3dB_table,2,0))+Without_57_60_with_69_72_AMI_value</f>
        <v>-204.94052304714265</v>
      </c>
      <c r="O242" s="131">
        <f>-(HLOOKUP(Noise_3dB_bands,AMI_values_3dB_table,2,0))+Without_57_60_with_72_75_AMI_value</f>
        <v>-286.99077205897578</v>
      </c>
      <c r="P242" s="131">
        <f>-(HLOOKUP(Noise_3dB_bands,AMI_values_3dB_table,2,0))+Without_57_60_with_75_78_AMI_value</f>
        <v>-383.99151719335799</v>
      </c>
      <c r="Q242" s="131">
        <f>-(HLOOKUP(Noise_3dB_bands,AMI_values_3dB_table,2,0))+Without_57_60_with_78_81_AMI_value</f>
        <v>-484.60708991829148</v>
      </c>
      <c r="R242" s="22" t="s">
        <v>410</v>
      </c>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row>
    <row r="243" spans="1:96" s="21" customFormat="1" ht="15" customHeight="1" outlineLevel="1">
      <c r="A243" s="23"/>
      <c r="B243" s="104" t="s">
        <v>86</v>
      </c>
      <c r="C243" s="132"/>
      <c r="D243" s="131">
        <f>-Without_45_with_60_63_AMI_value</f>
        <v>22.707211786648891</v>
      </c>
      <c r="E243" s="131">
        <f>-Without_45_48_with_60_63_AMI_value</f>
        <v>22.707211786648891</v>
      </c>
      <c r="F243" s="131">
        <f>-Without_48_51_with_60_63_AMI_value</f>
        <v>22.707211786648891</v>
      </c>
      <c r="G243" s="131">
        <f>-Without_51_54_with_60_63_AMI_value</f>
        <v>22.707211786648891</v>
      </c>
      <c r="H243" s="131">
        <f>-Without_54_57_with_60_63_AMI_value</f>
        <v>22.707211786648891</v>
      </c>
      <c r="I243" s="131">
        <f>-Without_57_60_with_60_63_AMI_value</f>
        <v>16.739817662381654</v>
      </c>
      <c r="J243" s="131">
        <v>0</v>
      </c>
      <c r="K243" s="131">
        <f>-(HLOOKUP(Noise_3dB_bands,AMI_values_3dB_table,2,0))</f>
        <v>-27.926018339538437</v>
      </c>
      <c r="L243" s="131">
        <f>-(HLOOKUP(Noise_3dB_bands,AMI_values_3dB_table,2,0))+Without_60_63_with_63_66_AMI_value</f>
        <v>-67.976180152599795</v>
      </c>
      <c r="M243" s="131">
        <f>-(HLOOKUP(Noise_3dB_bands,AMI_values_3dB_table,2,0))+Without_60_63_with_66_69_AMI_value</f>
        <v>-121.08842823555152</v>
      </c>
      <c r="N243" s="131">
        <f>-(HLOOKUP(Noise_3dB_bands,AMI_values_3dB_table,2,0))+Without_60_63_with_69_72_AMI_value</f>
        <v>-188.20070538476097</v>
      </c>
      <c r="O243" s="131">
        <f>-(HLOOKUP(Noise_3dB_bands,AMI_values_3dB_table,2,0))+Without_60_63_with_72_75_AMI_value</f>
        <v>-270.25095439659407</v>
      </c>
      <c r="P243" s="131">
        <f>-(HLOOKUP(Noise_3dB_bands,AMI_values_3dB_table,2,0))+Without_60_63_with_75_78_AMI_value</f>
        <v>-367.25169953097628</v>
      </c>
      <c r="Q243" s="131">
        <f>-(HLOOKUP(Noise_3dB_bands,AMI_values_3dB_table,2,0))+Without_60_63_with_78_81_AMI_value</f>
        <v>-467.86727225590977</v>
      </c>
      <c r="R243" s="22" t="s">
        <v>411</v>
      </c>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row>
    <row r="244" spans="1:96" s="21" customFormat="1" ht="15" customHeight="1" outlineLevel="1">
      <c r="A244" s="23"/>
      <c r="B244" s="104" t="s">
        <v>87</v>
      </c>
      <c r="C244" s="132"/>
      <c r="D244" s="131">
        <f>-Without_45_with_63_66_AMI_value</f>
        <v>50.633230126187328</v>
      </c>
      <c r="E244" s="131">
        <f>-Without_45_48_with_63_66_AMI_value</f>
        <v>50.633230126187328</v>
      </c>
      <c r="F244" s="131">
        <f>-Without_48_51_with_63_66_AMI_value</f>
        <v>50.633230126187328</v>
      </c>
      <c r="G244" s="131">
        <f>-Without_51_54_with_63_66_AMI_value</f>
        <v>50.633230126187328</v>
      </c>
      <c r="H244" s="131">
        <f>-Without_54_57_with_63_66_AMI_value</f>
        <v>50.633230126187328</v>
      </c>
      <c r="I244" s="131">
        <f>-Without_57_60_with_63_66_AMI_value</f>
        <v>44.665836001920091</v>
      </c>
      <c r="J244" s="131">
        <f>-Without_60_63_with_63_66_AMI_value</f>
        <v>27.926018339538437</v>
      </c>
      <c r="K244" s="131">
        <v>0</v>
      </c>
      <c r="L244" s="131">
        <f>-(HLOOKUP(Noise_3dB_bands,AMI_values_3dB_table,2,0))</f>
        <v>-40.050161813061351</v>
      </c>
      <c r="M244" s="131">
        <f>-(HLOOKUP(Noise_3dB_bands,AMI_values_3dB_table,2,0))+Without_63_66_with_66_69_AMI_value</f>
        <v>-93.162409896013074</v>
      </c>
      <c r="N244" s="131">
        <f>-(HLOOKUP(Noise_3dB_bands,AMI_values_3dB_table,2,0))+Without_63_66_with_69_72_AMI_value</f>
        <v>-160.27468704522255</v>
      </c>
      <c r="O244" s="131">
        <f>-(HLOOKUP(Noise_3dB_bands,AMI_values_3dB_table,2,0))+Without_63_66_with_72_75_AMI_value</f>
        <v>-242.32493605705565</v>
      </c>
      <c r="P244" s="131">
        <f>-(HLOOKUP(Noise_3dB_bands,AMI_values_3dB_table,2,0))+Without_63_66_with_75_78_AMI_value</f>
        <v>-339.32568119143787</v>
      </c>
      <c r="Q244" s="131">
        <f>-(HLOOKUP(Noise_3dB_bands,AMI_values_3dB_table,2,0))+Without_63_66_with_78_81_AMI_value</f>
        <v>-439.94125391637135</v>
      </c>
      <c r="R244" s="22" t="s">
        <v>412</v>
      </c>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row>
    <row r="245" spans="1:96" ht="15" customHeight="1" outlineLevel="1">
      <c r="A245" s="97"/>
      <c r="B245" s="104" t="s">
        <v>88</v>
      </c>
      <c r="C245" s="132"/>
      <c r="D245" s="131">
        <f>-Without_45_with_66_69_AMI_value</f>
        <v>90.683391939248679</v>
      </c>
      <c r="E245" s="131">
        <f>-Without_45_48_with_66_69_AMI_value</f>
        <v>90.683391939248679</v>
      </c>
      <c r="F245" s="131">
        <f>-Without_48_51_with_66_69_AMI_value</f>
        <v>90.683391939248679</v>
      </c>
      <c r="G245" s="131">
        <f>-Without_51_54_with_66_69_AMI_value</f>
        <v>90.683391939248679</v>
      </c>
      <c r="H245" s="131">
        <f>-Without_54_57_with_66_69_AMI_value</f>
        <v>90.683391939248679</v>
      </c>
      <c r="I245" s="131">
        <f>-Without_57_60_with_66_69_AMI_value</f>
        <v>84.715997814981449</v>
      </c>
      <c r="J245" s="131">
        <f>-Without_60_63_with_66_69_AMI_value</f>
        <v>67.976180152599795</v>
      </c>
      <c r="K245" s="131">
        <f>-Without_63_66_with_66_69_AMI_value</f>
        <v>40.050161813061351</v>
      </c>
      <c r="L245" s="131">
        <v>0</v>
      </c>
      <c r="M245" s="131">
        <f>-(HLOOKUP(Noise_3dB_bands,AMI_values_3dB_table,2,0))</f>
        <v>-53.112248082951723</v>
      </c>
      <c r="N245" s="131">
        <f>-(HLOOKUP(Noise_3dB_bands,AMI_values_3dB_table,2,0))+Without_66_69_with_69_72_AMI_value</f>
        <v>-120.22452523216118</v>
      </c>
      <c r="O245" s="131">
        <f>-(HLOOKUP(Noise_3dB_bands,AMI_values_3dB_table,2,0))+Without_66_69_with_72_75_AMI_value</f>
        <v>-202.2747742439943</v>
      </c>
      <c r="P245" s="131">
        <f>-(HLOOKUP(Noise_3dB_bands,AMI_values_3dB_table,2,0))+Without_66_69_with_75_78_AMI_value</f>
        <v>-299.27551937837654</v>
      </c>
      <c r="Q245" s="131">
        <f>-(HLOOKUP(Noise_3dB_bands,AMI_values_3dB_table,2,0))+Without_66_69_with_78_81_AMI_value</f>
        <v>-399.89109210331003</v>
      </c>
      <c r="R245" s="22" t="s">
        <v>413</v>
      </c>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row>
    <row r="246" spans="1:96" ht="15" customHeight="1" outlineLevel="1">
      <c r="A246" s="97"/>
      <c r="B246" s="104" t="s">
        <v>89</v>
      </c>
      <c r="C246" s="132"/>
      <c r="D246" s="131">
        <f>-Without_45_with_69_72_AMI_value</f>
        <v>143.79564002220042</v>
      </c>
      <c r="E246" s="131">
        <f>-Without_45_48_with_69_72_AMI_value</f>
        <v>143.79564002220042</v>
      </c>
      <c r="F246" s="131">
        <f>-Without_48_51_with_69_72_AMI_value</f>
        <v>143.79564002220042</v>
      </c>
      <c r="G246" s="131">
        <f>-Without_51_54_with_69_72_AMI_value</f>
        <v>143.79564002220042</v>
      </c>
      <c r="H246" s="131">
        <f>-Without_54_57_with_69_72_AMI_value</f>
        <v>143.79564002220042</v>
      </c>
      <c r="I246" s="131">
        <f>-Without_57_60_with_69_72_AMI_value</f>
        <v>137.82824589793319</v>
      </c>
      <c r="J246" s="131">
        <f>-Without_60_63_with_69_72_AMI_value</f>
        <v>121.08842823555152</v>
      </c>
      <c r="K246" s="131">
        <f>-Without_63_66_with_69_72_AMI_value</f>
        <v>93.162409896013074</v>
      </c>
      <c r="L246" s="131">
        <f>-Without_66_69_with_69_72_AMI_value</f>
        <v>53.112248082951723</v>
      </c>
      <c r="M246" s="131">
        <v>0</v>
      </c>
      <c r="N246" s="131">
        <f>-(HLOOKUP(Noise_3dB_bands,AMI_values_3dB_table,2,0))</f>
        <v>-67.112277149209461</v>
      </c>
      <c r="O246" s="131">
        <f>-(HLOOKUP(Noise_3dB_bands,AMI_values_3dB_table,2,0))+Without_69_72_with_72_75_AMI_value</f>
        <v>-149.16252616104259</v>
      </c>
      <c r="P246" s="131">
        <f>-(HLOOKUP(Noise_3dB_bands,AMI_values_3dB_table,2,0))+Without_69_72_with_75_78_AMI_value</f>
        <v>-246.16327129542481</v>
      </c>
      <c r="Q246" s="131">
        <f>-(HLOOKUP(Noise_3dB_bands,AMI_values_3dB_table,2,0))+Without_69_72_with_78_81_AMI_value</f>
        <v>-346.77884402035829</v>
      </c>
      <c r="R246" s="22" t="s">
        <v>414</v>
      </c>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row>
    <row r="247" spans="1:96" ht="15" customHeight="1" outlineLevel="1">
      <c r="A247" s="97"/>
      <c r="B247" s="104" t="s">
        <v>90</v>
      </c>
      <c r="C247" s="132"/>
      <c r="D247" s="131">
        <f>-Without_45_with_72_75_AMI_value</f>
        <v>210.90791717140988</v>
      </c>
      <c r="E247" s="131">
        <f>-Without_45_48_with_72_75_AMI_value</f>
        <v>210.90791717140988</v>
      </c>
      <c r="F247" s="131">
        <f>-Without_48_51_with_72_75_AMI_value</f>
        <v>210.90791717140988</v>
      </c>
      <c r="G247" s="131">
        <f>-Without_51_54_with_72_75_AMI_value</f>
        <v>210.90791717140988</v>
      </c>
      <c r="H247" s="131">
        <f>-Without_54_57_with_72_75_AMI_value</f>
        <v>210.90791717140988</v>
      </c>
      <c r="I247" s="131">
        <f>-Without_57_60_with_72_75_AMI_value</f>
        <v>204.94052304714265</v>
      </c>
      <c r="J247" s="131">
        <f>-Without_60_63_with_72_75_AMI_value</f>
        <v>188.20070538476097</v>
      </c>
      <c r="K247" s="131">
        <f>-Without_63_66_with_72_75_AMI_value</f>
        <v>160.27468704522255</v>
      </c>
      <c r="L247" s="131">
        <f>-Without_66_69_with_72_75_AMI_value</f>
        <v>120.22452523216118</v>
      </c>
      <c r="M247" s="131">
        <f>-Without_69_72_with_72_75_AMI_value</f>
        <v>67.112277149209461</v>
      </c>
      <c r="N247" s="131">
        <v>0</v>
      </c>
      <c r="O247" s="131">
        <f>-(HLOOKUP(Noise_3dB_bands,AMI_values_3dB_table,2,0))</f>
        <v>-82.050249011833117</v>
      </c>
      <c r="P247" s="131">
        <f>-(HLOOKUP(Noise_3dB_bands,AMI_values_3dB_table,2,0))+Without_72_75_with_75_78_AMI_value</f>
        <v>-179.05099414621534</v>
      </c>
      <c r="Q247" s="131">
        <f>-(HLOOKUP(Noise_3dB_bands,AMI_values_3dB_table,2,0))+Without_72_75_with_78_81_AMI_value</f>
        <v>-279.6665668711488</v>
      </c>
      <c r="R247" s="22" t="s">
        <v>415</v>
      </c>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row>
    <row r="248" spans="1:96" ht="15" customHeight="1" outlineLevel="1">
      <c r="A248" s="97"/>
      <c r="B248" s="104" t="s">
        <v>91</v>
      </c>
      <c r="C248" s="132"/>
      <c r="D248" s="131">
        <f>-Without_45_with_75_78_AMI_value</f>
        <v>292.95816618324301</v>
      </c>
      <c r="E248" s="131">
        <f>-Without_45_48_with_75_78_AMI_value</f>
        <v>292.95816618324301</v>
      </c>
      <c r="F248" s="131">
        <f>-Without_48_51_with_75_78_AMI_value</f>
        <v>292.95816618324301</v>
      </c>
      <c r="G248" s="131">
        <f>-Without_51_54_with_75_78_AMI_value</f>
        <v>292.95816618324301</v>
      </c>
      <c r="H248" s="131">
        <f>-Without_54_57_with_75_78_AMI_value</f>
        <v>292.95816618324301</v>
      </c>
      <c r="I248" s="131">
        <f>-Without_57_60_with_75_78_AMI_value</f>
        <v>286.99077205897578</v>
      </c>
      <c r="J248" s="131">
        <f>-Without_60_63_with_75_78_AMI_value</f>
        <v>270.25095439659407</v>
      </c>
      <c r="K248" s="131">
        <f>-Without_63_66_with_75_78_AMI_value</f>
        <v>242.32493605705565</v>
      </c>
      <c r="L248" s="131">
        <f>-Without_66_69_with_75_78_AMI_value</f>
        <v>202.2747742439943</v>
      </c>
      <c r="M248" s="131">
        <f>-Without_69_72_with_75_78_AMI_value</f>
        <v>149.16252616104259</v>
      </c>
      <c r="N248" s="131">
        <f>-Without_72_75_with_75_78_AMI_value</f>
        <v>82.050249011833117</v>
      </c>
      <c r="O248" s="131">
        <v>0</v>
      </c>
      <c r="P248" s="131">
        <f>-(HLOOKUP(Noise_3dB_bands,AMI_values_3dB_table,2,0))</f>
        <v>-97.000745134382228</v>
      </c>
      <c r="Q248" s="131">
        <f>-(HLOOKUP(Noise_3dB_bands,AMI_values_3dB_table,2,0))+Without_75_78_with_78_81_AMI_value</f>
        <v>-197.6163178593157</v>
      </c>
      <c r="R248" s="22" t="s">
        <v>416</v>
      </c>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3"/>
    </row>
    <row r="249" spans="1:96" ht="15" customHeight="1" outlineLevel="1">
      <c r="A249" s="97"/>
      <c r="B249" s="104" t="s">
        <v>92</v>
      </c>
      <c r="C249" s="132"/>
      <c r="D249" s="131">
        <f>-Without_45_with_78_81_AMI_value</f>
        <v>389.95891131762522</v>
      </c>
      <c r="E249" s="131">
        <f>-Without_45_48_with_78_81_AMI_value</f>
        <v>389.95891131762522</v>
      </c>
      <c r="F249" s="131">
        <f>-Without_48_51_with_78_81_AMI_value</f>
        <v>389.95891131762522</v>
      </c>
      <c r="G249" s="131">
        <f>-Without_51_54_with_78_81_AMI_value</f>
        <v>389.95891131762522</v>
      </c>
      <c r="H249" s="131">
        <f>-Without_54_57_with_78_81_AMI_value</f>
        <v>389.95891131762522</v>
      </c>
      <c r="I249" s="131">
        <f>-Without_57_60_with_78_81_AMI_value</f>
        <v>383.99151719335799</v>
      </c>
      <c r="J249" s="131">
        <f>-Without_60_63_with_78_81_AMI_value</f>
        <v>367.25169953097628</v>
      </c>
      <c r="K249" s="131">
        <f>-Without_63_66_with_78_81_AMI_value</f>
        <v>339.32568119143787</v>
      </c>
      <c r="L249" s="131">
        <f>-Without_66_69_with_78_81_AMI_value</f>
        <v>299.27551937837654</v>
      </c>
      <c r="M249" s="131">
        <f>-Without_69_72_with_78_81_AMI_value</f>
        <v>246.16327129542481</v>
      </c>
      <c r="N249" s="131">
        <f>-Without_72_75_with_78_81_AMI_value</f>
        <v>179.05099414621534</v>
      </c>
      <c r="O249" s="131">
        <f>-Without_75_78_with_78_81_AMI_value</f>
        <v>97.000745134382228</v>
      </c>
      <c r="P249" s="131">
        <v>0</v>
      </c>
      <c r="Q249" s="131">
        <f>-(HLOOKUP(Noise_3dB_bands,AMI_values_3dB_table,2,0))</f>
        <v>-100.61557272493349</v>
      </c>
      <c r="R249" s="22" t="s">
        <v>417</v>
      </c>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3"/>
    </row>
    <row r="250" spans="1:96" ht="15" customHeight="1" outlineLevel="1">
      <c r="A250" s="97"/>
      <c r="B250" s="104" t="s">
        <v>93</v>
      </c>
      <c r="C250" s="133"/>
      <c r="D250" s="131">
        <f>-Without_45_with_81_AMI_value</f>
        <v>490.57448404255871</v>
      </c>
      <c r="E250" s="131">
        <f>-Without_45_48_with_81_AMI_value</f>
        <v>490.57448404255871</v>
      </c>
      <c r="F250" s="131">
        <f>-Without_48_51_with_81_AMI_value</f>
        <v>490.57448404255871</v>
      </c>
      <c r="G250" s="131">
        <f>-Without_51_54_with_81_AMI_value</f>
        <v>490.57448404255871</v>
      </c>
      <c r="H250" s="131">
        <f>-Without_54_57_with_81_AMI_value</f>
        <v>490.57448404255871</v>
      </c>
      <c r="I250" s="131">
        <f>-Without_57_60_with_81_AMI_value</f>
        <v>484.60708991829148</v>
      </c>
      <c r="J250" s="131">
        <f>-Without_60_63_with_81_AMI_value</f>
        <v>467.86727225590977</v>
      </c>
      <c r="K250" s="131">
        <f>-Without_63_66_with_81_AMI_value</f>
        <v>439.94125391637135</v>
      </c>
      <c r="L250" s="131">
        <f>-Without_66_69_with_81_AMI_value</f>
        <v>399.89109210331003</v>
      </c>
      <c r="M250" s="131">
        <f>-Without_69_72_with_81_AMI_value</f>
        <v>346.77884402035829</v>
      </c>
      <c r="N250" s="131">
        <f>-Without_72_75_with_81_AMI_value</f>
        <v>279.6665668711488</v>
      </c>
      <c r="O250" s="131">
        <f>-Without_75_78_with_81_AMI_value</f>
        <v>197.6163178593157</v>
      </c>
      <c r="P250" s="131">
        <f>-Without_78_81_with_81_AMI_value</f>
        <v>100.61557272493349</v>
      </c>
      <c r="Q250" s="131">
        <v>0</v>
      </c>
      <c r="R250" s="22" t="s">
        <v>418</v>
      </c>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3"/>
    </row>
    <row r="251" spans="1:96" ht="14.45" outlineLevel="1">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row>
    <row r="252" spans="1:96" s="5" customFormat="1" ht="15.6" outlineLevel="1">
      <c r="B252" s="5" t="s">
        <v>169</v>
      </c>
    </row>
    <row r="253" spans="1:96" ht="15" customHeight="1" outlineLevel="1">
      <c r="A253" s="97"/>
      <c r="B253" s="97"/>
      <c r="C253" s="111"/>
      <c r="D253" s="3"/>
      <c r="E253" s="3"/>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row>
    <row r="254" spans="1:96" ht="15" hidden="1" customHeight="1" outlineLevel="2">
      <c r="A254" s="97"/>
      <c r="B254" s="126" t="s">
        <v>161</v>
      </c>
      <c r="C254" s="97"/>
      <c r="D254" s="13" t="s">
        <v>162</v>
      </c>
      <c r="E254" s="14">
        <v>45</v>
      </c>
      <c r="F254" s="15">
        <v>46</v>
      </c>
      <c r="G254" s="14">
        <v>47</v>
      </c>
      <c r="H254" s="15">
        <v>48</v>
      </c>
      <c r="I254" s="14">
        <v>49</v>
      </c>
      <c r="J254" s="15">
        <v>50</v>
      </c>
      <c r="K254" s="14">
        <v>51</v>
      </c>
      <c r="L254" s="15">
        <v>52</v>
      </c>
      <c r="M254" s="14">
        <v>53</v>
      </c>
      <c r="N254" s="15">
        <v>54</v>
      </c>
      <c r="O254" s="14">
        <v>55</v>
      </c>
      <c r="P254" s="15">
        <v>56</v>
      </c>
      <c r="Q254" s="14">
        <v>57</v>
      </c>
      <c r="R254" s="15">
        <v>58</v>
      </c>
      <c r="S254" s="14">
        <v>59</v>
      </c>
      <c r="T254" s="15">
        <v>60</v>
      </c>
      <c r="U254" s="14">
        <v>61</v>
      </c>
      <c r="V254" s="15">
        <v>62</v>
      </c>
      <c r="W254" s="14">
        <v>63</v>
      </c>
      <c r="X254" s="15">
        <v>64</v>
      </c>
      <c r="Y254" s="14">
        <v>65</v>
      </c>
      <c r="Z254" s="15">
        <v>66</v>
      </c>
      <c r="AA254" s="14">
        <v>67</v>
      </c>
      <c r="AB254" s="15">
        <v>68</v>
      </c>
      <c r="AC254" s="14">
        <v>69</v>
      </c>
      <c r="AD254" s="15">
        <v>70</v>
      </c>
      <c r="AE254" s="14">
        <v>71</v>
      </c>
      <c r="AF254" s="15">
        <v>72</v>
      </c>
      <c r="AG254" s="14">
        <v>73</v>
      </c>
      <c r="AH254" s="15">
        <v>74</v>
      </c>
      <c r="AI254" s="14">
        <v>75</v>
      </c>
      <c r="AJ254" s="15">
        <v>76</v>
      </c>
      <c r="AK254" s="14">
        <v>77</v>
      </c>
      <c r="AL254" s="15">
        <v>78</v>
      </c>
      <c r="AM254" s="14">
        <v>79</v>
      </c>
      <c r="AN254" s="15">
        <v>80</v>
      </c>
      <c r="AO254" s="14">
        <v>81</v>
      </c>
      <c r="AP254" s="15">
        <v>82</v>
      </c>
      <c r="AQ254" s="14">
        <v>83</v>
      </c>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row>
    <row r="255" spans="1:96" ht="15" hidden="1" customHeight="1" outlineLevel="2">
      <c r="A255" s="97"/>
      <c r="B255" s="126"/>
      <c r="C255" s="81" t="s">
        <v>308</v>
      </c>
      <c r="D255" s="13">
        <v>45</v>
      </c>
      <c r="E255" s="14">
        <v>46</v>
      </c>
      <c r="F255" s="13">
        <v>47</v>
      </c>
      <c r="G255" s="14">
        <v>48</v>
      </c>
      <c r="H255" s="13">
        <v>49</v>
      </c>
      <c r="I255" s="14">
        <v>50</v>
      </c>
      <c r="J255" s="13">
        <v>51</v>
      </c>
      <c r="K255" s="14">
        <v>52</v>
      </c>
      <c r="L255" s="13">
        <v>53</v>
      </c>
      <c r="M255" s="14">
        <v>54</v>
      </c>
      <c r="N255" s="13">
        <v>55</v>
      </c>
      <c r="O255" s="14">
        <v>56</v>
      </c>
      <c r="P255" s="13">
        <v>57</v>
      </c>
      <c r="Q255" s="14">
        <v>58</v>
      </c>
      <c r="R255" s="13">
        <v>59</v>
      </c>
      <c r="S255" s="14">
        <v>60</v>
      </c>
      <c r="T255" s="13">
        <v>61</v>
      </c>
      <c r="U255" s="14">
        <v>62</v>
      </c>
      <c r="V255" s="13">
        <v>63</v>
      </c>
      <c r="W255" s="14">
        <v>64</v>
      </c>
      <c r="X255" s="13">
        <v>65</v>
      </c>
      <c r="Y255" s="14">
        <v>66</v>
      </c>
      <c r="Z255" s="13">
        <v>67</v>
      </c>
      <c r="AA255" s="14">
        <v>68</v>
      </c>
      <c r="AB255" s="13">
        <v>69</v>
      </c>
      <c r="AC255" s="14">
        <v>70</v>
      </c>
      <c r="AD255" s="13">
        <v>71</v>
      </c>
      <c r="AE255" s="14">
        <v>72</v>
      </c>
      <c r="AF255" s="13">
        <v>73</v>
      </c>
      <c r="AG255" s="14">
        <v>74</v>
      </c>
      <c r="AH255" s="13">
        <v>75</v>
      </c>
      <c r="AI255" s="14">
        <v>76</v>
      </c>
      <c r="AJ255" s="13">
        <v>77</v>
      </c>
      <c r="AK255" s="14">
        <v>78</v>
      </c>
      <c r="AL255" s="13">
        <v>79</v>
      </c>
      <c r="AM255" s="14">
        <v>80</v>
      </c>
      <c r="AN255" s="13">
        <v>81</v>
      </c>
      <c r="AO255" s="14">
        <v>82</v>
      </c>
      <c r="AP255" s="13">
        <v>83</v>
      </c>
      <c r="AQ255" s="14">
        <v>84</v>
      </c>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row>
    <row r="256" spans="1:96" ht="15" hidden="1" customHeight="1" outlineLevel="2">
      <c r="A256" s="97"/>
      <c r="B256" s="97" t="s">
        <v>352</v>
      </c>
      <c r="C256" s="97">
        <f>Road_mask</f>
        <v>1</v>
      </c>
      <c r="D256" s="90">
        <f t="shared" ref="D256:AQ256" si="70">Stroke_values_road_1dB_in</f>
        <v>0</v>
      </c>
      <c r="E256" s="90">
        <f t="shared" si="70"/>
        <v>0</v>
      </c>
      <c r="F256" s="90">
        <f t="shared" si="70"/>
        <v>0</v>
      </c>
      <c r="G256" s="90">
        <f t="shared" si="70"/>
        <v>2.2832115388980325</v>
      </c>
      <c r="H256" s="90">
        <f t="shared" si="70"/>
        <v>2.2889408996969767</v>
      </c>
      <c r="I256" s="90">
        <f t="shared" si="70"/>
        <v>2.2946865155608926</v>
      </c>
      <c r="J256" s="90">
        <f t="shared" si="70"/>
        <v>2.3004484388281226</v>
      </c>
      <c r="K256" s="90">
        <f t="shared" si="70"/>
        <v>2.3062267220256496</v>
      </c>
      <c r="L256" s="90">
        <f t="shared" si="70"/>
        <v>2.3120214178699552</v>
      </c>
      <c r="M256" s="90">
        <f t="shared" si="70"/>
        <v>2.3178325792678374</v>
      </c>
      <c r="N256" s="90">
        <f t="shared" si="70"/>
        <v>2.3236602593169988</v>
      </c>
      <c r="O256" s="90">
        <f t="shared" si="70"/>
        <v>2.3295045113069328</v>
      </c>
      <c r="P256" s="90">
        <f t="shared" si="70"/>
        <v>2.3353653887197585</v>
      </c>
      <c r="Q256" s="90">
        <f t="shared" si="70"/>
        <v>2.3412429452306451</v>
      </c>
      <c r="R256" s="90">
        <f t="shared" si="70"/>
        <v>2.3471372347089847</v>
      </c>
      <c r="S256" s="90">
        <f t="shared" si="70"/>
        <v>2.3530483112189167</v>
      </c>
      <c r="T256" s="90">
        <f t="shared" si="70"/>
        <v>2.3589762290201088</v>
      </c>
      <c r="U256" s="90">
        <f t="shared" si="70"/>
        <v>2.3649210425686777</v>
      </c>
      <c r="V256" s="90">
        <f t="shared" si="70"/>
        <v>2.3708828065176974</v>
      </c>
      <c r="W256" s="90">
        <f t="shared" si="70"/>
        <v>2.3768615757182827</v>
      </c>
      <c r="X256" s="90">
        <f t="shared" si="70"/>
        <v>2.3828574052203382</v>
      </c>
      <c r="Y256" s="90">
        <f t="shared" si="70"/>
        <v>2.3888703502728776</v>
      </c>
      <c r="Z256" s="90">
        <f t="shared" si="70"/>
        <v>2.3949004663256166</v>
      </c>
      <c r="AA256" s="90">
        <f t="shared" si="70"/>
        <v>2.4009478090288212</v>
      </c>
      <c r="AB256" s="90">
        <f t="shared" si="70"/>
        <v>2.4070124342352113</v>
      </c>
      <c r="AC256" s="90">
        <f t="shared" si="70"/>
        <v>2.4130943979997079</v>
      </c>
      <c r="AD256" s="90">
        <f t="shared" si="70"/>
        <v>2.419193756580746</v>
      </c>
      <c r="AE256" s="90">
        <f t="shared" si="70"/>
        <v>2.4253105664411687</v>
      </c>
      <c r="AF256" s="90">
        <f t="shared" si="70"/>
        <v>2.431444884248839</v>
      </c>
      <c r="AG256" s="90">
        <f t="shared" si="70"/>
        <v>2.4375967668774448</v>
      </c>
      <c r="AH256" s="90">
        <f t="shared" si="70"/>
        <v>2.4437662714075006</v>
      </c>
      <c r="AI256" s="90">
        <f t="shared" si="70"/>
        <v>2.4499534551266842</v>
      </c>
      <c r="AJ256" s="90">
        <f t="shared" si="70"/>
        <v>2.4499534551266842</v>
      </c>
      <c r="AK256" s="90">
        <f t="shared" si="70"/>
        <v>2.4499534551266842</v>
      </c>
      <c r="AL256" s="90">
        <f t="shared" si="70"/>
        <v>2.4499534551266842</v>
      </c>
      <c r="AM256" s="90">
        <f t="shared" si="70"/>
        <v>2.4499534551266842</v>
      </c>
      <c r="AN256" s="90">
        <f t="shared" si="70"/>
        <v>2.4499534551266842</v>
      </c>
      <c r="AO256" s="90">
        <f t="shared" si="70"/>
        <v>2.4499534551266842</v>
      </c>
      <c r="AP256" s="90">
        <f t="shared" si="70"/>
        <v>2.4499534551266842</v>
      </c>
      <c r="AQ256" s="90">
        <f t="shared" si="70"/>
        <v>2.4499534551266842</v>
      </c>
      <c r="AR256" s="3" t="s">
        <v>419</v>
      </c>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row>
    <row r="257" spans="1:95" ht="15" hidden="1" customHeight="1" outlineLevel="2">
      <c r="A257" s="97"/>
      <c r="B257" s="97" t="s">
        <v>354</v>
      </c>
      <c r="C257" s="111">
        <f>Rail_mask</f>
        <v>0</v>
      </c>
      <c r="D257" s="90">
        <f t="shared" ref="D257:AQ257" si="71">Stroke_values_rail_1dB_in</f>
        <v>0</v>
      </c>
      <c r="E257" s="90">
        <f t="shared" si="71"/>
        <v>0</v>
      </c>
      <c r="F257" s="90">
        <f t="shared" si="71"/>
        <v>0</v>
      </c>
      <c r="G257" s="90">
        <f t="shared" si="71"/>
        <v>0</v>
      </c>
      <c r="H257" s="90">
        <f t="shared" si="71"/>
        <v>0</v>
      </c>
      <c r="I257" s="90">
        <f t="shared" si="71"/>
        <v>0</v>
      </c>
      <c r="J257" s="90">
        <f t="shared" si="71"/>
        <v>2.4874371442961722</v>
      </c>
      <c r="K257" s="90">
        <f t="shared" si="71"/>
        <v>2.4942246074653522</v>
      </c>
      <c r="L257" s="90">
        <f t="shared" si="71"/>
        <v>2.5010330127931595</v>
      </c>
      <c r="M257" s="90">
        <f t="shared" si="71"/>
        <v>2.5078624336124733</v>
      </c>
      <c r="N257" s="90">
        <f t="shared" si="71"/>
        <v>2.5147129435440179</v>
      </c>
      <c r="O257" s="90">
        <f t="shared" si="71"/>
        <v>2.5215846164972135</v>
      </c>
      <c r="P257" s="90">
        <f t="shared" si="71"/>
        <v>2.5284775266718009</v>
      </c>
      <c r="Q257" s="90">
        <f t="shared" si="71"/>
        <v>2.5353917485583022</v>
      </c>
      <c r="R257" s="90">
        <f t="shared" si="71"/>
        <v>2.5423273569406999</v>
      </c>
      <c r="S257" s="90">
        <f t="shared" si="71"/>
        <v>2.5492844268960519</v>
      </c>
      <c r="T257" s="90">
        <f t="shared" si="71"/>
        <v>2.556263033797026</v>
      </c>
      <c r="U257" s="90">
        <f t="shared" si="71"/>
        <v>2.563263253312273</v>
      </c>
      <c r="V257" s="90">
        <f t="shared" si="71"/>
        <v>2.5702851614084961</v>
      </c>
      <c r="W257" s="90">
        <f t="shared" si="71"/>
        <v>2.5773288343509675</v>
      </c>
      <c r="X257" s="90">
        <f t="shared" si="71"/>
        <v>2.5843943487055041</v>
      </c>
      <c r="Y257" s="90">
        <f t="shared" si="71"/>
        <v>2.5914817813392208</v>
      </c>
      <c r="Z257" s="90">
        <f t="shared" si="71"/>
        <v>2.5985912094220822</v>
      </c>
      <c r="AA257" s="90">
        <f t="shared" si="71"/>
        <v>2.6057227104280996</v>
      </c>
      <c r="AB257" s="90">
        <f t="shared" si="71"/>
        <v>2.6128763621370568</v>
      </c>
      <c r="AC257" s="90">
        <f t="shared" si="71"/>
        <v>2.6200522426349124</v>
      </c>
      <c r="AD257" s="90">
        <f t="shared" si="71"/>
        <v>2.6272504303160926</v>
      </c>
      <c r="AE257" s="90">
        <f t="shared" si="71"/>
        <v>2.6344710038843218</v>
      </c>
      <c r="AF257" s="90">
        <f t="shared" si="71"/>
        <v>2.6417140423539065</v>
      </c>
      <c r="AG257" s="90">
        <f t="shared" si="71"/>
        <v>2.6489796250514539</v>
      </c>
      <c r="AH257" s="90">
        <f t="shared" si="71"/>
        <v>2.6562678316166548</v>
      </c>
      <c r="AI257" s="90">
        <f t="shared" si="71"/>
        <v>2.6635787420043582</v>
      </c>
      <c r="AJ257" s="90">
        <f t="shared" si="71"/>
        <v>2.6635787420043582</v>
      </c>
      <c r="AK257" s="90">
        <f t="shared" si="71"/>
        <v>2.6635787420043582</v>
      </c>
      <c r="AL257" s="90">
        <f t="shared" si="71"/>
        <v>2.6635787420043582</v>
      </c>
      <c r="AM257" s="90">
        <f t="shared" si="71"/>
        <v>2.6635787420043582</v>
      </c>
      <c r="AN257" s="90">
        <f t="shared" si="71"/>
        <v>2.6635787420043582</v>
      </c>
      <c r="AO257" s="90">
        <f t="shared" si="71"/>
        <v>2.6635787420043582</v>
      </c>
      <c r="AP257" s="90">
        <f t="shared" si="71"/>
        <v>2.6635787420043582</v>
      </c>
      <c r="AQ257" s="90">
        <f t="shared" si="71"/>
        <v>2.6635787420043582</v>
      </c>
      <c r="AR257" s="3" t="s">
        <v>420</v>
      </c>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row>
    <row r="258" spans="1:95" ht="15" hidden="1" customHeight="1" outlineLevel="2">
      <c r="A258" s="97"/>
      <c r="B258" s="97" t="s">
        <v>356</v>
      </c>
      <c r="C258" s="111">
        <f>Aviation_mask</f>
        <v>0</v>
      </c>
      <c r="D258" s="90">
        <f t="shared" ref="D258:AQ258" si="72">Stroke_values_aviation_1dB_in</f>
        <v>0</v>
      </c>
      <c r="E258" s="90">
        <f t="shared" si="72"/>
        <v>0</v>
      </c>
      <c r="F258" s="90">
        <f t="shared" si="72"/>
        <v>0</v>
      </c>
      <c r="G258" s="90">
        <f t="shared" si="72"/>
        <v>0</v>
      </c>
      <c r="H258" s="90">
        <f t="shared" si="72"/>
        <v>0</v>
      </c>
      <c r="I258" s="90">
        <f t="shared" si="72"/>
        <v>0</v>
      </c>
      <c r="J258" s="90">
        <f t="shared" si="72"/>
        <v>4.4347824041069934</v>
      </c>
      <c r="K258" s="90">
        <f t="shared" si="72"/>
        <v>4.4563853200068992</v>
      </c>
      <c r="L258" s="90">
        <f t="shared" si="72"/>
        <v>4.478107700925535</v>
      </c>
      <c r="M258" s="90">
        <f t="shared" si="72"/>
        <v>4.4999502994498952</v>
      </c>
      <c r="N258" s="90">
        <f t="shared" si="72"/>
        <v>4.5219138734902513</v>
      </c>
      <c r="O258" s="90">
        <f t="shared" si="72"/>
        <v>4.5439991863218596</v>
      </c>
      <c r="P258" s="90">
        <f t="shared" si="72"/>
        <v>4.566207006625719</v>
      </c>
      <c r="Q258" s="90">
        <f t="shared" si="72"/>
        <v>4.5885381085311359</v>
      </c>
      <c r="R258" s="90">
        <f t="shared" si="72"/>
        <v>4.6109932716577715</v>
      </c>
      <c r="S258" s="90">
        <f t="shared" si="72"/>
        <v>4.6335732811583314</v>
      </c>
      <c r="T258" s="90">
        <f t="shared" si="72"/>
        <v>4.6562789277611403</v>
      </c>
      <c r="U258" s="90">
        <f t="shared" si="72"/>
        <v>4.679111007814039</v>
      </c>
      <c r="V258" s="90">
        <f t="shared" si="72"/>
        <v>4.7020703233274945</v>
      </c>
      <c r="W258" s="90">
        <f t="shared" si="72"/>
        <v>4.7251576820191712</v>
      </c>
      <c r="X258" s="90">
        <f t="shared" si="72"/>
        <v>4.7483738973576388</v>
      </c>
      <c r="Y258" s="90">
        <f t="shared" si="72"/>
        <v>4.7717197886079568</v>
      </c>
      <c r="Z258" s="90">
        <f t="shared" si="72"/>
        <v>4.7951961808760775</v>
      </c>
      <c r="AA258" s="90">
        <f t="shared" si="72"/>
        <v>4.8188039051548168</v>
      </c>
      <c r="AB258" s="90">
        <f t="shared" si="72"/>
        <v>4.8425437983693875</v>
      </c>
      <c r="AC258" s="90">
        <f t="shared" si="72"/>
        <v>4.8664167034243082</v>
      </c>
      <c r="AD258" s="90">
        <f t="shared" si="72"/>
        <v>4.8904234692488835</v>
      </c>
      <c r="AE258" s="90">
        <f t="shared" si="72"/>
        <v>4.9145649508455849</v>
      </c>
      <c r="AF258" s="90">
        <f t="shared" si="72"/>
        <v>4.9388420093366632</v>
      </c>
      <c r="AG258" s="90">
        <f t="shared" si="72"/>
        <v>4.9632555120119441</v>
      </c>
      <c r="AH258" s="90">
        <f t="shared" si="72"/>
        <v>4.9878063323777084</v>
      </c>
      <c r="AI258" s="90">
        <f t="shared" si="72"/>
        <v>5.0124953502042802</v>
      </c>
      <c r="AJ258" s="90">
        <f t="shared" si="72"/>
        <v>5.0124953502042802</v>
      </c>
      <c r="AK258" s="90">
        <f t="shared" si="72"/>
        <v>5.0124953502042802</v>
      </c>
      <c r="AL258" s="90">
        <f t="shared" si="72"/>
        <v>5.0124953502042802</v>
      </c>
      <c r="AM258" s="90">
        <f t="shared" si="72"/>
        <v>5.0124953502042802</v>
      </c>
      <c r="AN258" s="90">
        <f t="shared" si="72"/>
        <v>5.0124953502042802</v>
      </c>
      <c r="AO258" s="90">
        <f t="shared" si="72"/>
        <v>5.0124953502042802</v>
      </c>
      <c r="AP258" s="90">
        <f t="shared" si="72"/>
        <v>5.0124953502042802</v>
      </c>
      <c r="AQ258" s="90">
        <f t="shared" si="72"/>
        <v>5.0124953502042802</v>
      </c>
      <c r="AR258" s="3" t="s">
        <v>421</v>
      </c>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row>
    <row r="259" spans="1:95" ht="15" hidden="1" customHeight="1" outlineLevel="2">
      <c r="A259" s="97"/>
      <c r="B259" s="97"/>
      <c r="C259" s="111"/>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3"/>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row>
    <row r="260" spans="1:95" ht="15" hidden="1" customHeight="1" outlineLevel="2">
      <c r="A260" s="97"/>
      <c r="B260" s="126" t="s">
        <v>161</v>
      </c>
      <c r="C260" s="97"/>
      <c r="D260" s="13" t="s">
        <v>162</v>
      </c>
      <c r="E260" s="14">
        <v>45</v>
      </c>
      <c r="F260" s="15">
        <v>46</v>
      </c>
      <c r="G260" s="14">
        <v>47</v>
      </c>
      <c r="H260" s="15">
        <v>48</v>
      </c>
      <c r="I260" s="14">
        <v>49</v>
      </c>
      <c r="J260" s="15">
        <v>50</v>
      </c>
      <c r="K260" s="14">
        <v>51</v>
      </c>
      <c r="L260" s="15">
        <v>52</v>
      </c>
      <c r="M260" s="14">
        <v>53</v>
      </c>
      <c r="N260" s="15">
        <v>54</v>
      </c>
      <c r="O260" s="14">
        <v>55</v>
      </c>
      <c r="P260" s="15">
        <v>56</v>
      </c>
      <c r="Q260" s="14">
        <v>57</v>
      </c>
      <c r="R260" s="15">
        <v>58</v>
      </c>
      <c r="S260" s="14">
        <v>59</v>
      </c>
      <c r="T260" s="15">
        <v>60</v>
      </c>
      <c r="U260" s="14">
        <v>61</v>
      </c>
      <c r="V260" s="15">
        <v>62</v>
      </c>
      <c r="W260" s="14">
        <v>63</v>
      </c>
      <c r="X260" s="15">
        <v>64</v>
      </c>
      <c r="Y260" s="14">
        <v>65</v>
      </c>
      <c r="Z260" s="15">
        <v>66</v>
      </c>
      <c r="AA260" s="14">
        <v>67</v>
      </c>
      <c r="AB260" s="15">
        <v>68</v>
      </c>
      <c r="AC260" s="14">
        <v>69</v>
      </c>
      <c r="AD260" s="15">
        <v>70</v>
      </c>
      <c r="AE260" s="14">
        <v>71</v>
      </c>
      <c r="AF260" s="15">
        <v>72</v>
      </c>
      <c r="AG260" s="14">
        <v>73</v>
      </c>
      <c r="AH260" s="15">
        <v>74</v>
      </c>
      <c r="AI260" s="14">
        <v>75</v>
      </c>
      <c r="AJ260" s="15">
        <v>76</v>
      </c>
      <c r="AK260" s="14">
        <v>77</v>
      </c>
      <c r="AL260" s="15">
        <v>78</v>
      </c>
      <c r="AM260" s="14">
        <v>79</v>
      </c>
      <c r="AN260" s="15">
        <v>80</v>
      </c>
      <c r="AO260" s="14">
        <v>81</v>
      </c>
      <c r="AP260" s="15">
        <v>82</v>
      </c>
      <c r="AQ260" s="14">
        <v>83</v>
      </c>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row>
    <row r="261" spans="1:95" ht="15" hidden="1" customHeight="1" outlineLevel="2">
      <c r="A261" s="97"/>
      <c r="B261" s="126"/>
      <c r="C261" s="97"/>
      <c r="D261" s="13">
        <v>45</v>
      </c>
      <c r="E261" s="14">
        <v>46</v>
      </c>
      <c r="F261" s="13">
        <v>47</v>
      </c>
      <c r="G261" s="14">
        <v>48</v>
      </c>
      <c r="H261" s="13">
        <v>49</v>
      </c>
      <c r="I261" s="14">
        <v>50</v>
      </c>
      <c r="J261" s="13">
        <v>51</v>
      </c>
      <c r="K261" s="14">
        <v>52</v>
      </c>
      <c r="L261" s="13">
        <v>53</v>
      </c>
      <c r="M261" s="14">
        <v>54</v>
      </c>
      <c r="N261" s="13">
        <v>55</v>
      </c>
      <c r="O261" s="14">
        <v>56</v>
      </c>
      <c r="P261" s="13">
        <v>57</v>
      </c>
      <c r="Q261" s="14">
        <v>58</v>
      </c>
      <c r="R261" s="13">
        <v>59</v>
      </c>
      <c r="S261" s="14">
        <v>60</v>
      </c>
      <c r="T261" s="13">
        <v>61</v>
      </c>
      <c r="U261" s="14">
        <v>62</v>
      </c>
      <c r="V261" s="13">
        <v>63</v>
      </c>
      <c r="W261" s="14">
        <v>64</v>
      </c>
      <c r="X261" s="13">
        <v>65</v>
      </c>
      <c r="Y261" s="14">
        <v>66</v>
      </c>
      <c r="Z261" s="13">
        <v>67</v>
      </c>
      <c r="AA261" s="14">
        <v>68</v>
      </c>
      <c r="AB261" s="13">
        <v>69</v>
      </c>
      <c r="AC261" s="14">
        <v>70</v>
      </c>
      <c r="AD261" s="13">
        <v>71</v>
      </c>
      <c r="AE261" s="14">
        <v>72</v>
      </c>
      <c r="AF261" s="13">
        <v>73</v>
      </c>
      <c r="AG261" s="14">
        <v>74</v>
      </c>
      <c r="AH261" s="13">
        <v>75</v>
      </c>
      <c r="AI261" s="14">
        <v>76</v>
      </c>
      <c r="AJ261" s="13">
        <v>77</v>
      </c>
      <c r="AK261" s="14">
        <v>78</v>
      </c>
      <c r="AL261" s="13">
        <v>79</v>
      </c>
      <c r="AM261" s="14">
        <v>80</v>
      </c>
      <c r="AN261" s="13">
        <v>81</v>
      </c>
      <c r="AO261" s="14">
        <v>82</v>
      </c>
      <c r="AP261" s="13">
        <v>83</v>
      </c>
      <c r="AQ261" s="14">
        <v>84</v>
      </c>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row>
    <row r="262" spans="1:95" ht="15" hidden="1" customHeight="1" outlineLevel="2">
      <c r="A262" s="97"/>
      <c r="B262" s="97" t="s">
        <v>317</v>
      </c>
      <c r="C262" s="97"/>
      <c r="D262" s="90">
        <f t="shared" ref="D262:AQ262" si="73">Stroke_values_road_1dB*Road_mask +Stroke_values_rail_1dB*Rail_mask +Stroke_values_aviation_1dB*Aviation_mask</f>
        <v>0</v>
      </c>
      <c r="E262" s="90">
        <f t="shared" si="73"/>
        <v>0</v>
      </c>
      <c r="F262" s="90">
        <f t="shared" si="73"/>
        <v>0</v>
      </c>
      <c r="G262" s="90">
        <f>Stroke_values_road_1dB*Road_mask +Stroke_values_rail_1dB*Rail_mask +Stroke_values_aviation_1dB*Aviation_mask</f>
        <v>2.2832115388980325</v>
      </c>
      <c r="H262" s="90">
        <f t="shared" si="73"/>
        <v>2.2889408996969767</v>
      </c>
      <c r="I262" s="90">
        <f t="shared" si="73"/>
        <v>2.2946865155608926</v>
      </c>
      <c r="J262" s="90">
        <f t="shared" si="73"/>
        <v>2.3004484388281226</v>
      </c>
      <c r="K262" s="90">
        <f t="shared" si="73"/>
        <v>2.3062267220256496</v>
      </c>
      <c r="L262" s="90">
        <f t="shared" si="73"/>
        <v>2.3120214178699552</v>
      </c>
      <c r="M262" s="90">
        <f t="shared" si="73"/>
        <v>2.3178325792678374</v>
      </c>
      <c r="N262" s="90">
        <f t="shared" si="73"/>
        <v>2.3236602593169988</v>
      </c>
      <c r="O262" s="90">
        <f t="shared" si="73"/>
        <v>2.3295045113069328</v>
      </c>
      <c r="P262" s="90">
        <f t="shared" si="73"/>
        <v>2.3353653887197585</v>
      </c>
      <c r="Q262" s="90">
        <f t="shared" si="73"/>
        <v>2.3412429452306451</v>
      </c>
      <c r="R262" s="90">
        <f t="shared" si="73"/>
        <v>2.3471372347089847</v>
      </c>
      <c r="S262" s="90">
        <f t="shared" si="73"/>
        <v>2.3530483112189167</v>
      </c>
      <c r="T262" s="90">
        <f t="shared" si="73"/>
        <v>2.3589762290201088</v>
      </c>
      <c r="U262" s="90">
        <f t="shared" si="73"/>
        <v>2.3649210425686777</v>
      </c>
      <c r="V262" s="90">
        <f t="shared" si="73"/>
        <v>2.3708828065176974</v>
      </c>
      <c r="W262" s="90">
        <f t="shared" si="73"/>
        <v>2.3768615757182827</v>
      </c>
      <c r="X262" s="90">
        <f t="shared" si="73"/>
        <v>2.3828574052203382</v>
      </c>
      <c r="Y262" s="90">
        <f t="shared" si="73"/>
        <v>2.3888703502728776</v>
      </c>
      <c r="Z262" s="90">
        <f t="shared" si="73"/>
        <v>2.3949004663256166</v>
      </c>
      <c r="AA262" s="90">
        <f t="shared" si="73"/>
        <v>2.4009478090288212</v>
      </c>
      <c r="AB262" s="90">
        <f t="shared" si="73"/>
        <v>2.4070124342352113</v>
      </c>
      <c r="AC262" s="90">
        <f t="shared" si="73"/>
        <v>2.4130943979997079</v>
      </c>
      <c r="AD262" s="90">
        <f t="shared" si="73"/>
        <v>2.419193756580746</v>
      </c>
      <c r="AE262" s="90">
        <f t="shared" si="73"/>
        <v>2.4253105664411687</v>
      </c>
      <c r="AF262" s="90">
        <f t="shared" si="73"/>
        <v>2.431444884248839</v>
      </c>
      <c r="AG262" s="90">
        <f t="shared" si="73"/>
        <v>2.4375967668774448</v>
      </c>
      <c r="AH262" s="90">
        <f t="shared" si="73"/>
        <v>2.4437662714075006</v>
      </c>
      <c r="AI262" s="90">
        <f t="shared" si="73"/>
        <v>2.4499534551266842</v>
      </c>
      <c r="AJ262" s="90">
        <f t="shared" si="73"/>
        <v>2.4499534551266842</v>
      </c>
      <c r="AK262" s="90">
        <f t="shared" si="73"/>
        <v>2.4499534551266842</v>
      </c>
      <c r="AL262" s="90">
        <f t="shared" si="73"/>
        <v>2.4499534551266842</v>
      </c>
      <c r="AM262" s="90">
        <f t="shared" si="73"/>
        <v>2.4499534551266842</v>
      </c>
      <c r="AN262" s="90">
        <f t="shared" si="73"/>
        <v>2.4499534551266842</v>
      </c>
      <c r="AO262" s="90">
        <f t="shared" si="73"/>
        <v>2.4499534551266842</v>
      </c>
      <c r="AP262" s="90">
        <f t="shared" si="73"/>
        <v>2.4499534551266842</v>
      </c>
      <c r="AQ262" s="90">
        <f t="shared" si="73"/>
        <v>2.4499534551266842</v>
      </c>
      <c r="AR262" s="3" t="s">
        <v>422</v>
      </c>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row>
    <row r="263" spans="1:95" ht="15" hidden="1" customHeight="1" outlineLevel="2">
      <c r="A263" s="97"/>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row>
    <row r="264" spans="1:95" ht="15" hidden="1" customHeight="1" outlineLevel="2">
      <c r="A264" s="97"/>
      <c r="C264" s="127" t="s">
        <v>319</v>
      </c>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3"/>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row>
    <row r="265" spans="1:95" ht="15" hidden="1" customHeight="1" outlineLevel="2">
      <c r="A265" s="97"/>
      <c r="B265" s="97" t="s">
        <v>320</v>
      </c>
      <c r="C265" s="127" t="s">
        <v>80</v>
      </c>
      <c r="D265" s="90">
        <v>1</v>
      </c>
      <c r="E265" s="90">
        <v>1</v>
      </c>
      <c r="F265" s="90">
        <v>0.5</v>
      </c>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3" t="s">
        <v>423</v>
      </c>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c r="CJ265" s="97"/>
      <c r="CK265" s="97"/>
      <c r="CL265" s="97"/>
      <c r="CM265" s="97"/>
      <c r="CN265" s="97"/>
      <c r="CO265" s="97"/>
      <c r="CP265" s="97"/>
      <c r="CQ265" s="97"/>
    </row>
    <row r="266" spans="1:95" ht="15" hidden="1" customHeight="1" outlineLevel="2">
      <c r="A266" s="97"/>
      <c r="B266" s="97" t="s">
        <v>322</v>
      </c>
      <c r="C266" s="127" t="s">
        <v>81</v>
      </c>
      <c r="D266" s="90"/>
      <c r="E266" s="90"/>
      <c r="F266" s="90">
        <v>0.5</v>
      </c>
      <c r="G266" s="90">
        <v>1</v>
      </c>
      <c r="H266" s="90">
        <v>1</v>
      </c>
      <c r="I266" s="90">
        <v>0.5</v>
      </c>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3" t="s">
        <v>424</v>
      </c>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s="97"/>
      <c r="CJ266" s="97"/>
      <c r="CK266" s="97"/>
      <c r="CL266" s="97"/>
      <c r="CM266" s="97"/>
      <c r="CN266" s="97"/>
      <c r="CO266" s="97"/>
      <c r="CP266" s="97"/>
      <c r="CQ266" s="97"/>
    </row>
    <row r="267" spans="1:95" ht="15" hidden="1" customHeight="1" outlineLevel="2">
      <c r="A267" s="97"/>
      <c r="B267" s="97" t="s">
        <v>324</v>
      </c>
      <c r="C267" s="127" t="s">
        <v>82</v>
      </c>
      <c r="D267" s="90"/>
      <c r="E267" s="90"/>
      <c r="F267" s="90"/>
      <c r="G267" s="90"/>
      <c r="H267" s="90"/>
      <c r="I267" s="90">
        <v>0.5</v>
      </c>
      <c r="J267" s="90">
        <v>1</v>
      </c>
      <c r="K267" s="90">
        <v>1</v>
      </c>
      <c r="L267" s="90">
        <v>0.5</v>
      </c>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3" t="s">
        <v>425</v>
      </c>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c r="CG267" s="97"/>
      <c r="CH267" s="97"/>
      <c r="CI267" s="97"/>
      <c r="CJ267" s="97"/>
      <c r="CK267" s="97"/>
      <c r="CL267" s="97"/>
      <c r="CM267" s="97"/>
      <c r="CN267" s="97"/>
      <c r="CO267" s="97"/>
      <c r="CP267" s="97"/>
      <c r="CQ267" s="97"/>
    </row>
    <row r="268" spans="1:95" ht="15" hidden="1" customHeight="1" outlineLevel="2">
      <c r="A268" s="97"/>
      <c r="B268" s="97"/>
      <c r="C268" s="127" t="s">
        <v>83</v>
      </c>
      <c r="D268" s="90"/>
      <c r="E268" s="90"/>
      <c r="F268" s="90"/>
      <c r="G268" s="90"/>
      <c r="H268" s="90"/>
      <c r="I268" s="90"/>
      <c r="J268" s="90"/>
      <c r="K268" s="90"/>
      <c r="L268" s="90">
        <v>0.5</v>
      </c>
      <c r="M268" s="90">
        <v>1</v>
      </c>
      <c r="N268" s="90">
        <v>1</v>
      </c>
      <c r="O268" s="90">
        <v>0.5</v>
      </c>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3" t="s">
        <v>426</v>
      </c>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c r="CG268" s="97"/>
      <c r="CH268" s="97"/>
      <c r="CI268" s="97"/>
      <c r="CJ268" s="97"/>
      <c r="CK268" s="97"/>
      <c r="CL268" s="97"/>
      <c r="CM268" s="97"/>
      <c r="CN268" s="97"/>
      <c r="CO268" s="97"/>
      <c r="CP268" s="97"/>
      <c r="CQ268" s="97"/>
    </row>
    <row r="269" spans="1:95" ht="15" hidden="1" customHeight="1" outlineLevel="2">
      <c r="A269" s="97"/>
      <c r="B269" s="97"/>
      <c r="C269" s="127" t="s">
        <v>84</v>
      </c>
      <c r="D269" s="90"/>
      <c r="E269" s="90"/>
      <c r="F269" s="90"/>
      <c r="G269" s="90"/>
      <c r="H269" s="90"/>
      <c r="I269" s="90"/>
      <c r="J269" s="90"/>
      <c r="K269" s="90"/>
      <c r="L269" s="90"/>
      <c r="M269" s="90"/>
      <c r="N269" s="90"/>
      <c r="O269" s="90">
        <v>0.5</v>
      </c>
      <c r="P269" s="90">
        <v>1</v>
      </c>
      <c r="Q269" s="90">
        <v>1</v>
      </c>
      <c r="R269" s="90">
        <v>0.5</v>
      </c>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3" t="s">
        <v>427</v>
      </c>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c r="CG269" s="97"/>
      <c r="CH269" s="97"/>
      <c r="CI269" s="97"/>
      <c r="CJ269" s="97"/>
      <c r="CK269" s="97"/>
      <c r="CL269" s="97"/>
      <c r="CM269" s="97"/>
      <c r="CN269" s="97"/>
      <c r="CO269" s="97"/>
      <c r="CP269" s="97"/>
      <c r="CQ269" s="97"/>
    </row>
    <row r="270" spans="1:95" ht="15" hidden="1" customHeight="1" outlineLevel="2">
      <c r="A270" s="97"/>
      <c r="B270" s="97"/>
      <c r="C270" s="127" t="s">
        <v>85</v>
      </c>
      <c r="D270" s="90"/>
      <c r="E270" s="90"/>
      <c r="F270" s="90"/>
      <c r="G270" s="90"/>
      <c r="H270" s="90"/>
      <c r="I270" s="90"/>
      <c r="J270" s="90"/>
      <c r="K270" s="90"/>
      <c r="L270" s="90"/>
      <c r="M270" s="90"/>
      <c r="N270" s="90"/>
      <c r="O270" s="90"/>
      <c r="P270" s="90"/>
      <c r="Q270" s="90"/>
      <c r="R270" s="90">
        <v>0.5</v>
      </c>
      <c r="S270" s="90">
        <v>1</v>
      </c>
      <c r="T270" s="90">
        <v>1</v>
      </c>
      <c r="U270" s="90">
        <v>0.5</v>
      </c>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3" t="s">
        <v>428</v>
      </c>
      <c r="AS270" s="97"/>
      <c r="AT270" s="97"/>
      <c r="AU270" s="97"/>
      <c r="AV270" s="97"/>
      <c r="AW270" s="97"/>
      <c r="AX270" s="97"/>
      <c r="AY270" s="97"/>
      <c r="AZ270" s="97"/>
      <c r="BA270" s="97"/>
      <c r="BB270" s="97"/>
      <c r="BC270" s="97"/>
      <c r="BD270" s="97"/>
      <c r="BE270" s="97"/>
      <c r="BF270" s="97"/>
      <c r="BG270" s="97"/>
      <c r="BH270" s="97"/>
      <c r="BI270" s="97"/>
      <c r="BJ270" s="97"/>
      <c r="BK270" s="97"/>
      <c r="BL270" s="97"/>
      <c r="BM270" s="97"/>
      <c r="BN270" s="97"/>
      <c r="BO270" s="97"/>
      <c r="BP270" s="97"/>
      <c r="BQ270" s="97"/>
      <c r="BR270" s="97"/>
      <c r="BS270" s="97"/>
      <c r="BT270" s="97"/>
      <c r="BU270" s="97"/>
      <c r="BV270" s="97"/>
      <c r="BW270" s="97"/>
      <c r="BX270" s="97"/>
      <c r="BY270" s="97"/>
      <c r="BZ270" s="97"/>
      <c r="CA270" s="97"/>
      <c r="CB270" s="97"/>
      <c r="CC270" s="97"/>
      <c r="CD270" s="97"/>
      <c r="CE270" s="97"/>
      <c r="CF270" s="97"/>
      <c r="CG270" s="97"/>
      <c r="CH270" s="97"/>
      <c r="CI270" s="97"/>
      <c r="CJ270" s="97"/>
      <c r="CK270" s="97"/>
      <c r="CL270" s="97"/>
      <c r="CM270" s="97"/>
      <c r="CN270" s="97"/>
      <c r="CO270" s="97"/>
      <c r="CP270" s="97"/>
      <c r="CQ270" s="97"/>
    </row>
    <row r="271" spans="1:95" ht="15" hidden="1" customHeight="1" outlineLevel="2">
      <c r="A271" s="97"/>
      <c r="B271" s="97"/>
      <c r="C271" s="127" t="s">
        <v>86</v>
      </c>
      <c r="D271" s="90"/>
      <c r="E271" s="90"/>
      <c r="F271" s="90"/>
      <c r="G271" s="90"/>
      <c r="H271" s="90"/>
      <c r="I271" s="90"/>
      <c r="J271" s="90"/>
      <c r="K271" s="90"/>
      <c r="L271" s="90"/>
      <c r="M271" s="90"/>
      <c r="N271" s="90"/>
      <c r="O271" s="90"/>
      <c r="P271" s="90"/>
      <c r="Q271" s="90"/>
      <c r="R271" s="90"/>
      <c r="S271" s="90"/>
      <c r="T271" s="90"/>
      <c r="U271" s="90">
        <v>0.5</v>
      </c>
      <c r="V271" s="90">
        <v>1</v>
      </c>
      <c r="W271" s="90">
        <v>1</v>
      </c>
      <c r="X271" s="90">
        <v>0.5</v>
      </c>
      <c r="Y271" s="90"/>
      <c r="Z271" s="90"/>
      <c r="AA271" s="90"/>
      <c r="AB271" s="90"/>
      <c r="AC271" s="90"/>
      <c r="AD271" s="90"/>
      <c r="AE271" s="90"/>
      <c r="AF271" s="90"/>
      <c r="AG271" s="90"/>
      <c r="AH271" s="90"/>
      <c r="AI271" s="90"/>
      <c r="AJ271" s="90"/>
      <c r="AK271" s="90"/>
      <c r="AL271" s="90"/>
      <c r="AM271" s="90"/>
      <c r="AN271" s="90"/>
      <c r="AO271" s="90"/>
      <c r="AP271" s="90"/>
      <c r="AQ271" s="90"/>
      <c r="AR271" s="3" t="s">
        <v>429</v>
      </c>
      <c r="AS271" s="97"/>
      <c r="AT271" s="97"/>
      <c r="AU271" s="97"/>
      <c r="AV271" s="97"/>
      <c r="AW271" s="97"/>
      <c r="AX271" s="97"/>
      <c r="AY271" s="97"/>
      <c r="AZ271" s="97"/>
      <c r="BA271" s="97"/>
      <c r="BB271" s="97"/>
      <c r="BC271" s="97"/>
      <c r="BD271" s="97"/>
      <c r="BE271" s="97"/>
      <c r="BF271" s="97"/>
      <c r="BG271" s="97"/>
      <c r="BH271" s="97"/>
      <c r="BI271" s="97"/>
      <c r="BJ271" s="97"/>
      <c r="BK271" s="97"/>
      <c r="BL271" s="97"/>
      <c r="BM271" s="97"/>
      <c r="BN271" s="97"/>
      <c r="BO271" s="97"/>
      <c r="BP271" s="97"/>
      <c r="BQ271" s="97"/>
      <c r="BR271" s="97"/>
      <c r="BS271" s="97"/>
      <c r="BT271" s="97"/>
      <c r="BU271" s="97"/>
      <c r="BV271" s="97"/>
      <c r="BW271" s="97"/>
      <c r="BX271" s="97"/>
      <c r="BY271" s="97"/>
      <c r="BZ271" s="97"/>
      <c r="CA271" s="97"/>
      <c r="CB271" s="97"/>
      <c r="CC271" s="97"/>
      <c r="CD271" s="97"/>
      <c r="CE271" s="97"/>
      <c r="CF271" s="97"/>
      <c r="CG271" s="97"/>
      <c r="CH271" s="97"/>
      <c r="CI271" s="97"/>
      <c r="CJ271" s="97"/>
      <c r="CK271" s="97"/>
      <c r="CL271" s="97"/>
      <c r="CM271" s="97"/>
      <c r="CN271" s="97"/>
      <c r="CO271" s="97"/>
      <c r="CP271" s="97"/>
      <c r="CQ271" s="97"/>
    </row>
    <row r="272" spans="1:95" ht="15" hidden="1" customHeight="1" outlineLevel="2">
      <c r="A272" s="97"/>
      <c r="B272" s="97"/>
      <c r="C272" s="127" t="s">
        <v>87</v>
      </c>
      <c r="D272" s="90"/>
      <c r="E272" s="90"/>
      <c r="F272" s="90"/>
      <c r="G272" s="90"/>
      <c r="H272" s="90"/>
      <c r="I272" s="90"/>
      <c r="J272" s="90"/>
      <c r="K272" s="90"/>
      <c r="L272" s="90"/>
      <c r="M272" s="90"/>
      <c r="N272" s="90"/>
      <c r="O272" s="90"/>
      <c r="P272" s="90"/>
      <c r="Q272" s="90"/>
      <c r="R272" s="90"/>
      <c r="S272" s="90"/>
      <c r="T272" s="90"/>
      <c r="U272" s="90"/>
      <c r="V272" s="90"/>
      <c r="W272" s="90"/>
      <c r="X272" s="90">
        <v>0.5</v>
      </c>
      <c r="Y272" s="90">
        <v>1</v>
      </c>
      <c r="Z272" s="90">
        <v>1</v>
      </c>
      <c r="AA272" s="90">
        <v>0.5</v>
      </c>
      <c r="AB272" s="90"/>
      <c r="AC272" s="90"/>
      <c r="AD272" s="90"/>
      <c r="AE272" s="90"/>
      <c r="AF272" s="90"/>
      <c r="AG272" s="90"/>
      <c r="AH272" s="90"/>
      <c r="AI272" s="90"/>
      <c r="AJ272" s="90"/>
      <c r="AK272" s="90"/>
      <c r="AL272" s="90"/>
      <c r="AM272" s="90"/>
      <c r="AN272" s="90"/>
      <c r="AO272" s="90"/>
      <c r="AP272" s="90"/>
      <c r="AQ272" s="90"/>
      <c r="AR272" s="3" t="s">
        <v>430</v>
      </c>
      <c r="AS272" s="97"/>
      <c r="AT272" s="97"/>
      <c r="AU272" s="97"/>
      <c r="AV272" s="97"/>
      <c r="AW272" s="97"/>
      <c r="AX272" s="97"/>
      <c r="AY272" s="97"/>
      <c r="AZ272" s="97"/>
      <c r="BA272" s="97"/>
      <c r="BB272" s="97"/>
      <c r="BC272" s="97"/>
      <c r="BD272" s="97"/>
      <c r="BE272" s="97"/>
      <c r="BF272" s="97"/>
      <c r="BG272" s="97"/>
      <c r="BH272" s="97"/>
      <c r="BI272" s="97"/>
      <c r="BJ272" s="97"/>
      <c r="BK272" s="97"/>
      <c r="BL272" s="97"/>
      <c r="BM272" s="97"/>
      <c r="BN272" s="97"/>
      <c r="BO272" s="97"/>
      <c r="BP272" s="97"/>
      <c r="BQ272" s="97"/>
      <c r="BR272" s="97"/>
      <c r="BS272" s="97"/>
      <c r="BT272" s="97"/>
      <c r="BU272" s="97"/>
      <c r="BV272" s="97"/>
      <c r="BW272" s="97"/>
      <c r="BX272" s="97"/>
      <c r="BY272" s="97"/>
      <c r="BZ272" s="97"/>
      <c r="CA272" s="97"/>
      <c r="CB272" s="97"/>
      <c r="CC272" s="97"/>
      <c r="CD272" s="97"/>
      <c r="CE272" s="97"/>
      <c r="CF272" s="97"/>
      <c r="CG272" s="97"/>
      <c r="CH272" s="97"/>
      <c r="CI272" s="97"/>
      <c r="CJ272" s="97"/>
      <c r="CK272" s="97"/>
      <c r="CL272" s="97"/>
      <c r="CM272" s="97"/>
      <c r="CN272" s="97"/>
      <c r="CO272" s="97"/>
      <c r="CP272" s="97"/>
      <c r="CQ272" s="97"/>
    </row>
    <row r="273" spans="1:95" ht="15" hidden="1" customHeight="1" outlineLevel="2">
      <c r="A273" s="97"/>
      <c r="B273" s="97"/>
      <c r="C273" s="127" t="s">
        <v>88</v>
      </c>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v>0.5</v>
      </c>
      <c r="AB273" s="90">
        <v>1</v>
      </c>
      <c r="AC273" s="90">
        <v>1</v>
      </c>
      <c r="AD273" s="90">
        <v>0.5</v>
      </c>
      <c r="AE273" s="90"/>
      <c r="AF273" s="90"/>
      <c r="AG273" s="90"/>
      <c r="AH273" s="90"/>
      <c r="AI273" s="90"/>
      <c r="AJ273" s="90"/>
      <c r="AK273" s="90"/>
      <c r="AL273" s="90"/>
      <c r="AM273" s="90"/>
      <c r="AN273" s="90"/>
      <c r="AO273" s="90"/>
      <c r="AP273" s="90"/>
      <c r="AQ273" s="90"/>
      <c r="AR273" s="3" t="s">
        <v>431</v>
      </c>
      <c r="AS273" s="97"/>
      <c r="AT273" s="97"/>
      <c r="AU273" s="97"/>
      <c r="AV273" s="97"/>
      <c r="AW273" s="97"/>
      <c r="AX273" s="97"/>
      <c r="AY273" s="97"/>
      <c r="AZ273" s="97"/>
      <c r="BA273" s="97"/>
      <c r="BB273" s="97"/>
      <c r="BC273" s="97"/>
      <c r="BD273" s="97"/>
      <c r="BE273" s="97"/>
      <c r="BF273" s="97"/>
      <c r="BG273" s="97"/>
      <c r="BH273" s="97"/>
      <c r="BI273" s="97"/>
      <c r="BJ273" s="97"/>
      <c r="BK273" s="97"/>
      <c r="BL273" s="97"/>
      <c r="BM273" s="97"/>
      <c r="BN273" s="97"/>
      <c r="BO273" s="97"/>
      <c r="BP273" s="97"/>
      <c r="BQ273" s="97"/>
      <c r="BR273" s="97"/>
      <c r="BS273" s="97"/>
      <c r="BT273" s="97"/>
      <c r="BU273" s="97"/>
      <c r="BV273" s="97"/>
      <c r="BW273" s="97"/>
      <c r="BX273" s="97"/>
      <c r="BY273" s="97"/>
      <c r="BZ273" s="97"/>
      <c r="CA273" s="97"/>
      <c r="CB273" s="97"/>
      <c r="CC273" s="97"/>
      <c r="CD273" s="97"/>
      <c r="CE273" s="97"/>
      <c r="CF273" s="97"/>
      <c r="CG273" s="97"/>
      <c r="CH273" s="97"/>
      <c r="CI273" s="97"/>
      <c r="CJ273" s="97"/>
      <c r="CK273" s="97"/>
      <c r="CL273" s="97"/>
      <c r="CM273" s="97"/>
      <c r="CN273" s="97"/>
      <c r="CO273" s="97"/>
      <c r="CP273" s="97"/>
      <c r="CQ273" s="97"/>
    </row>
    <row r="274" spans="1:95" ht="15" hidden="1" customHeight="1" outlineLevel="2">
      <c r="A274" s="97"/>
      <c r="B274" s="97"/>
      <c r="C274" s="127" t="s">
        <v>89</v>
      </c>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v>0.5</v>
      </c>
      <c r="AE274" s="90">
        <v>1</v>
      </c>
      <c r="AF274" s="90">
        <v>1</v>
      </c>
      <c r="AG274" s="90">
        <v>0.5</v>
      </c>
      <c r="AH274" s="90"/>
      <c r="AI274" s="90"/>
      <c r="AJ274" s="90"/>
      <c r="AK274" s="90"/>
      <c r="AL274" s="90"/>
      <c r="AM274" s="90"/>
      <c r="AN274" s="90"/>
      <c r="AO274" s="90"/>
      <c r="AP274" s="90"/>
      <c r="AQ274" s="90"/>
      <c r="AR274" s="3" t="s">
        <v>432</v>
      </c>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c r="CB274" s="97"/>
      <c r="CC274" s="97"/>
      <c r="CD274" s="97"/>
      <c r="CE274" s="97"/>
      <c r="CF274" s="97"/>
      <c r="CG274" s="97"/>
      <c r="CH274" s="97"/>
      <c r="CI274" s="97"/>
      <c r="CJ274" s="97"/>
      <c r="CK274" s="97"/>
      <c r="CL274" s="97"/>
      <c r="CM274" s="97"/>
      <c r="CN274" s="97"/>
      <c r="CO274" s="97"/>
      <c r="CP274" s="97"/>
      <c r="CQ274" s="97"/>
    </row>
    <row r="275" spans="1:95" ht="15" hidden="1" customHeight="1" outlineLevel="2">
      <c r="A275" s="97"/>
      <c r="B275" s="97"/>
      <c r="C275" s="127" t="s">
        <v>90</v>
      </c>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v>0.5</v>
      </c>
      <c r="AH275" s="90">
        <v>1</v>
      </c>
      <c r="AI275" s="90">
        <v>1</v>
      </c>
      <c r="AJ275" s="90">
        <v>0.5</v>
      </c>
      <c r="AK275" s="90"/>
      <c r="AL275" s="90"/>
      <c r="AM275" s="90"/>
      <c r="AN275" s="90"/>
      <c r="AO275" s="90"/>
      <c r="AP275" s="90"/>
      <c r="AQ275" s="90"/>
      <c r="AR275" s="3" t="s">
        <v>433</v>
      </c>
      <c r="AS275" s="97"/>
      <c r="AT275" s="97"/>
      <c r="AU275" s="97"/>
      <c r="AV275" s="97"/>
      <c r="AW275" s="97"/>
      <c r="AX275" s="97"/>
      <c r="AY275" s="97"/>
      <c r="AZ275" s="97"/>
      <c r="BA275" s="97"/>
      <c r="BB275" s="97"/>
      <c r="BC275" s="97"/>
      <c r="BD275" s="97"/>
      <c r="BE275" s="97"/>
      <c r="BF275" s="97"/>
      <c r="BG275" s="97"/>
      <c r="BH275" s="97"/>
      <c r="BI275" s="97"/>
      <c r="BJ275" s="97"/>
      <c r="BK275" s="97"/>
      <c r="BL275" s="97"/>
      <c r="BM275" s="97"/>
      <c r="BN275" s="97"/>
      <c r="BO275" s="97"/>
      <c r="BP275" s="97"/>
      <c r="BQ275" s="97"/>
      <c r="BR275" s="97"/>
      <c r="BS275" s="97"/>
      <c r="BT275" s="97"/>
      <c r="BU275" s="97"/>
      <c r="BV275" s="97"/>
      <c r="BW275" s="97"/>
      <c r="BX275" s="97"/>
      <c r="BY275" s="97"/>
      <c r="BZ275" s="97"/>
      <c r="CA275" s="97"/>
      <c r="CB275" s="97"/>
      <c r="CC275" s="97"/>
      <c r="CD275" s="97"/>
      <c r="CE275" s="97"/>
      <c r="CF275" s="97"/>
      <c r="CG275" s="97"/>
      <c r="CH275" s="97"/>
      <c r="CI275" s="97"/>
      <c r="CJ275" s="97"/>
      <c r="CK275" s="97"/>
      <c r="CL275" s="97"/>
      <c r="CM275" s="97"/>
      <c r="CN275" s="97"/>
      <c r="CO275" s="97"/>
      <c r="CP275" s="97"/>
      <c r="CQ275" s="97"/>
    </row>
    <row r="276" spans="1:95" ht="15" hidden="1" customHeight="1" outlineLevel="2">
      <c r="A276" s="97"/>
      <c r="B276" s="97"/>
      <c r="C276" s="127" t="s">
        <v>91</v>
      </c>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v>0.5</v>
      </c>
      <c r="AK276" s="90">
        <v>1</v>
      </c>
      <c r="AL276" s="90">
        <v>1</v>
      </c>
      <c r="AM276" s="90">
        <v>0.5</v>
      </c>
      <c r="AN276" s="90"/>
      <c r="AO276" s="90"/>
      <c r="AP276" s="90"/>
      <c r="AQ276" s="90"/>
      <c r="AR276" s="3" t="s">
        <v>434</v>
      </c>
      <c r="AS276" s="97"/>
      <c r="AT276" s="97"/>
      <c r="AU276" s="97"/>
      <c r="AV276" s="97"/>
      <c r="AW276" s="97"/>
      <c r="AX276" s="97"/>
      <c r="AY276" s="97"/>
      <c r="AZ276" s="97"/>
      <c r="BA276" s="97"/>
      <c r="BB276" s="97"/>
      <c r="BC276" s="97"/>
      <c r="BD276" s="97"/>
      <c r="BE276" s="97"/>
      <c r="BF276" s="97"/>
      <c r="BG276" s="97"/>
      <c r="BH276" s="97"/>
      <c r="BI276" s="97"/>
      <c r="BJ276" s="97"/>
      <c r="BK276" s="97"/>
      <c r="BL276" s="97"/>
      <c r="BM276" s="97"/>
      <c r="BN276" s="97"/>
      <c r="BO276" s="97"/>
      <c r="BP276" s="97"/>
      <c r="BQ276" s="97"/>
      <c r="BR276" s="97"/>
      <c r="BS276" s="97"/>
      <c r="BT276" s="97"/>
      <c r="BU276" s="97"/>
      <c r="BV276" s="97"/>
      <c r="BW276" s="97"/>
      <c r="BX276" s="97"/>
      <c r="BY276" s="97"/>
      <c r="BZ276" s="97"/>
      <c r="CA276" s="97"/>
      <c r="CB276" s="97"/>
      <c r="CC276" s="97"/>
      <c r="CD276" s="97"/>
      <c r="CE276" s="97"/>
      <c r="CF276" s="97"/>
      <c r="CG276" s="97"/>
      <c r="CH276" s="97"/>
      <c r="CI276" s="97"/>
      <c r="CJ276" s="97"/>
      <c r="CK276" s="97"/>
      <c r="CL276" s="97"/>
      <c r="CM276" s="97"/>
      <c r="CN276" s="97"/>
      <c r="CO276" s="97"/>
      <c r="CP276" s="97"/>
      <c r="CQ276" s="97"/>
    </row>
    <row r="277" spans="1:95" ht="15" hidden="1" customHeight="1" outlineLevel="2">
      <c r="A277" s="97"/>
      <c r="B277" s="97"/>
      <c r="C277" s="127" t="s">
        <v>92</v>
      </c>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v>0.5</v>
      </c>
      <c r="AN277" s="90">
        <v>1</v>
      </c>
      <c r="AO277" s="90">
        <v>1</v>
      </c>
      <c r="AP277" s="90">
        <v>0.5</v>
      </c>
      <c r="AQ277" s="90"/>
      <c r="AR277" s="3" t="s">
        <v>435</v>
      </c>
      <c r="AS277" s="97"/>
      <c r="AT277" s="97"/>
      <c r="AU277" s="97"/>
      <c r="AV277" s="97"/>
      <c r="AW277" s="97"/>
      <c r="AX277" s="97"/>
      <c r="AY277" s="97"/>
      <c r="AZ277" s="97"/>
      <c r="BA277" s="97"/>
      <c r="BB277" s="97"/>
      <c r="BC277" s="97"/>
      <c r="BD277" s="97"/>
      <c r="BE277" s="97"/>
      <c r="BF277" s="97"/>
      <c r="BG277" s="97"/>
      <c r="BH277" s="97"/>
      <c r="BI277" s="97"/>
      <c r="BJ277" s="97"/>
      <c r="BK277" s="97"/>
      <c r="BL277" s="97"/>
      <c r="BM277" s="97"/>
      <c r="BN277" s="97"/>
      <c r="BO277" s="97"/>
      <c r="BP277" s="97"/>
      <c r="BQ277" s="97"/>
      <c r="BR277" s="97"/>
      <c r="BS277" s="97"/>
      <c r="BT277" s="97"/>
      <c r="BU277" s="97"/>
      <c r="BV277" s="97"/>
      <c r="BW277" s="97"/>
      <c r="BX277" s="97"/>
      <c r="BY277" s="97"/>
      <c r="BZ277" s="97"/>
      <c r="CA277" s="97"/>
      <c r="CB277" s="97"/>
      <c r="CC277" s="97"/>
      <c r="CD277" s="97"/>
      <c r="CE277" s="97"/>
      <c r="CF277" s="97"/>
      <c r="CG277" s="97"/>
      <c r="CH277" s="97"/>
      <c r="CI277" s="97"/>
      <c r="CJ277" s="97"/>
      <c r="CK277" s="97"/>
      <c r="CL277" s="97"/>
      <c r="CM277" s="97"/>
      <c r="CN277" s="97"/>
      <c r="CO277" s="97"/>
      <c r="CP277" s="97"/>
      <c r="CQ277" s="97"/>
    </row>
    <row r="278" spans="1:95" ht="15" hidden="1" customHeight="1" outlineLevel="2">
      <c r="A278" s="97"/>
      <c r="B278" s="17"/>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c r="BN278" s="97"/>
      <c r="BO278" s="97"/>
      <c r="BP278" s="97"/>
      <c r="BQ278" s="97"/>
      <c r="BR278" s="97"/>
      <c r="BS278" s="97"/>
      <c r="BT278" s="97"/>
      <c r="BU278" s="97"/>
      <c r="BV278" s="97"/>
      <c r="BW278" s="97"/>
      <c r="BX278" s="97"/>
      <c r="BY278" s="97"/>
      <c r="BZ278" s="97"/>
      <c r="CA278" s="97"/>
      <c r="CB278" s="97"/>
      <c r="CC278" s="97"/>
      <c r="CD278" s="97"/>
      <c r="CE278" s="97"/>
      <c r="CF278" s="97"/>
      <c r="CG278" s="97"/>
      <c r="CH278" s="97"/>
      <c r="CI278" s="97"/>
      <c r="CJ278" s="97"/>
      <c r="CK278" s="97"/>
      <c r="CL278" s="97"/>
      <c r="CM278" s="97"/>
      <c r="CN278" s="97"/>
      <c r="CO278" s="97"/>
      <c r="CP278" s="97"/>
      <c r="CQ278" s="97"/>
    </row>
    <row r="279" spans="1:95" ht="15" customHeight="1" outlineLevel="1" collapsed="1">
      <c r="A279" s="97"/>
      <c r="B279" s="126" t="s">
        <v>161</v>
      </c>
      <c r="C279" s="97"/>
      <c r="D279" s="19" t="s">
        <v>80</v>
      </c>
      <c r="E279" s="20" t="s">
        <v>81</v>
      </c>
      <c r="F279" s="20" t="s">
        <v>82</v>
      </c>
      <c r="G279" s="20" t="s">
        <v>83</v>
      </c>
      <c r="H279" s="20" t="s">
        <v>84</v>
      </c>
      <c r="I279" s="20" t="s">
        <v>85</v>
      </c>
      <c r="J279" s="20" t="s">
        <v>86</v>
      </c>
      <c r="K279" s="20" t="s">
        <v>87</v>
      </c>
      <c r="L279" s="20" t="s">
        <v>88</v>
      </c>
      <c r="M279" s="20" t="s">
        <v>89</v>
      </c>
      <c r="N279" s="20" t="s">
        <v>90</v>
      </c>
      <c r="O279" s="20" t="s">
        <v>91</v>
      </c>
      <c r="P279" s="20" t="s">
        <v>92</v>
      </c>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c r="CB279" s="97"/>
      <c r="CC279" s="97"/>
      <c r="CD279" s="97"/>
      <c r="CE279" s="97"/>
      <c r="CF279" s="97"/>
      <c r="CG279" s="97"/>
      <c r="CH279" s="97"/>
      <c r="CI279" s="97"/>
      <c r="CJ279" s="97"/>
      <c r="CK279" s="97"/>
      <c r="CL279" s="97"/>
      <c r="CM279" s="97"/>
      <c r="CN279" s="97"/>
      <c r="CO279" s="97"/>
      <c r="CP279" s="97"/>
      <c r="CQ279" s="97"/>
    </row>
    <row r="280" spans="1:95" ht="15" customHeight="1" outlineLevel="1">
      <c r="A280" s="97"/>
      <c r="B280" s="126"/>
      <c r="C280" s="97"/>
      <c r="D280" s="19" t="s">
        <v>81</v>
      </c>
      <c r="E280" s="20" t="s">
        <v>82</v>
      </c>
      <c r="F280" s="20" t="s">
        <v>83</v>
      </c>
      <c r="G280" s="20" t="s">
        <v>84</v>
      </c>
      <c r="H280" s="20" t="s">
        <v>85</v>
      </c>
      <c r="I280" s="20" t="s">
        <v>86</v>
      </c>
      <c r="J280" s="20" t="s">
        <v>87</v>
      </c>
      <c r="K280" s="20" t="s">
        <v>88</v>
      </c>
      <c r="L280" s="20" t="s">
        <v>89</v>
      </c>
      <c r="M280" s="20" t="s">
        <v>90</v>
      </c>
      <c r="N280" s="20" t="s">
        <v>91</v>
      </c>
      <c r="O280" s="20" t="s">
        <v>92</v>
      </c>
      <c r="P280" s="20" t="s">
        <v>93</v>
      </c>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c r="CB280" s="97"/>
      <c r="CC280" s="97"/>
      <c r="CD280" s="97"/>
      <c r="CE280" s="97"/>
      <c r="CF280" s="97"/>
      <c r="CG280" s="97"/>
      <c r="CH280" s="97"/>
      <c r="CI280" s="97"/>
      <c r="CJ280" s="97"/>
      <c r="CK280" s="97"/>
      <c r="CL280" s="97"/>
      <c r="CM280" s="97"/>
      <c r="CN280" s="97"/>
      <c r="CO280" s="97"/>
      <c r="CP280" s="97"/>
      <c r="CQ280" s="97"/>
    </row>
    <row r="281" spans="1:95" ht="15" customHeight="1" outlineLevel="1">
      <c r="A281" s="97"/>
      <c r="B281" s="97" t="s">
        <v>317</v>
      </c>
      <c r="C281" s="97"/>
      <c r="D281" s="90">
        <f>SUMPRODUCT(Stroke_values_1dB_table,stroke_1_to_3_dB_band_45)</f>
        <v>0</v>
      </c>
      <c r="E281" s="90">
        <f>SUMPRODUCT(Stroke_values_1dB_table,stroke_1_to_3_dB_band_45_48)</f>
        <v>5.7194956963754553</v>
      </c>
      <c r="F281" s="90">
        <f>SUMPRODUCT(Stroke_values_1dB_table,stroke_1_to_3_dB_band_48_51)</f>
        <v>6.9100291275691959</v>
      </c>
      <c r="G281" s="90">
        <f>SUMPRODUCT(Stroke_values_1dB_table,stroke_1_to_3_dB_band_51_54)</f>
        <v>6.9622558031732797</v>
      </c>
      <c r="H281" s="90">
        <f>SUMPRODUCT(Stroke_values_1dB_table,stroke_1_to_3_dB_band_54_57)</f>
        <v>7.014929206958362</v>
      </c>
      <c r="I281" s="90">
        <f>SUMPRODUCT(Stroke_values_1dB_table,stroke_1_to_3_dB_band_57_60)</f>
        <v>7.068053678877857</v>
      </c>
      <c r="J281" s="90">
        <f>SUMPRODUCT(Stroke_values_1dB_table,stroke_1_to_3_dB_band_60_63)</f>
        <v>7.1216336061304881</v>
      </c>
      <c r="K281" s="90">
        <f>SUMPRODUCT(Stroke_values_1dB_table,stroke_1_to_3_dB_band_63_66)</f>
        <v>7.1756734237230742</v>
      </c>
      <c r="L281" s="90">
        <f>SUMPRODUCT(Stroke_values_1dB_table,stroke_1_to_3_dB_band_66_69)</f>
        <v>7.230177615039703</v>
      </c>
      <c r="M281" s="90">
        <f>SUMPRODUCT(Stroke_values_1dB_table,stroke_1_to_3_dB_band_69_72)</f>
        <v>7.2851507124191031</v>
      </c>
      <c r="N281" s="90">
        <f>SUMPRODUCT(Stroke_values_1dB_table,stroke_1_to_3_dB_band_72_75)</f>
        <v>7.3374948375362488</v>
      </c>
      <c r="O281" s="90">
        <f>SUMPRODUCT(Stroke_values_1dB_table,stroke_1_to_3_dB_band_75_78)</f>
        <v>7.3498603653800521</v>
      </c>
      <c r="P281" s="90">
        <f>SUMPRODUCT(Stroke_values_1dB_table,stroke_1_to_3_dB_band_78_81)</f>
        <v>7.3498603653800521</v>
      </c>
      <c r="Q281" s="16" t="s">
        <v>436</v>
      </c>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c r="BN281" s="97"/>
      <c r="BO281" s="97"/>
      <c r="BP281" s="97"/>
      <c r="BQ281" s="97"/>
      <c r="BR281" s="97"/>
      <c r="BS281" s="97"/>
      <c r="BT281" s="97"/>
      <c r="BU281" s="97"/>
      <c r="BV281" s="97"/>
      <c r="BW281" s="97"/>
      <c r="BX281" s="97"/>
      <c r="BY281" s="97"/>
      <c r="BZ281" s="97"/>
      <c r="CA281" s="97"/>
      <c r="CB281" s="97"/>
      <c r="CC281" s="97"/>
      <c r="CD281" s="97"/>
      <c r="CE281" s="97"/>
      <c r="CF281" s="97"/>
      <c r="CG281" s="97"/>
      <c r="CH281" s="97"/>
      <c r="CI281" s="97"/>
      <c r="CJ281" s="97"/>
      <c r="CK281" s="97"/>
      <c r="CL281" s="97"/>
      <c r="CM281" s="97"/>
      <c r="CN281" s="97"/>
      <c r="CO281" s="97"/>
      <c r="CP281" s="97"/>
      <c r="CQ281" s="97"/>
    </row>
    <row r="282" spans="1:95" ht="15" customHeight="1" outlineLevel="1">
      <c r="A282" s="97"/>
      <c r="B282" s="18"/>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97"/>
      <c r="AQ282" s="97"/>
      <c r="AR282" s="97"/>
      <c r="AS282" s="97"/>
      <c r="AT282" s="97"/>
      <c r="AU282" s="97"/>
      <c r="AV282" s="97"/>
      <c r="AW282" s="97"/>
      <c r="AX282" s="97"/>
      <c r="AY282" s="97"/>
      <c r="AZ282" s="97"/>
      <c r="BA282" s="97"/>
      <c r="BB282" s="97"/>
      <c r="BC282" s="97"/>
      <c r="BD282" s="97"/>
      <c r="BE282" s="97"/>
      <c r="BF282" s="97"/>
      <c r="BG282" s="97"/>
      <c r="BH282" s="97"/>
      <c r="BI282" s="97"/>
      <c r="BJ282" s="97"/>
      <c r="BK282" s="97"/>
      <c r="BL282" s="97"/>
      <c r="BM282" s="97"/>
      <c r="BN282" s="97"/>
      <c r="BO282" s="97"/>
      <c r="BP282" s="97"/>
      <c r="BQ282" s="97"/>
      <c r="BR282" s="97"/>
      <c r="BS282" s="97"/>
      <c r="BT282" s="97"/>
      <c r="BU282" s="97"/>
      <c r="BV282" s="97"/>
      <c r="BW282" s="97"/>
      <c r="BX282" s="97"/>
      <c r="BY282" s="97"/>
      <c r="BZ282" s="97"/>
      <c r="CA282" s="97"/>
      <c r="CB282" s="97"/>
      <c r="CC282" s="97"/>
      <c r="CD282" s="97"/>
      <c r="CE282" s="97"/>
      <c r="CF282" s="97"/>
      <c r="CG282" s="97"/>
      <c r="CH282" s="97"/>
      <c r="CI282" s="97"/>
      <c r="CJ282" s="97"/>
      <c r="CK282" s="97"/>
      <c r="CL282" s="97"/>
      <c r="CM282" s="97"/>
      <c r="CN282" s="97"/>
      <c r="CO282" s="97"/>
      <c r="CP282" s="97"/>
      <c r="CQ282" s="97"/>
    </row>
    <row r="283" spans="1:95" s="21" customFormat="1" ht="15" customHeight="1" outlineLevel="1">
      <c r="A283" s="23"/>
      <c r="B283" s="122"/>
      <c r="C283" s="60" t="s">
        <v>79</v>
      </c>
      <c r="D283" s="61" t="s">
        <v>80</v>
      </c>
      <c r="E283" s="104" t="s">
        <v>81</v>
      </c>
      <c r="F283" s="104" t="s">
        <v>82</v>
      </c>
      <c r="G283" s="104" t="s">
        <v>83</v>
      </c>
      <c r="H283" s="104" t="s">
        <v>84</v>
      </c>
      <c r="I283" s="104" t="s">
        <v>85</v>
      </c>
      <c r="J283" s="104" t="s">
        <v>86</v>
      </c>
      <c r="K283" s="104" t="s">
        <v>87</v>
      </c>
      <c r="L283" s="104" t="s">
        <v>88</v>
      </c>
      <c r="M283" s="104" t="s">
        <v>89</v>
      </c>
      <c r="N283" s="104" t="s">
        <v>90</v>
      </c>
      <c r="O283" s="104" t="s">
        <v>91</v>
      </c>
      <c r="P283" s="104" t="s">
        <v>92</v>
      </c>
      <c r="Q283" s="104" t="s">
        <v>93</v>
      </c>
      <c r="R283" s="22" t="s">
        <v>337</v>
      </c>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row>
    <row r="284" spans="1:95" s="21" customFormat="1" ht="15" customHeight="1" outlineLevel="1">
      <c r="A284" s="23"/>
      <c r="B284" s="60" t="s">
        <v>94</v>
      </c>
      <c r="C284" s="129"/>
      <c r="D284" s="129"/>
      <c r="E284" s="129"/>
      <c r="F284" s="129"/>
      <c r="G284" s="129"/>
      <c r="H284" s="129"/>
      <c r="I284" s="129"/>
      <c r="J284" s="129"/>
      <c r="K284" s="129"/>
      <c r="L284" s="129"/>
      <c r="M284" s="129"/>
      <c r="N284" s="129"/>
      <c r="O284" s="129"/>
      <c r="P284" s="129"/>
      <c r="Q284" s="130"/>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row>
    <row r="285" spans="1:95" s="21" customFormat="1" ht="15" customHeight="1" outlineLevel="1">
      <c r="A285" s="23"/>
      <c r="B285" s="61" t="s">
        <v>80</v>
      </c>
      <c r="C285" s="105"/>
      <c r="D285" s="131">
        <v>0</v>
      </c>
      <c r="E285" s="131">
        <f>-(HLOOKUP(Noise_3dB_bands,Stroke_values_3dB_table,2,0))</f>
        <v>0</v>
      </c>
      <c r="F285" s="131">
        <f>-(HLOOKUP(Noise_3dB_bands,Stroke_values_3dB_table,2,0)) + Without_45_with_45_48_stroke_value</f>
        <v>-5.7194956963754553</v>
      </c>
      <c r="G285" s="131">
        <f>-(HLOOKUP(Noise_3dB_bands,Stroke_values_3dB_table,2,0)) +Without_45_with_48_51_stroke_value</f>
        <v>-12.629524823944651</v>
      </c>
      <c r="H285" s="131">
        <f>-(HLOOKUP(Noise_3dB_bands,Stroke_values_3dB_table,2,0)) +Without_45_with_51_54_stroke_value</f>
        <v>-19.591780627117931</v>
      </c>
      <c r="I285" s="131">
        <f>-(HLOOKUP(Noise_3dB_bands,Stroke_values_3dB_table,2,0)) +Without_45_with_54_57_stroke_value</f>
        <v>-26.606709834076291</v>
      </c>
      <c r="J285" s="131">
        <f>-(HLOOKUP(Noise_3dB_bands,Stroke_values_3dB_table,2,0)) + Without_45_with_57_60_stroke_value</f>
        <v>-33.674763512954151</v>
      </c>
      <c r="K285" s="131">
        <f>-(HLOOKUP(Noise_3dB_bands,Stroke_values_3dB_table,2,0)) +Without_45_with_60_63_stroke_value</f>
        <v>-40.796397119084638</v>
      </c>
      <c r="L285" s="131">
        <f>-(HLOOKUP(Noise_3dB_bands,Stroke_values_3dB_table,2,0)) +Without_45_with_63_66_stroke_value</f>
        <v>-47.972070542807714</v>
      </c>
      <c r="M285" s="131">
        <f>-(HLOOKUP(Noise_3dB_bands,Stroke_values_3dB_table,2,0)) +Without_45_with_66_69_stroke_value</f>
        <v>-55.202248157847414</v>
      </c>
      <c r="N285" s="131">
        <f>-(HLOOKUP(Noise_3dB_bands,Stroke_values_3dB_table,2,0)) +Without_45_with_69_72_stroke_value</f>
        <v>-62.487398870266517</v>
      </c>
      <c r="O285" s="131">
        <f>-(HLOOKUP(Noise_3dB_bands,Stroke_values_3dB_table,2,0)) +Without_45_with_72_75_stroke_value</f>
        <v>-69.824893707802772</v>
      </c>
      <c r="P285" s="131">
        <f>-(HLOOKUP(Noise_3dB_bands,Stroke_values_3dB_table,2,0)) +Without_45_with_75_78_stroke_value</f>
        <v>-77.174754073182825</v>
      </c>
      <c r="Q285" s="131">
        <f>-(HLOOKUP(Noise_3dB_bands,Stroke_values_3dB_table,2,0)) +Without_45_with_78_81_stroke_value</f>
        <v>-84.524614438562878</v>
      </c>
      <c r="R285" s="22" t="s">
        <v>437</v>
      </c>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row>
    <row r="286" spans="1:95" s="21" customFormat="1" ht="15" customHeight="1" outlineLevel="1">
      <c r="A286" s="23"/>
      <c r="B286" s="104" t="s">
        <v>81</v>
      </c>
      <c r="C286" s="132"/>
      <c r="D286" s="131">
        <f>-Without_45_with_45_48_stroke_value</f>
        <v>0</v>
      </c>
      <c r="E286" s="131">
        <v>0</v>
      </c>
      <c r="F286" s="131">
        <f>-(HLOOKUP(Noise_3dB_bands,Stroke_values_3dB_table,2,0))</f>
        <v>-5.7194956963754553</v>
      </c>
      <c r="G286" s="131">
        <f>-(HLOOKUP(Noise_3dB_bands,Stroke_values_3dB_table,2,0))+Without_45_48_with_48_51_stroke_value</f>
        <v>-12.629524823944651</v>
      </c>
      <c r="H286" s="131">
        <f>-(HLOOKUP(Noise_3dB_bands,Stroke_values_3dB_table,2,0))+Without_45_48_with_51_54_stroke_value</f>
        <v>-19.591780627117931</v>
      </c>
      <c r="I286" s="131">
        <f>-(HLOOKUP(Noise_3dB_bands,Stroke_values_3dB_table,2,0))+Without_45_48_with_54_57_stroke_value</f>
        <v>-26.606709834076291</v>
      </c>
      <c r="J286" s="131">
        <f>-(HLOOKUP(Noise_3dB_bands,Stroke_values_3dB_table,2,0))+Without_45_48_with_57_60_stroke_value</f>
        <v>-33.674763512954151</v>
      </c>
      <c r="K286" s="131">
        <f>-(HLOOKUP(Noise_3dB_bands,Stroke_values_3dB_table,2,0))+Without_45_48_with_60_63_stroke_value</f>
        <v>-40.796397119084638</v>
      </c>
      <c r="L286" s="131">
        <f>-(HLOOKUP(Noise_3dB_bands,Stroke_values_3dB_table,2,0))+Without_45_48_with_63_66_stroke_value</f>
        <v>-47.972070542807714</v>
      </c>
      <c r="M286" s="131">
        <f>-(HLOOKUP(Noise_3dB_bands,Stroke_values_3dB_table,2,0))+Without_45_48_with_66_69_stroke_value</f>
        <v>-55.202248157847414</v>
      </c>
      <c r="N286" s="131">
        <f>-(HLOOKUP(Noise_3dB_bands,Stroke_values_3dB_table,2,0))+Without_45_48_with_69_72_stroke_value</f>
        <v>-62.487398870266517</v>
      </c>
      <c r="O286" s="131">
        <f>-(HLOOKUP(Noise_3dB_bands,Stroke_values_3dB_table,2,0))+Without_45_48_with_72_75_stroke_value</f>
        <v>-69.824893707802772</v>
      </c>
      <c r="P286" s="131">
        <f>-(HLOOKUP(Noise_3dB_bands,Stroke_values_3dB_table,2,0))+Without_45_48_with_75_78_stroke_value</f>
        <v>-77.174754073182825</v>
      </c>
      <c r="Q286" s="131">
        <f>-(HLOOKUP(Noise_3dB_bands,Stroke_values_3dB_table,2,0))+Without_45_48_with_78_81_stroke_value</f>
        <v>-84.524614438562878</v>
      </c>
      <c r="R286" s="22" t="s">
        <v>438</v>
      </c>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row>
    <row r="287" spans="1:95" s="21" customFormat="1" ht="15" customHeight="1" outlineLevel="1">
      <c r="A287" s="23"/>
      <c r="B287" s="104" t="s">
        <v>82</v>
      </c>
      <c r="C287" s="132"/>
      <c r="D287" s="131">
        <f>-Without_45_with_48_51_stroke_value</f>
        <v>5.7194956963754553</v>
      </c>
      <c r="E287" s="131">
        <f>-Without_45_48_with_48_51_stroke_value</f>
        <v>5.7194956963754553</v>
      </c>
      <c r="F287" s="131">
        <v>0</v>
      </c>
      <c r="G287" s="131">
        <f>-(HLOOKUP(Noise_3dB_bands,Stroke_values_3dB_table,2,0))</f>
        <v>-6.9100291275691959</v>
      </c>
      <c r="H287" s="131">
        <f>-(HLOOKUP(Noise_3dB_bands,Stroke_values_3dB_table,2,0))+Without_48_51_with_51_54_stroke_value</f>
        <v>-13.872284930742476</v>
      </c>
      <c r="I287" s="131">
        <f>-(HLOOKUP(Noise_3dB_bands,Stroke_values_3dB_table,2,0))+Without_48_51_with_54_57_stroke_value</f>
        <v>-20.887214137700838</v>
      </c>
      <c r="J287" s="131">
        <f>-(HLOOKUP(Noise_3dB_bands,Stroke_values_3dB_table,2,0))+Without_48_51_with_57_60_stroke_value</f>
        <v>-27.955267816578694</v>
      </c>
      <c r="K287" s="131">
        <f>-(HLOOKUP(Noise_3dB_bands,Stroke_values_3dB_table,2,0))+Without_48_51_with_60_63_stroke_value</f>
        <v>-35.076901422709184</v>
      </c>
      <c r="L287" s="131">
        <f>-(HLOOKUP(Noise_3dB_bands,Stroke_values_3dB_table,2,0))+Without_48_51_with_63_66_stroke_value</f>
        <v>-42.25257484643226</v>
      </c>
      <c r="M287" s="131">
        <f>-(HLOOKUP(Noise_3dB_bands,Stroke_values_3dB_table,2,0))+Without_48_51_with_66_69_stroke_value</f>
        <v>-49.482752461471961</v>
      </c>
      <c r="N287" s="131">
        <f>-(HLOOKUP(Noise_3dB_bands,Stroke_values_3dB_table,2,0))+Without_48_51_with_69_72_stroke_value</f>
        <v>-56.767903173891064</v>
      </c>
      <c r="O287" s="131">
        <f>-(HLOOKUP(Noise_3dB_bands,Stroke_values_3dB_table,2,0))+Without_48_51_with_72_75_stroke_value</f>
        <v>-64.105398011427312</v>
      </c>
      <c r="P287" s="131">
        <f>-(HLOOKUP(Noise_3dB_bands,Stroke_values_3dB_table,2,0))+Without_48_51_with_75_78_stroke_value</f>
        <v>-71.455258376807365</v>
      </c>
      <c r="Q287" s="131">
        <f>-(HLOOKUP(Noise_3dB_bands,Stroke_values_3dB_table,2,0))+Without_48_51_with_78_81_stroke_value</f>
        <v>-78.805118742187418</v>
      </c>
      <c r="R287" s="22" t="s">
        <v>439</v>
      </c>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row>
    <row r="288" spans="1:95" s="21" customFormat="1" ht="15" customHeight="1" outlineLevel="1">
      <c r="A288" s="23"/>
      <c r="B288" s="104" t="s">
        <v>83</v>
      </c>
      <c r="C288" s="132"/>
      <c r="D288" s="131">
        <f>-Without_45_with_51_54_stroke_value</f>
        <v>12.629524823944651</v>
      </c>
      <c r="E288" s="131">
        <f>-Without_45_48_with_51_54_stroke_value</f>
        <v>12.629524823944651</v>
      </c>
      <c r="F288" s="131">
        <f>-Without_48_51_with_51_54_stroke_value</f>
        <v>6.9100291275691959</v>
      </c>
      <c r="G288" s="131">
        <v>0</v>
      </c>
      <c r="H288" s="131">
        <f>-(HLOOKUP(Noise_3dB_bands,Stroke_values_3dB_table,2,0))</f>
        <v>-6.9622558031732797</v>
      </c>
      <c r="I288" s="131">
        <f>-(HLOOKUP(Noise_3dB_bands,Stroke_values_3dB_table,2,0))+Without_51_54_with_54_57_stroke_value</f>
        <v>-13.977185010131642</v>
      </c>
      <c r="J288" s="131">
        <f>-(HLOOKUP(Noise_3dB_bands,Stroke_values_3dB_table,2,0))+Without_51_54_with_57_60_stroke_value</f>
        <v>-21.045238689009498</v>
      </c>
      <c r="K288" s="131">
        <f>-(HLOOKUP(Noise_3dB_bands,Stroke_values_3dB_table,2,0))+Without_51_54_with_60_63_stroke_value</f>
        <v>-28.166872295139985</v>
      </c>
      <c r="L288" s="131">
        <f>-(HLOOKUP(Noise_3dB_bands,Stroke_values_3dB_table,2,0))+Without_51_54_with_63_66_stroke_value</f>
        <v>-35.342545718863057</v>
      </c>
      <c r="M288" s="131">
        <f>-(HLOOKUP(Noise_3dB_bands,Stroke_values_3dB_table,2,0))+Without_51_54_with_66_69_stroke_value</f>
        <v>-42.572723333902758</v>
      </c>
      <c r="N288" s="131">
        <f>-(HLOOKUP(Noise_3dB_bands,Stroke_values_3dB_table,2,0))+Without_51_54_with_69_72_stroke_value</f>
        <v>-49.857874046321861</v>
      </c>
      <c r="O288" s="131">
        <f>-(HLOOKUP(Noise_3dB_bands,Stroke_values_3dB_table,2,0))+Without_51_54_with_72_75_stroke_value</f>
        <v>-57.195368883858109</v>
      </c>
      <c r="P288" s="131">
        <f>-(HLOOKUP(Noise_3dB_bands,Stroke_values_3dB_table,2,0))+Without_51_54_with_75_78_stroke_value</f>
        <v>-64.545229249238162</v>
      </c>
      <c r="Q288" s="131">
        <f>-(HLOOKUP(Noise_3dB_bands,Stroke_values_3dB_table,2,0))+Without_51_54_with_78_81_stroke_value</f>
        <v>-71.895089614618215</v>
      </c>
      <c r="R288" s="22" t="s">
        <v>440</v>
      </c>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row>
    <row r="289" spans="1:96" s="21" customFormat="1" ht="15" customHeight="1" outlineLevel="1">
      <c r="A289" s="23"/>
      <c r="B289" s="104" t="s">
        <v>84</v>
      </c>
      <c r="C289" s="132"/>
      <c r="D289" s="131">
        <f>-Without_45_with_54_57_stroke_value</f>
        <v>19.591780627117931</v>
      </c>
      <c r="E289" s="131">
        <f>-Without_45_48_with_54_57_stroke_value</f>
        <v>19.591780627117931</v>
      </c>
      <c r="F289" s="131">
        <f>-Without_48_51_with_54_57_stroke_value</f>
        <v>13.872284930742476</v>
      </c>
      <c r="G289" s="131">
        <f>-Without_51_54_with_54_57_stroke_value</f>
        <v>6.9622558031732797</v>
      </c>
      <c r="H289" s="131">
        <v>0</v>
      </c>
      <c r="I289" s="131">
        <f>-(HLOOKUP(Noise_3dB_bands,Stroke_values_3dB_table,2,0))</f>
        <v>-7.014929206958362</v>
      </c>
      <c r="J289" s="131">
        <f>-(HLOOKUP(Noise_3dB_bands,Stroke_values_3dB_table,2,0))+Without_54_57_with_57_60_stroke_value</f>
        <v>-14.08298288583622</v>
      </c>
      <c r="K289" s="131">
        <f>-(HLOOKUP(Noise_3dB_bands,Stroke_values_3dB_table,2,0))+Without_54_57_with_60_63_stroke_value</f>
        <v>-21.204616491966707</v>
      </c>
      <c r="L289" s="131">
        <f>-(HLOOKUP(Noise_3dB_bands,Stroke_values_3dB_table,2,0))+Without_54_57_with_63_66_stroke_value</f>
        <v>-28.380289915689779</v>
      </c>
      <c r="M289" s="131">
        <f>-(HLOOKUP(Noise_3dB_bands,Stroke_values_3dB_table,2,0))+Without_54_57_with_66_69_stroke_value</f>
        <v>-35.61046753072948</v>
      </c>
      <c r="N289" s="131">
        <f>-(HLOOKUP(Noise_3dB_bands,Stroke_values_3dB_table,2,0))+Without_54_57_with_69_72_stroke_value</f>
        <v>-42.895618243148583</v>
      </c>
      <c r="O289" s="131">
        <f>-(HLOOKUP(Noise_3dB_bands,Stroke_values_3dB_table,2,0))+Without_54_57_with_72_75_stroke_value</f>
        <v>-50.233113080684831</v>
      </c>
      <c r="P289" s="131">
        <f>-(HLOOKUP(Noise_3dB_bands,Stroke_values_3dB_table,2,0))+Without_54_57_with_75_78_stroke_value</f>
        <v>-57.582973446064884</v>
      </c>
      <c r="Q289" s="131">
        <f>-(HLOOKUP(Noise_3dB_bands,Stroke_values_3dB_table,2,0))+Without_54_57_with_78_81_stroke_value</f>
        <v>-64.932833811444937</v>
      </c>
      <c r="R289" s="22" t="s">
        <v>441</v>
      </c>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row>
    <row r="290" spans="1:96" s="21" customFormat="1" ht="15" customHeight="1" outlineLevel="1">
      <c r="A290" s="23"/>
      <c r="B290" s="104" t="s">
        <v>85</v>
      </c>
      <c r="C290" s="132"/>
      <c r="D290" s="131">
        <f>-Without_45_with_57_60_stroke_value</f>
        <v>26.606709834076291</v>
      </c>
      <c r="E290" s="131">
        <f>-Without_45_48_with_57_60_stroke_value</f>
        <v>26.606709834076291</v>
      </c>
      <c r="F290" s="131">
        <f>-Without_48_51_with_57_60_stroke_value</f>
        <v>20.887214137700838</v>
      </c>
      <c r="G290" s="131">
        <f>-Without_51_54_with_57_60_stroke_value</f>
        <v>13.977185010131642</v>
      </c>
      <c r="H290" s="131">
        <f>-Without_54_57_with_57_60_stroke_value</f>
        <v>7.014929206958362</v>
      </c>
      <c r="I290" s="131">
        <v>0</v>
      </c>
      <c r="J290" s="131">
        <f>-(HLOOKUP(Noise_3dB_bands,Stroke_values_3dB_table,2,0))</f>
        <v>-7.068053678877857</v>
      </c>
      <c r="K290" s="131">
        <f>-(HLOOKUP(Noise_3dB_bands,Stroke_values_3dB_table,2,0))+Without_57_60_with_60_63_stroke_value</f>
        <v>-14.189687285008345</v>
      </c>
      <c r="L290" s="131">
        <f>-(HLOOKUP(Noise_3dB_bands,Stroke_values_3dB_table,2,0))+Without_57_60_with_63_66_stroke_value</f>
        <v>-21.365360708731419</v>
      </c>
      <c r="M290" s="131">
        <f>-(HLOOKUP(Noise_3dB_bands,Stroke_values_3dB_table,2,0))+Without_57_60_with_66_69_stroke_value</f>
        <v>-28.595538323771123</v>
      </c>
      <c r="N290" s="131">
        <f>-(HLOOKUP(Noise_3dB_bands,Stroke_values_3dB_table,2,0))+Without_57_60_with_69_72_stroke_value</f>
        <v>-35.880689036190226</v>
      </c>
      <c r="O290" s="131">
        <f>-(HLOOKUP(Noise_3dB_bands,Stroke_values_3dB_table,2,0))+Without_57_60_with_72_75_stroke_value</f>
        <v>-43.218183873726474</v>
      </c>
      <c r="P290" s="131">
        <f>-(HLOOKUP(Noise_3dB_bands,Stroke_values_3dB_table,2,0))+Without_57_60_with_75_78_stroke_value</f>
        <v>-50.568044239106527</v>
      </c>
      <c r="Q290" s="131">
        <f>-(HLOOKUP(Noise_3dB_bands,Stroke_values_3dB_table,2,0))+Without_57_60_with_78_81_stroke_value</f>
        <v>-57.91790460448658</v>
      </c>
      <c r="R290" s="22" t="s">
        <v>442</v>
      </c>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row>
    <row r="291" spans="1:96" s="21" customFormat="1" ht="15" customHeight="1" outlineLevel="1">
      <c r="A291" s="23"/>
      <c r="B291" s="104" t="s">
        <v>86</v>
      </c>
      <c r="C291" s="132"/>
      <c r="D291" s="131">
        <f>-Without_45_with_60_63_stroke_value</f>
        <v>33.674763512954151</v>
      </c>
      <c r="E291" s="131">
        <f>-Without_45_48_with_60_63_stroke_value</f>
        <v>33.674763512954151</v>
      </c>
      <c r="F291" s="131">
        <f>-Without_48_51_with_60_63_stroke_value</f>
        <v>27.955267816578694</v>
      </c>
      <c r="G291" s="131">
        <f>-Without_51_54_with_60_63_stroke_value</f>
        <v>21.045238689009498</v>
      </c>
      <c r="H291" s="131">
        <f>-Without_54_57_with_60_63_stroke_value</f>
        <v>14.08298288583622</v>
      </c>
      <c r="I291" s="131">
        <f>-Without_57_60_with_60_63_stroke_value</f>
        <v>7.068053678877857</v>
      </c>
      <c r="J291" s="131">
        <v>0</v>
      </c>
      <c r="K291" s="131">
        <f>-(HLOOKUP(Noise_3dB_bands,Stroke_values_3dB_table,2,0))</f>
        <v>-7.1216336061304881</v>
      </c>
      <c r="L291" s="131">
        <f>-(HLOOKUP(Noise_3dB_bands,Stroke_values_3dB_table,2,0))+Without_60_63_with_63_66_stroke_value</f>
        <v>-14.297307029853563</v>
      </c>
      <c r="M291" s="131">
        <f>-(HLOOKUP(Noise_3dB_bands,Stroke_values_3dB_table,2,0))+Without_60_63_with_66_69_stroke_value</f>
        <v>-21.527484644893267</v>
      </c>
      <c r="N291" s="131">
        <f>-(HLOOKUP(Noise_3dB_bands,Stroke_values_3dB_table,2,0))+Without_60_63_with_69_72_stroke_value</f>
        <v>-28.81263535731237</v>
      </c>
      <c r="O291" s="131">
        <f>-(HLOOKUP(Noise_3dB_bands,Stroke_values_3dB_table,2,0))+Without_60_63_with_72_75_stroke_value</f>
        <v>-36.150130194848622</v>
      </c>
      <c r="P291" s="131">
        <f>-(HLOOKUP(Noise_3dB_bands,Stroke_values_3dB_table,2,0))+Without_60_63_with_75_78_stroke_value</f>
        <v>-43.499990560228674</v>
      </c>
      <c r="Q291" s="131">
        <f>-(HLOOKUP(Noise_3dB_bands,Stroke_values_3dB_table,2,0))+Without_60_63_with_78_81_stroke_value</f>
        <v>-50.849850925608727</v>
      </c>
      <c r="R291" s="22" t="s">
        <v>443</v>
      </c>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row>
    <row r="292" spans="1:96" s="21" customFormat="1" ht="15" customHeight="1" outlineLevel="1">
      <c r="A292" s="23"/>
      <c r="B292" s="104" t="s">
        <v>87</v>
      </c>
      <c r="C292" s="132"/>
      <c r="D292" s="131">
        <f>-Without_45_with_63_66_stroke_value</f>
        <v>40.796397119084638</v>
      </c>
      <c r="E292" s="131">
        <f>-Without_45_48_with_63_66_stroke_value</f>
        <v>40.796397119084638</v>
      </c>
      <c r="F292" s="131">
        <f>-Without_48_51_with_63_66_stroke_value</f>
        <v>35.076901422709184</v>
      </c>
      <c r="G292" s="131">
        <f>-Without_51_54_with_63_66_stroke_value</f>
        <v>28.166872295139985</v>
      </c>
      <c r="H292" s="131">
        <f>-Without_54_57_with_63_66_stroke_value</f>
        <v>21.204616491966707</v>
      </c>
      <c r="I292" s="131">
        <f>-Without_57_60_with_63_66_stroke_value</f>
        <v>14.189687285008345</v>
      </c>
      <c r="J292" s="131">
        <f>-Without_60_63_with_63_66_stroke_value</f>
        <v>7.1216336061304881</v>
      </c>
      <c r="K292" s="131">
        <v>0</v>
      </c>
      <c r="L292" s="131">
        <f>-(HLOOKUP(Noise_3dB_bands,Stroke_values_3dB_table,2,0))</f>
        <v>-7.1756734237230742</v>
      </c>
      <c r="M292" s="131">
        <f>-(HLOOKUP(Noise_3dB_bands,Stroke_values_3dB_table,2,0))+Without_63_66_with_66_69_stroke_value</f>
        <v>-14.405851038762776</v>
      </c>
      <c r="N292" s="131">
        <f>-(HLOOKUP(Noise_3dB_bands,Stroke_values_3dB_table,2,0))+Without_63_66_with_69_72_stroke_value</f>
        <v>-21.691001751181879</v>
      </c>
      <c r="O292" s="131">
        <f>-(HLOOKUP(Noise_3dB_bands,Stroke_values_3dB_table,2,0))+Without_63_66_with_72_75_stroke_value</f>
        <v>-29.028496588718127</v>
      </c>
      <c r="P292" s="131">
        <f>-(HLOOKUP(Noise_3dB_bands,Stroke_values_3dB_table,2,0))+Without_63_66_with_75_78_stroke_value</f>
        <v>-36.37835695409818</v>
      </c>
      <c r="Q292" s="131">
        <f>-(HLOOKUP(Noise_3dB_bands,Stroke_values_3dB_table,2,0))+Without_63_66_with_78_81_stroke_value</f>
        <v>-43.728217319478233</v>
      </c>
      <c r="R292" s="22" t="s">
        <v>444</v>
      </c>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row>
    <row r="293" spans="1:96" ht="15" customHeight="1" outlineLevel="1">
      <c r="A293" s="97"/>
      <c r="B293" s="104" t="s">
        <v>88</v>
      </c>
      <c r="C293" s="132"/>
      <c r="D293" s="131">
        <f>-Without_45_with_66_69_stroke_value</f>
        <v>47.972070542807714</v>
      </c>
      <c r="E293" s="131">
        <f>-Without_45_48_with_66_69_stroke_value</f>
        <v>47.972070542807714</v>
      </c>
      <c r="F293" s="131">
        <f>-Without_48_51_with_66_69_stroke_value</f>
        <v>42.25257484643226</v>
      </c>
      <c r="G293" s="131">
        <f>-Without_51_54_with_66_69_stroke_value</f>
        <v>35.342545718863057</v>
      </c>
      <c r="H293" s="131">
        <f>-Without_54_57_with_66_69_stroke_value</f>
        <v>28.380289915689779</v>
      </c>
      <c r="I293" s="131">
        <f>-Without_57_60_with_66_69_stroke_value</f>
        <v>21.365360708731419</v>
      </c>
      <c r="J293" s="131">
        <f>-Without_60_63_with_66_69_stroke_value</f>
        <v>14.297307029853563</v>
      </c>
      <c r="K293" s="131">
        <f>-Without_63_66_with_66_69_stroke_value</f>
        <v>7.1756734237230742</v>
      </c>
      <c r="L293" s="131">
        <v>0</v>
      </c>
      <c r="M293" s="131">
        <f>-(HLOOKUP(Noise_3dB_bands,Stroke_values_3dB_table,2,0))</f>
        <v>-7.230177615039703</v>
      </c>
      <c r="N293" s="131">
        <f>-(HLOOKUP(Noise_3dB_bands,Stroke_values_3dB_table,2,0))+Without_66_69_with_69_72_stroke_value</f>
        <v>-14.515328327458807</v>
      </c>
      <c r="O293" s="131">
        <f>-(HLOOKUP(Noise_3dB_bands,Stroke_values_3dB_table,2,0))+Without_66_69_with_72_75_stroke_value</f>
        <v>-21.852823164995055</v>
      </c>
      <c r="P293" s="131">
        <f>-(HLOOKUP(Noise_3dB_bands,Stroke_values_3dB_table,2,0))+Without_66_69_with_75_78_stroke_value</f>
        <v>-29.202683530375108</v>
      </c>
      <c r="Q293" s="131">
        <f>-(HLOOKUP(Noise_3dB_bands,Stroke_values_3dB_table,2,0))+Without_66_69_with_78_81_stroke_value</f>
        <v>-36.552543895755157</v>
      </c>
      <c r="R293" s="22" t="s">
        <v>445</v>
      </c>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row>
    <row r="294" spans="1:96" ht="15" customHeight="1" outlineLevel="1">
      <c r="A294" s="97"/>
      <c r="B294" s="104" t="s">
        <v>89</v>
      </c>
      <c r="C294" s="132"/>
      <c r="D294" s="131">
        <f>-Without_45_with_69_72_stroke_value</f>
        <v>55.202248157847414</v>
      </c>
      <c r="E294" s="131">
        <f>-Without_45_48_with_69_72_stroke_value</f>
        <v>55.202248157847414</v>
      </c>
      <c r="F294" s="131">
        <f>-Without_48_51_with_69_72_stroke_value</f>
        <v>49.482752461471961</v>
      </c>
      <c r="G294" s="131">
        <f>-Without_51_54_with_69_72_stroke_value</f>
        <v>42.572723333902758</v>
      </c>
      <c r="H294" s="131">
        <f>-Without_54_57_with_69_72_stroke_value</f>
        <v>35.61046753072948</v>
      </c>
      <c r="I294" s="131">
        <f>-Without_57_60_with_69_72_stroke_value</f>
        <v>28.595538323771123</v>
      </c>
      <c r="J294" s="131">
        <f>-Without_60_63_with_69_72_stroke_value</f>
        <v>21.527484644893267</v>
      </c>
      <c r="K294" s="131">
        <f>-Without_63_66_with_69_72_stroke_value</f>
        <v>14.405851038762776</v>
      </c>
      <c r="L294" s="131">
        <f>-Without_66_69_with_69_72_stroke_value</f>
        <v>7.230177615039703</v>
      </c>
      <c r="M294" s="131">
        <v>0</v>
      </c>
      <c r="N294" s="131">
        <f>-(HLOOKUP(Noise_3dB_bands,Stroke_values_3dB_table,2,0))</f>
        <v>-7.2851507124191031</v>
      </c>
      <c r="O294" s="131">
        <f>-(HLOOKUP(Noise_3dB_bands,Stroke_values_3dB_table,2,0))+Without_69_72_with_72_75_stroke_value</f>
        <v>-14.622645549955351</v>
      </c>
      <c r="P294" s="131">
        <f>-(HLOOKUP(Noise_3dB_bands,Stroke_values_3dB_table,2,0))+Without_69_72_with_75_78_stroke_value</f>
        <v>-21.972505915335404</v>
      </c>
      <c r="Q294" s="131">
        <f>-(HLOOKUP(Noise_3dB_bands,Stroke_values_3dB_table,2,0))+Without_69_72_with_78_81_stroke_value</f>
        <v>-29.322366280715457</v>
      </c>
      <c r="R294" s="22" t="s">
        <v>446</v>
      </c>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c r="CG294" s="97"/>
      <c r="CH294" s="97"/>
      <c r="CI294" s="97"/>
      <c r="CJ294" s="97"/>
      <c r="CK294" s="97"/>
      <c r="CL294" s="97"/>
      <c r="CM294" s="97"/>
      <c r="CN294" s="97"/>
      <c r="CO294" s="97"/>
      <c r="CP294" s="97"/>
      <c r="CQ294" s="97"/>
    </row>
    <row r="295" spans="1:96" ht="15" customHeight="1" outlineLevel="1">
      <c r="A295" s="97"/>
      <c r="B295" s="104" t="s">
        <v>90</v>
      </c>
      <c r="C295" s="132"/>
      <c r="D295" s="131">
        <f>-Without_45_with_72_75_stroke_value</f>
        <v>62.487398870266517</v>
      </c>
      <c r="E295" s="131">
        <f>-Without_45_48_with_72_75_stroke_value</f>
        <v>62.487398870266517</v>
      </c>
      <c r="F295" s="131">
        <f>-Without_48_51_with_72_75_stroke_value</f>
        <v>56.767903173891064</v>
      </c>
      <c r="G295" s="131">
        <f>-Without_51_54_with_72_75_stroke_value</f>
        <v>49.857874046321861</v>
      </c>
      <c r="H295" s="131">
        <f>-Without_54_57_with_72_75_stroke_value</f>
        <v>42.895618243148583</v>
      </c>
      <c r="I295" s="131">
        <f>-Without_57_60_with_72_75_stroke_value</f>
        <v>35.880689036190226</v>
      </c>
      <c r="J295" s="131">
        <f>-Without_60_63_with_72_75_stroke_value</f>
        <v>28.81263535731237</v>
      </c>
      <c r="K295" s="131">
        <f>-Without_63_66_with_72_75_stroke_value</f>
        <v>21.691001751181879</v>
      </c>
      <c r="L295" s="131">
        <f>-Without_66_69_with_72_75_stroke_value</f>
        <v>14.515328327458807</v>
      </c>
      <c r="M295" s="131">
        <f>-Without_69_72_with_72_75_stroke_value</f>
        <v>7.2851507124191031</v>
      </c>
      <c r="N295" s="131">
        <v>0</v>
      </c>
      <c r="O295" s="131">
        <f>-(HLOOKUP(Noise_3dB_bands,Stroke_values_3dB_table,2,0))</f>
        <v>-7.3374948375362488</v>
      </c>
      <c r="P295" s="131">
        <f>-(HLOOKUP(Noise_3dB_bands,Stroke_values_3dB_table,2,0))+Without_72_75_with_75_78_stroke_value</f>
        <v>-14.687355202916301</v>
      </c>
      <c r="Q295" s="131">
        <f>-(HLOOKUP(Noise_3dB_bands,Stroke_values_3dB_table,2,0))+Without_72_75_with_78_81_stroke_value</f>
        <v>-22.037215568296354</v>
      </c>
      <c r="R295" s="22" t="s">
        <v>447</v>
      </c>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c r="CG295" s="97"/>
      <c r="CH295" s="97"/>
      <c r="CI295" s="97"/>
      <c r="CJ295" s="97"/>
      <c r="CK295" s="97"/>
      <c r="CL295" s="97"/>
      <c r="CM295" s="97"/>
      <c r="CN295" s="97"/>
      <c r="CO295" s="97"/>
      <c r="CP295" s="97"/>
      <c r="CQ295" s="97"/>
    </row>
    <row r="296" spans="1:96" ht="15" customHeight="1" outlineLevel="1">
      <c r="A296" s="97"/>
      <c r="B296" s="104" t="s">
        <v>91</v>
      </c>
      <c r="C296" s="132"/>
      <c r="D296" s="131">
        <f>-Without_45_with_75_78_stroke_value</f>
        <v>69.824893707802772</v>
      </c>
      <c r="E296" s="131">
        <f>-Without_45_48_with_75_78_stroke_value</f>
        <v>69.824893707802772</v>
      </c>
      <c r="F296" s="131">
        <f>-Without_48_51_with_75_78_stroke_value</f>
        <v>64.105398011427312</v>
      </c>
      <c r="G296" s="131">
        <f>-Without_51_54_with_75_78_stroke_value</f>
        <v>57.195368883858109</v>
      </c>
      <c r="H296" s="131">
        <f>-Without_54_57_with_75_78_stroke_value</f>
        <v>50.233113080684831</v>
      </c>
      <c r="I296" s="131">
        <f>-Without_57_60_with_75_78_stroke_value</f>
        <v>43.218183873726474</v>
      </c>
      <c r="J296" s="131">
        <f>-Without_60_63_with_75_78_stroke_value</f>
        <v>36.150130194848622</v>
      </c>
      <c r="K296" s="131">
        <f>-Without_63_66_with_75_78_stroke_value</f>
        <v>29.028496588718127</v>
      </c>
      <c r="L296" s="131">
        <f>-Without_66_69_with_75_78_stroke_value</f>
        <v>21.852823164995055</v>
      </c>
      <c r="M296" s="131">
        <f>-Without_69_72_with_75_78_stroke_value</f>
        <v>14.622645549955351</v>
      </c>
      <c r="N296" s="131">
        <f>-Without_72_75_with_75_78_stroke_value</f>
        <v>7.3374948375362488</v>
      </c>
      <c r="O296" s="131">
        <v>0</v>
      </c>
      <c r="P296" s="131">
        <f>-(HLOOKUP(Noise_3dB_bands,Stroke_values_3dB_table,2,0))</f>
        <v>-7.3498603653800521</v>
      </c>
      <c r="Q296" s="131">
        <f>-(HLOOKUP(Noise_3dB_bands,Stroke_values_3dB_table,2,0))+Without_75_78_with_78_81_stroke_value</f>
        <v>-14.699720730760104</v>
      </c>
      <c r="R296" s="22" t="s">
        <v>448</v>
      </c>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c r="CJ296" s="97"/>
      <c r="CK296" s="97"/>
      <c r="CL296" s="97"/>
      <c r="CM296" s="97"/>
      <c r="CN296" s="97"/>
      <c r="CO296" s="97"/>
      <c r="CP296" s="97"/>
      <c r="CQ296" s="97"/>
      <c r="CR296" s="3"/>
    </row>
    <row r="297" spans="1:96" ht="15" customHeight="1" outlineLevel="1">
      <c r="A297" s="97"/>
      <c r="B297" s="104" t="s">
        <v>92</v>
      </c>
      <c r="C297" s="132"/>
      <c r="D297" s="131">
        <f>-Without_45_with_78_81_stroke_value</f>
        <v>77.174754073182825</v>
      </c>
      <c r="E297" s="131">
        <f>-Without_45_48_with_78_81_stroke_value</f>
        <v>77.174754073182825</v>
      </c>
      <c r="F297" s="131">
        <f>-Without_48_51_with_78_81_stroke_value</f>
        <v>71.455258376807365</v>
      </c>
      <c r="G297" s="131">
        <f>-Without_51_54_with_78_81_stroke_value</f>
        <v>64.545229249238162</v>
      </c>
      <c r="H297" s="131">
        <f>-Without_54_57_with_78_81_stroke_value</f>
        <v>57.582973446064884</v>
      </c>
      <c r="I297" s="131">
        <f>-Without_57_60_with_78_81_stroke_value</f>
        <v>50.568044239106527</v>
      </c>
      <c r="J297" s="131">
        <f>-Without_60_63_with_78_81_stroke_value</f>
        <v>43.499990560228674</v>
      </c>
      <c r="K297" s="131">
        <f>-Without_63_66_with_78_81_stroke_value</f>
        <v>36.37835695409818</v>
      </c>
      <c r="L297" s="131">
        <f>-Without_66_69_with_78_81_stroke_value</f>
        <v>29.202683530375108</v>
      </c>
      <c r="M297" s="131">
        <f>-Without_69_72_with_78_81_stroke_value</f>
        <v>21.972505915335404</v>
      </c>
      <c r="N297" s="131">
        <f>-Without_72_75_with_78_81_stroke_value</f>
        <v>14.687355202916301</v>
      </c>
      <c r="O297" s="131">
        <f>-Without_75_78_with_78_81_stroke_value</f>
        <v>7.3498603653800521</v>
      </c>
      <c r="P297" s="131">
        <v>0</v>
      </c>
      <c r="Q297" s="131">
        <f>-(HLOOKUP(Noise_3dB_bands,Stroke_values_3dB_table,2,0))</f>
        <v>-7.3498603653800521</v>
      </c>
      <c r="R297" s="22" t="s">
        <v>449</v>
      </c>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c r="CG297" s="97"/>
      <c r="CH297" s="97"/>
      <c r="CI297" s="97"/>
      <c r="CJ297" s="97"/>
      <c r="CK297" s="97"/>
      <c r="CL297" s="97"/>
      <c r="CM297" s="97"/>
      <c r="CN297" s="97"/>
      <c r="CO297" s="97"/>
      <c r="CP297" s="97"/>
      <c r="CQ297" s="3"/>
    </row>
    <row r="298" spans="1:96" ht="15" customHeight="1" outlineLevel="1">
      <c r="A298" s="97"/>
      <c r="B298" s="104" t="s">
        <v>93</v>
      </c>
      <c r="C298" s="133"/>
      <c r="D298" s="131">
        <f>-Without_45_with_81_stroke_value</f>
        <v>84.524614438562878</v>
      </c>
      <c r="E298" s="131">
        <f>-Without_45_48_with_81_stroke_value</f>
        <v>84.524614438562878</v>
      </c>
      <c r="F298" s="131">
        <f>-Without_48_51_with_81_stroke_value</f>
        <v>78.805118742187418</v>
      </c>
      <c r="G298" s="131">
        <f>-Without_51_54_with_81_stroke_value</f>
        <v>71.895089614618215</v>
      </c>
      <c r="H298" s="131">
        <f>-Without_54_57_with_81_stroke_value</f>
        <v>64.932833811444937</v>
      </c>
      <c r="I298" s="131">
        <f>-Without_57_60_with_81_stroke_value</f>
        <v>57.91790460448658</v>
      </c>
      <c r="J298" s="131">
        <f>-Without_60_63_with_81_stroke_value</f>
        <v>50.849850925608727</v>
      </c>
      <c r="K298" s="131">
        <f>-Without_63_66_with_81_stroke_value</f>
        <v>43.728217319478233</v>
      </c>
      <c r="L298" s="131">
        <f>-Without_66_69_with_81_stroke_value</f>
        <v>36.552543895755157</v>
      </c>
      <c r="M298" s="131">
        <f>-Without_69_72_with_81_stroke_value</f>
        <v>29.322366280715457</v>
      </c>
      <c r="N298" s="131">
        <f>-Without_72_75_with_81_stroke_value</f>
        <v>22.037215568296354</v>
      </c>
      <c r="O298" s="131">
        <f>-Without_75_78_with_81_stroke_value</f>
        <v>14.699720730760104</v>
      </c>
      <c r="P298" s="131">
        <f>-Without_78_81_with_81_stroke_value</f>
        <v>7.3498603653800521</v>
      </c>
      <c r="Q298" s="131">
        <v>0</v>
      </c>
      <c r="R298" s="22" t="s">
        <v>450</v>
      </c>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c r="CG298" s="97"/>
      <c r="CH298" s="97"/>
      <c r="CI298" s="97"/>
      <c r="CJ298" s="97"/>
      <c r="CK298" s="97"/>
      <c r="CL298" s="97"/>
      <c r="CM298" s="97"/>
      <c r="CN298" s="97"/>
      <c r="CO298" s="97"/>
      <c r="CP298" s="97"/>
      <c r="CQ298" s="3"/>
    </row>
    <row r="299" spans="1:96" s="8" customFormat="1" ht="14.45" outlineLevel="1">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c r="CG299" s="97"/>
      <c r="CH299" s="97"/>
      <c r="CI299" s="97"/>
      <c r="CJ299" s="97"/>
      <c r="CK299" s="97"/>
      <c r="CL299" s="97"/>
      <c r="CM299" s="97"/>
      <c r="CN299" s="97"/>
      <c r="CO299" s="97"/>
      <c r="CP299" s="97"/>
      <c r="CQ299" s="97"/>
    </row>
    <row r="300" spans="1:96" s="5" customFormat="1" ht="15" customHeight="1" outlineLevel="1">
      <c r="B300" s="5" t="s">
        <v>171</v>
      </c>
    </row>
    <row r="301" spans="1:96" ht="15" customHeight="1" outlineLevel="1">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row>
    <row r="302" spans="1:96" ht="15" hidden="1" customHeight="1" outlineLevel="2">
      <c r="A302" s="97"/>
      <c r="B302" s="126" t="s">
        <v>161</v>
      </c>
      <c r="C302" s="97"/>
      <c r="D302" s="13" t="s">
        <v>162</v>
      </c>
      <c r="E302" s="14">
        <v>45</v>
      </c>
      <c r="F302" s="15">
        <v>46</v>
      </c>
      <c r="G302" s="14">
        <v>47</v>
      </c>
      <c r="H302" s="15">
        <v>48</v>
      </c>
      <c r="I302" s="14">
        <v>49</v>
      </c>
      <c r="J302" s="15">
        <v>50</v>
      </c>
      <c r="K302" s="14">
        <v>51</v>
      </c>
      <c r="L302" s="15">
        <v>52</v>
      </c>
      <c r="M302" s="14">
        <v>53</v>
      </c>
      <c r="N302" s="15">
        <v>54</v>
      </c>
      <c r="O302" s="14">
        <v>55</v>
      </c>
      <c r="P302" s="15">
        <v>56</v>
      </c>
      <c r="Q302" s="14">
        <v>57</v>
      </c>
      <c r="R302" s="15">
        <v>58</v>
      </c>
      <c r="S302" s="14">
        <v>59</v>
      </c>
      <c r="T302" s="15">
        <v>60</v>
      </c>
      <c r="U302" s="14">
        <v>61</v>
      </c>
      <c r="V302" s="15">
        <v>62</v>
      </c>
      <c r="W302" s="14">
        <v>63</v>
      </c>
      <c r="X302" s="15">
        <v>64</v>
      </c>
      <c r="Y302" s="14">
        <v>65</v>
      </c>
      <c r="Z302" s="15">
        <v>66</v>
      </c>
      <c r="AA302" s="14">
        <v>67</v>
      </c>
      <c r="AB302" s="15">
        <v>68</v>
      </c>
      <c r="AC302" s="14">
        <v>69</v>
      </c>
      <c r="AD302" s="15">
        <v>70</v>
      </c>
      <c r="AE302" s="14">
        <v>71</v>
      </c>
      <c r="AF302" s="15">
        <v>72</v>
      </c>
      <c r="AG302" s="14">
        <v>73</v>
      </c>
      <c r="AH302" s="15">
        <v>74</v>
      </c>
      <c r="AI302" s="14">
        <v>75</v>
      </c>
      <c r="AJ302" s="15">
        <v>76</v>
      </c>
      <c r="AK302" s="14">
        <v>77</v>
      </c>
      <c r="AL302" s="15">
        <v>78</v>
      </c>
      <c r="AM302" s="14">
        <v>79</v>
      </c>
      <c r="AN302" s="15">
        <v>80</v>
      </c>
      <c r="AO302" s="14">
        <v>81</v>
      </c>
      <c r="AP302" s="15">
        <v>82</v>
      </c>
      <c r="AQ302" s="14">
        <v>83</v>
      </c>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row>
    <row r="303" spans="1:96" ht="15" hidden="1" customHeight="1" outlineLevel="2">
      <c r="A303" s="97"/>
      <c r="B303" s="126"/>
      <c r="C303" s="81" t="s">
        <v>308</v>
      </c>
      <c r="D303" s="13">
        <v>45</v>
      </c>
      <c r="E303" s="14">
        <v>46</v>
      </c>
      <c r="F303" s="13">
        <v>47</v>
      </c>
      <c r="G303" s="14">
        <v>48</v>
      </c>
      <c r="H303" s="13">
        <v>49</v>
      </c>
      <c r="I303" s="14">
        <v>50</v>
      </c>
      <c r="J303" s="13">
        <v>51</v>
      </c>
      <c r="K303" s="14">
        <v>52</v>
      </c>
      <c r="L303" s="13">
        <v>53</v>
      </c>
      <c r="M303" s="14">
        <v>54</v>
      </c>
      <c r="N303" s="13">
        <v>55</v>
      </c>
      <c r="O303" s="14">
        <v>56</v>
      </c>
      <c r="P303" s="13">
        <v>57</v>
      </c>
      <c r="Q303" s="14">
        <v>58</v>
      </c>
      <c r="R303" s="13">
        <v>59</v>
      </c>
      <c r="S303" s="14">
        <v>60</v>
      </c>
      <c r="T303" s="13">
        <v>61</v>
      </c>
      <c r="U303" s="14">
        <v>62</v>
      </c>
      <c r="V303" s="13">
        <v>63</v>
      </c>
      <c r="W303" s="14">
        <v>64</v>
      </c>
      <c r="X303" s="13">
        <v>65</v>
      </c>
      <c r="Y303" s="14">
        <v>66</v>
      </c>
      <c r="Z303" s="13">
        <v>67</v>
      </c>
      <c r="AA303" s="14">
        <v>68</v>
      </c>
      <c r="AB303" s="13">
        <v>69</v>
      </c>
      <c r="AC303" s="14">
        <v>70</v>
      </c>
      <c r="AD303" s="13">
        <v>71</v>
      </c>
      <c r="AE303" s="14">
        <v>72</v>
      </c>
      <c r="AF303" s="13">
        <v>73</v>
      </c>
      <c r="AG303" s="14">
        <v>74</v>
      </c>
      <c r="AH303" s="13">
        <v>75</v>
      </c>
      <c r="AI303" s="14">
        <v>76</v>
      </c>
      <c r="AJ303" s="13">
        <v>77</v>
      </c>
      <c r="AK303" s="14">
        <v>78</v>
      </c>
      <c r="AL303" s="13">
        <v>79</v>
      </c>
      <c r="AM303" s="14">
        <v>80</v>
      </c>
      <c r="AN303" s="13">
        <v>81</v>
      </c>
      <c r="AO303" s="14">
        <v>82</v>
      </c>
      <c r="AP303" s="13">
        <v>83</v>
      </c>
      <c r="AQ303" s="14">
        <v>84</v>
      </c>
      <c r="AR303" s="97"/>
      <c r="AS303" s="97"/>
      <c r="AT303" s="97"/>
      <c r="AU303" s="97"/>
      <c r="AV303" s="97"/>
      <c r="AW303" s="97"/>
      <c r="AX303" s="97"/>
      <c r="AY303" s="97"/>
      <c r="AZ303" s="97"/>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c r="CG303" s="97"/>
      <c r="CH303" s="97"/>
      <c r="CI303" s="97"/>
      <c r="CJ303" s="97"/>
      <c r="CK303" s="97"/>
      <c r="CL303" s="97"/>
      <c r="CM303" s="97"/>
      <c r="CN303" s="97"/>
      <c r="CO303" s="97"/>
      <c r="CP303" s="97"/>
      <c r="CQ303" s="97"/>
    </row>
    <row r="304" spans="1:96" ht="15" hidden="1" customHeight="1" outlineLevel="2">
      <c r="A304" s="97"/>
      <c r="B304" s="97" t="s">
        <v>352</v>
      </c>
      <c r="C304" s="97">
        <f>Road_mask</f>
        <v>1</v>
      </c>
      <c r="D304" s="90">
        <f t="shared" ref="D304:AQ304" si="74">Dementia_values_road_1db_in</f>
        <v>0</v>
      </c>
      <c r="E304" s="90">
        <f t="shared" si="74"/>
        <v>0</v>
      </c>
      <c r="F304" s="90">
        <f t="shared" si="74"/>
        <v>0</v>
      </c>
      <c r="G304" s="90">
        <f t="shared" si="74"/>
        <v>3.4603393611306714</v>
      </c>
      <c r="H304" s="90">
        <f t="shared" si="74"/>
        <v>3.4677214765155657</v>
      </c>
      <c r="I304" s="90">
        <f t="shared" si="74"/>
        <v>3.4751200119787371</v>
      </c>
      <c r="J304" s="90">
        <f t="shared" si="74"/>
        <v>3.4825350055150599</v>
      </c>
      <c r="K304" s="90">
        <f t="shared" si="74"/>
        <v>3.4899664952103446</v>
      </c>
      <c r="L304" s="90">
        <f t="shared" si="74"/>
        <v>3.4974145192418145</v>
      </c>
      <c r="M304" s="90">
        <f t="shared" si="74"/>
        <v>3.5048791158782882</v>
      </c>
      <c r="N304" s="90">
        <f t="shared" si="74"/>
        <v>3.5123603234804213</v>
      </c>
      <c r="O304" s="90">
        <f t="shared" si="74"/>
        <v>3.5198581805006501</v>
      </c>
      <c r="P304" s="90">
        <f t="shared" si="74"/>
        <v>3.5273727254842955</v>
      </c>
      <c r="Q304" s="90">
        <f t="shared" si="74"/>
        <v>3.5349039970684046</v>
      </c>
      <c r="R304" s="90">
        <f t="shared" si="74"/>
        <v>3.5424520339833632</v>
      </c>
      <c r="S304" s="90">
        <f t="shared" si="74"/>
        <v>3.5500168750522225</v>
      </c>
      <c r="T304" s="90">
        <f t="shared" si="74"/>
        <v>3.557598559191292</v>
      </c>
      <c r="U304" s="90">
        <f t="shared" si="74"/>
        <v>3.5651971254103314</v>
      </c>
      <c r="V304" s="90">
        <f t="shared" si="74"/>
        <v>3.5728126128126547</v>
      </c>
      <c r="W304" s="90">
        <f t="shared" si="74"/>
        <v>3.5804450605955433</v>
      </c>
      <c r="X304" s="90">
        <f t="shared" si="74"/>
        <v>3.5880945080505318</v>
      </c>
      <c r="Y304" s="90">
        <f t="shared" si="74"/>
        <v>3.5957609945631379</v>
      </c>
      <c r="Z304" s="90">
        <f t="shared" si="74"/>
        <v>3.6034445596138887</v>
      </c>
      <c r="AA304" s="90">
        <f t="shared" si="74"/>
        <v>3.6111452427776185</v>
      </c>
      <c r="AB304" s="90">
        <f t="shared" si="74"/>
        <v>3.6188630837248317</v>
      </c>
      <c r="AC304" s="90">
        <f t="shared" si="74"/>
        <v>3.6265981222209738</v>
      </c>
      <c r="AD304" s="90">
        <f t="shared" si="74"/>
        <v>3.6343503981267826</v>
      </c>
      <c r="AE304" s="90">
        <f t="shared" si="74"/>
        <v>3.6421199513991875</v>
      </c>
      <c r="AF304" s="90">
        <f t="shared" si="74"/>
        <v>3.6499068220910438</v>
      </c>
      <c r="AG304" s="90">
        <f t="shared" si="74"/>
        <v>3.657711050351208</v>
      </c>
      <c r="AH304" s="90">
        <f t="shared" si="74"/>
        <v>3.6655326764253391</v>
      </c>
      <c r="AI304" s="90">
        <f t="shared" si="74"/>
        <v>3.6733717406551727</v>
      </c>
      <c r="AJ304" s="90">
        <f t="shared" si="74"/>
        <v>3.6733717406551727</v>
      </c>
      <c r="AK304" s="90">
        <f t="shared" si="74"/>
        <v>3.6733717406551727</v>
      </c>
      <c r="AL304" s="90">
        <f t="shared" si="74"/>
        <v>3.6733717406551727</v>
      </c>
      <c r="AM304" s="90">
        <f t="shared" si="74"/>
        <v>3.6733717406551727</v>
      </c>
      <c r="AN304" s="90">
        <f t="shared" si="74"/>
        <v>3.6733717406551727</v>
      </c>
      <c r="AO304" s="90">
        <f t="shared" si="74"/>
        <v>3.6733717406551727</v>
      </c>
      <c r="AP304" s="90">
        <f t="shared" si="74"/>
        <v>3.6733717406551727</v>
      </c>
      <c r="AQ304" s="90">
        <f t="shared" si="74"/>
        <v>3.6733717406551727</v>
      </c>
      <c r="AR304" s="3" t="s">
        <v>451</v>
      </c>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c r="CG304" s="97"/>
      <c r="CH304" s="97"/>
      <c r="CI304" s="97"/>
      <c r="CJ304" s="97"/>
      <c r="CK304" s="97"/>
      <c r="CL304" s="97"/>
      <c r="CM304" s="97"/>
      <c r="CN304" s="97"/>
      <c r="CO304" s="97"/>
      <c r="CP304" s="97"/>
      <c r="CQ304" s="97"/>
    </row>
    <row r="305" spans="1:95" ht="15" hidden="1" customHeight="1" outlineLevel="2">
      <c r="A305" s="97"/>
      <c r="B305" s="97" t="s">
        <v>354</v>
      </c>
      <c r="C305" s="111">
        <f>Rail_mask</f>
        <v>0</v>
      </c>
      <c r="D305" s="90">
        <f t="shared" ref="D305:AQ305" si="75">Dementia_values_rail_1db_in</f>
        <v>0</v>
      </c>
      <c r="E305" s="90">
        <f t="shared" si="75"/>
        <v>0</v>
      </c>
      <c r="F305" s="90">
        <f t="shared" si="75"/>
        <v>0</v>
      </c>
      <c r="G305" s="90">
        <f t="shared" si="75"/>
        <v>0</v>
      </c>
      <c r="H305" s="90">
        <f t="shared" si="75"/>
        <v>0</v>
      </c>
      <c r="I305" s="90">
        <f t="shared" si="75"/>
        <v>0</v>
      </c>
      <c r="J305" s="90">
        <f t="shared" si="75"/>
        <v>3.7685641590021577</v>
      </c>
      <c r="K305" s="90">
        <f t="shared" si="75"/>
        <v>3.7773044961144473</v>
      </c>
      <c r="L305" s="90">
        <f t="shared" si="75"/>
        <v>3.7860659688744884</v>
      </c>
      <c r="M305" s="90">
        <f t="shared" si="75"/>
        <v>3.7948486304509577</v>
      </c>
      <c r="N305" s="90">
        <f t="shared" si="75"/>
        <v>3.8036525341515812</v>
      </c>
      <c r="O305" s="90">
        <f t="shared" si="75"/>
        <v>3.8124777334228104</v>
      </c>
      <c r="P305" s="90">
        <f t="shared" si="75"/>
        <v>3.8213242818508832</v>
      </c>
      <c r="Q305" s="90">
        <f t="shared" si="75"/>
        <v>3.8301922331609441</v>
      </c>
      <c r="R305" s="90">
        <f t="shared" si="75"/>
        <v>3.839081641219571</v>
      </c>
      <c r="S305" s="90">
        <f t="shared" si="75"/>
        <v>3.8479925600327829</v>
      </c>
      <c r="T305" s="90">
        <f t="shared" si="75"/>
        <v>3.8569250437481521</v>
      </c>
      <c r="U305" s="90">
        <f t="shared" si="75"/>
        <v>3.865879146653985</v>
      </c>
      <c r="V305" s="90">
        <f t="shared" si="75"/>
        <v>3.8748549231809233</v>
      </c>
      <c r="W305" s="90">
        <f t="shared" si="75"/>
        <v>3.8838524279009654</v>
      </c>
      <c r="X305" s="90">
        <f t="shared" si="75"/>
        <v>3.8928717155291883</v>
      </c>
      <c r="Y305" s="90">
        <f t="shared" si="75"/>
        <v>3.9019128409229777</v>
      </c>
      <c r="Z305" s="90">
        <f t="shared" si="75"/>
        <v>3.9109758590832464</v>
      </c>
      <c r="AA305" s="90">
        <f t="shared" si="75"/>
        <v>3.9200608251540152</v>
      </c>
      <c r="AB305" s="90">
        <f t="shared" si="75"/>
        <v>3.9291677944243126</v>
      </c>
      <c r="AC305" s="90">
        <f t="shared" si="75"/>
        <v>3.9382968223261541</v>
      </c>
      <c r="AD305" s="90">
        <f t="shared" si="75"/>
        <v>3.9474479644372638</v>
      </c>
      <c r="AE305" s="90">
        <f t="shared" si="75"/>
        <v>3.9566212764803343</v>
      </c>
      <c r="AF305" s="90">
        <f t="shared" si="75"/>
        <v>3.9658168143232344</v>
      </c>
      <c r="AG305" s="90">
        <f t="shared" si="75"/>
        <v>3.9750346339803033</v>
      </c>
      <c r="AH305" s="90">
        <f t="shared" si="75"/>
        <v>3.9842747916115631</v>
      </c>
      <c r="AI305" s="90">
        <f t="shared" si="75"/>
        <v>3.9935373435243915</v>
      </c>
      <c r="AJ305" s="90">
        <f t="shared" si="75"/>
        <v>3.9935373435243915</v>
      </c>
      <c r="AK305" s="90">
        <f t="shared" si="75"/>
        <v>3.9935373435243915</v>
      </c>
      <c r="AL305" s="90">
        <f t="shared" si="75"/>
        <v>3.9935373435243915</v>
      </c>
      <c r="AM305" s="90">
        <f t="shared" si="75"/>
        <v>3.9935373435243915</v>
      </c>
      <c r="AN305" s="90">
        <f t="shared" si="75"/>
        <v>3.9935373435243915</v>
      </c>
      <c r="AO305" s="90">
        <f t="shared" si="75"/>
        <v>3.9935373435243915</v>
      </c>
      <c r="AP305" s="90">
        <f t="shared" si="75"/>
        <v>3.9935373435243915</v>
      </c>
      <c r="AQ305" s="90">
        <f t="shared" si="75"/>
        <v>3.9935373435243915</v>
      </c>
      <c r="AR305" s="3" t="s">
        <v>452</v>
      </c>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c r="CG305" s="97"/>
      <c r="CH305" s="97"/>
      <c r="CI305" s="97"/>
      <c r="CJ305" s="97"/>
      <c r="CK305" s="97"/>
      <c r="CL305" s="97"/>
      <c r="CM305" s="97"/>
      <c r="CN305" s="97"/>
      <c r="CO305" s="97"/>
      <c r="CP305" s="97"/>
      <c r="CQ305" s="97"/>
    </row>
    <row r="306" spans="1:95" ht="15" hidden="1" customHeight="1" outlineLevel="2">
      <c r="A306" s="97"/>
      <c r="B306" s="97" t="s">
        <v>356</v>
      </c>
      <c r="C306" s="111">
        <f>Aviation_mask</f>
        <v>0</v>
      </c>
      <c r="D306" s="90">
        <f t="shared" ref="D306:AQ306" si="76">Dementia_values_aviation_1db_in</f>
        <v>0</v>
      </c>
      <c r="E306" s="90">
        <f t="shared" si="76"/>
        <v>0</v>
      </c>
      <c r="F306" s="90">
        <f t="shared" si="76"/>
        <v>0</v>
      </c>
      <c r="G306" s="90">
        <f t="shared" si="76"/>
        <v>0</v>
      </c>
      <c r="H306" s="90">
        <f t="shared" si="76"/>
        <v>0</v>
      </c>
      <c r="I306" s="90">
        <f t="shared" si="76"/>
        <v>0</v>
      </c>
      <c r="J306" s="90">
        <f t="shared" si="76"/>
        <v>6.7046187194066977</v>
      </c>
      <c r="K306" s="90">
        <f t="shared" si="76"/>
        <v>6.7322594862305536</v>
      </c>
      <c r="L306" s="90">
        <f t="shared" si="76"/>
        <v>6.7600191645682823</v>
      </c>
      <c r="M306" s="90">
        <f t="shared" si="76"/>
        <v>6.7878982869901066</v>
      </c>
      <c r="N306" s="90">
        <f t="shared" si="76"/>
        <v>6.8158973885402645</v>
      </c>
      <c r="O306" s="90">
        <f t="shared" si="76"/>
        <v>6.844017006749552</v>
      </c>
      <c r="P306" s="90">
        <f t="shared" si="76"/>
        <v>6.8722576816459959</v>
      </c>
      <c r="Q306" s="90">
        <f t="shared" si="76"/>
        <v>6.9006199557677572</v>
      </c>
      <c r="R306" s="90">
        <f t="shared" si="76"/>
        <v>6.929104374175191</v>
      </c>
      <c r="S306" s="90">
        <f t="shared" si="76"/>
        <v>6.9577114844628296</v>
      </c>
      <c r="T306" s="90">
        <f t="shared" si="76"/>
        <v>6.9864418367709309</v>
      </c>
      <c r="U306" s="90">
        <f t="shared" si="76"/>
        <v>7.0152959837987856</v>
      </c>
      <c r="V306" s="90">
        <f t="shared" si="76"/>
        <v>7.0442744808160391</v>
      </c>
      <c r="W306" s="90">
        <f t="shared" si="76"/>
        <v>7.0733778856759288</v>
      </c>
      <c r="X306" s="90">
        <f t="shared" si="76"/>
        <v>7.1026067588265267</v>
      </c>
      <c r="Y306" s="90">
        <f t="shared" si="76"/>
        <v>7.1319616633245717</v>
      </c>
      <c r="Z306" s="90">
        <f t="shared" si="76"/>
        <v>7.1614431648469976</v>
      </c>
      <c r="AA306" s="90">
        <f t="shared" si="76"/>
        <v>7.1910518317039553</v>
      </c>
      <c r="AB306" s="90">
        <f t="shared" si="76"/>
        <v>7.2207882348510477</v>
      </c>
      <c r="AC306" s="90">
        <f t="shared" si="76"/>
        <v>7.2506529479031174</v>
      </c>
      <c r="AD306" s="90">
        <f t="shared" si="76"/>
        <v>7.2806465471453388</v>
      </c>
      <c r="AE306" s="90">
        <f t="shared" si="76"/>
        <v>7.3107696115477516</v>
      </c>
      <c r="AF306" s="90">
        <f t="shared" si="76"/>
        <v>7.3410227227771578</v>
      </c>
      <c r="AG306" s="90">
        <f t="shared" si="76"/>
        <v>7.3714064652100433</v>
      </c>
      <c r="AH306" s="90">
        <f t="shared" si="76"/>
        <v>7.4019214259467727</v>
      </c>
      <c r="AI306" s="90">
        <f t="shared" si="76"/>
        <v>7.4325681948227311</v>
      </c>
      <c r="AJ306" s="90">
        <f t="shared" si="76"/>
        <v>7.4325681948227311</v>
      </c>
      <c r="AK306" s="90">
        <f t="shared" si="76"/>
        <v>7.4325681948227311</v>
      </c>
      <c r="AL306" s="90">
        <f t="shared" si="76"/>
        <v>7.4325681948227311</v>
      </c>
      <c r="AM306" s="90">
        <f t="shared" si="76"/>
        <v>7.4325681948227311</v>
      </c>
      <c r="AN306" s="90">
        <f t="shared" si="76"/>
        <v>7.4325681948227311</v>
      </c>
      <c r="AO306" s="90">
        <f t="shared" si="76"/>
        <v>7.4325681948227311</v>
      </c>
      <c r="AP306" s="90">
        <f t="shared" si="76"/>
        <v>7.4325681948227311</v>
      </c>
      <c r="AQ306" s="90">
        <f t="shared" si="76"/>
        <v>7.4325681948227311</v>
      </c>
      <c r="AR306" s="3" t="s">
        <v>453</v>
      </c>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c r="CG306" s="97"/>
      <c r="CH306" s="97"/>
      <c r="CI306" s="97"/>
      <c r="CJ306" s="97"/>
      <c r="CK306" s="97"/>
      <c r="CL306" s="97"/>
      <c r="CM306" s="97"/>
      <c r="CN306" s="97"/>
      <c r="CO306" s="97"/>
      <c r="CP306" s="97"/>
      <c r="CQ306" s="97"/>
    </row>
    <row r="307" spans="1:95" ht="15" hidden="1" customHeight="1" outlineLevel="2">
      <c r="A307" s="97"/>
      <c r="B307" s="97"/>
      <c r="C307" s="111"/>
      <c r="D307" s="3"/>
      <c r="E307" s="3"/>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c r="CJ307" s="97"/>
      <c r="CK307" s="97"/>
      <c r="CL307" s="97"/>
      <c r="CM307" s="97"/>
      <c r="CN307" s="97"/>
      <c r="CO307" s="97"/>
      <c r="CP307" s="97"/>
      <c r="CQ307" s="97"/>
    </row>
    <row r="308" spans="1:95" ht="15" hidden="1" customHeight="1" outlineLevel="2">
      <c r="A308" s="97"/>
      <c r="B308" s="126" t="s">
        <v>161</v>
      </c>
      <c r="C308" s="97"/>
      <c r="D308" s="13" t="s">
        <v>162</v>
      </c>
      <c r="E308" s="14">
        <v>45</v>
      </c>
      <c r="F308" s="15">
        <v>46</v>
      </c>
      <c r="G308" s="14">
        <v>47</v>
      </c>
      <c r="H308" s="15">
        <v>48</v>
      </c>
      <c r="I308" s="14">
        <v>49</v>
      </c>
      <c r="J308" s="15">
        <v>50</v>
      </c>
      <c r="K308" s="14">
        <v>51</v>
      </c>
      <c r="L308" s="15">
        <v>52</v>
      </c>
      <c r="M308" s="14">
        <v>53</v>
      </c>
      <c r="N308" s="15">
        <v>54</v>
      </c>
      <c r="O308" s="14">
        <v>55</v>
      </c>
      <c r="P308" s="15">
        <v>56</v>
      </c>
      <c r="Q308" s="14">
        <v>57</v>
      </c>
      <c r="R308" s="15">
        <v>58</v>
      </c>
      <c r="S308" s="14">
        <v>59</v>
      </c>
      <c r="T308" s="15">
        <v>60</v>
      </c>
      <c r="U308" s="14">
        <v>61</v>
      </c>
      <c r="V308" s="15">
        <v>62</v>
      </c>
      <c r="W308" s="14">
        <v>63</v>
      </c>
      <c r="X308" s="15">
        <v>64</v>
      </c>
      <c r="Y308" s="14">
        <v>65</v>
      </c>
      <c r="Z308" s="15">
        <v>66</v>
      </c>
      <c r="AA308" s="14">
        <v>67</v>
      </c>
      <c r="AB308" s="15">
        <v>68</v>
      </c>
      <c r="AC308" s="14">
        <v>69</v>
      </c>
      <c r="AD308" s="15">
        <v>70</v>
      </c>
      <c r="AE308" s="14">
        <v>71</v>
      </c>
      <c r="AF308" s="15">
        <v>72</v>
      </c>
      <c r="AG308" s="14">
        <v>73</v>
      </c>
      <c r="AH308" s="15">
        <v>74</v>
      </c>
      <c r="AI308" s="14">
        <v>75</v>
      </c>
      <c r="AJ308" s="15">
        <v>76</v>
      </c>
      <c r="AK308" s="14">
        <v>77</v>
      </c>
      <c r="AL308" s="15">
        <v>78</v>
      </c>
      <c r="AM308" s="14">
        <v>79</v>
      </c>
      <c r="AN308" s="15">
        <v>80</v>
      </c>
      <c r="AO308" s="14">
        <v>81</v>
      </c>
      <c r="AP308" s="15">
        <v>82</v>
      </c>
      <c r="AQ308" s="14">
        <v>83</v>
      </c>
      <c r="AR308" s="97"/>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c r="CG308" s="97"/>
      <c r="CH308" s="97"/>
      <c r="CI308" s="97"/>
      <c r="CJ308" s="97"/>
      <c r="CK308" s="97"/>
      <c r="CL308" s="97"/>
      <c r="CM308" s="97"/>
      <c r="CN308" s="97"/>
      <c r="CO308" s="97"/>
      <c r="CP308" s="97"/>
      <c r="CQ308" s="97"/>
    </row>
    <row r="309" spans="1:95" ht="15" hidden="1" customHeight="1" outlineLevel="2">
      <c r="A309" s="97"/>
      <c r="B309" s="126"/>
      <c r="C309" s="97"/>
      <c r="D309" s="13">
        <v>45</v>
      </c>
      <c r="E309" s="14">
        <v>46</v>
      </c>
      <c r="F309" s="13">
        <v>47</v>
      </c>
      <c r="G309" s="14">
        <v>48</v>
      </c>
      <c r="H309" s="13">
        <v>49</v>
      </c>
      <c r="I309" s="14">
        <v>50</v>
      </c>
      <c r="J309" s="13">
        <v>51</v>
      </c>
      <c r="K309" s="14">
        <v>52</v>
      </c>
      <c r="L309" s="13">
        <v>53</v>
      </c>
      <c r="M309" s="14">
        <v>54</v>
      </c>
      <c r="N309" s="13">
        <v>55</v>
      </c>
      <c r="O309" s="14">
        <v>56</v>
      </c>
      <c r="P309" s="13">
        <v>57</v>
      </c>
      <c r="Q309" s="14">
        <v>58</v>
      </c>
      <c r="R309" s="13">
        <v>59</v>
      </c>
      <c r="S309" s="14">
        <v>60</v>
      </c>
      <c r="T309" s="13">
        <v>61</v>
      </c>
      <c r="U309" s="14">
        <v>62</v>
      </c>
      <c r="V309" s="13">
        <v>63</v>
      </c>
      <c r="W309" s="14">
        <v>64</v>
      </c>
      <c r="X309" s="13">
        <v>65</v>
      </c>
      <c r="Y309" s="14">
        <v>66</v>
      </c>
      <c r="Z309" s="13">
        <v>67</v>
      </c>
      <c r="AA309" s="14">
        <v>68</v>
      </c>
      <c r="AB309" s="13">
        <v>69</v>
      </c>
      <c r="AC309" s="14">
        <v>70</v>
      </c>
      <c r="AD309" s="13">
        <v>71</v>
      </c>
      <c r="AE309" s="14">
        <v>72</v>
      </c>
      <c r="AF309" s="13">
        <v>73</v>
      </c>
      <c r="AG309" s="14">
        <v>74</v>
      </c>
      <c r="AH309" s="13">
        <v>75</v>
      </c>
      <c r="AI309" s="14">
        <v>76</v>
      </c>
      <c r="AJ309" s="13">
        <v>77</v>
      </c>
      <c r="AK309" s="14">
        <v>78</v>
      </c>
      <c r="AL309" s="13">
        <v>79</v>
      </c>
      <c r="AM309" s="14">
        <v>80</v>
      </c>
      <c r="AN309" s="13">
        <v>81</v>
      </c>
      <c r="AO309" s="14">
        <v>82</v>
      </c>
      <c r="AP309" s="13">
        <v>83</v>
      </c>
      <c r="AQ309" s="14">
        <v>84</v>
      </c>
      <c r="AR309" s="97"/>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c r="CG309" s="97"/>
      <c r="CH309" s="97"/>
      <c r="CI309" s="97"/>
      <c r="CJ309" s="97"/>
      <c r="CK309" s="97"/>
      <c r="CL309" s="97"/>
      <c r="CM309" s="97"/>
      <c r="CN309" s="97"/>
      <c r="CO309" s="97"/>
      <c r="CP309" s="97"/>
      <c r="CQ309" s="97"/>
    </row>
    <row r="310" spans="1:95" ht="15" hidden="1" customHeight="1" outlineLevel="2">
      <c r="A310" s="97"/>
      <c r="B310" s="97" t="s">
        <v>317</v>
      </c>
      <c r="C310" s="97"/>
      <c r="D310" s="90">
        <f t="shared" ref="D310:AQ310" si="77">Dementia_values_road_1dB*Road_mask +Dementia_values_rail_1dB*Rail_mask +Dementia_values_aviation_1dB*Aviation_mask</f>
        <v>0</v>
      </c>
      <c r="E310" s="90">
        <f t="shared" si="77"/>
        <v>0</v>
      </c>
      <c r="F310" s="90">
        <f t="shared" si="77"/>
        <v>0</v>
      </c>
      <c r="G310" s="90">
        <f t="shared" si="77"/>
        <v>3.4603393611306714</v>
      </c>
      <c r="H310" s="90">
        <f t="shared" si="77"/>
        <v>3.4677214765155657</v>
      </c>
      <c r="I310" s="90">
        <f t="shared" si="77"/>
        <v>3.4751200119787371</v>
      </c>
      <c r="J310" s="90">
        <f t="shared" si="77"/>
        <v>3.4825350055150599</v>
      </c>
      <c r="K310" s="90">
        <f t="shared" si="77"/>
        <v>3.4899664952103446</v>
      </c>
      <c r="L310" s="90">
        <f t="shared" si="77"/>
        <v>3.4974145192418145</v>
      </c>
      <c r="M310" s="90">
        <f t="shared" si="77"/>
        <v>3.5048791158782882</v>
      </c>
      <c r="N310" s="90">
        <f t="shared" si="77"/>
        <v>3.5123603234804213</v>
      </c>
      <c r="O310" s="90">
        <f t="shared" si="77"/>
        <v>3.5198581805006501</v>
      </c>
      <c r="P310" s="90">
        <f t="shared" si="77"/>
        <v>3.5273727254842955</v>
      </c>
      <c r="Q310" s="90">
        <f t="shared" si="77"/>
        <v>3.5349039970684046</v>
      </c>
      <c r="R310" s="90">
        <f t="shared" si="77"/>
        <v>3.5424520339833632</v>
      </c>
      <c r="S310" s="90">
        <f t="shared" si="77"/>
        <v>3.5500168750522225</v>
      </c>
      <c r="T310" s="90">
        <f t="shared" si="77"/>
        <v>3.557598559191292</v>
      </c>
      <c r="U310" s="90">
        <f t="shared" si="77"/>
        <v>3.5651971254103314</v>
      </c>
      <c r="V310" s="90">
        <f t="shared" si="77"/>
        <v>3.5728126128126547</v>
      </c>
      <c r="W310" s="90">
        <f t="shared" si="77"/>
        <v>3.5804450605955433</v>
      </c>
      <c r="X310" s="90">
        <f t="shared" si="77"/>
        <v>3.5880945080505318</v>
      </c>
      <c r="Y310" s="90">
        <f t="shared" si="77"/>
        <v>3.5957609945631379</v>
      </c>
      <c r="Z310" s="90">
        <f t="shared" si="77"/>
        <v>3.6034445596138887</v>
      </c>
      <c r="AA310" s="90">
        <f t="shared" si="77"/>
        <v>3.6111452427776185</v>
      </c>
      <c r="AB310" s="90">
        <f t="shared" si="77"/>
        <v>3.6188630837248317</v>
      </c>
      <c r="AC310" s="90">
        <f t="shared" si="77"/>
        <v>3.6265981222209738</v>
      </c>
      <c r="AD310" s="90">
        <f t="shared" si="77"/>
        <v>3.6343503981267826</v>
      </c>
      <c r="AE310" s="90">
        <f t="shared" si="77"/>
        <v>3.6421199513991875</v>
      </c>
      <c r="AF310" s="90">
        <f t="shared" si="77"/>
        <v>3.6499068220910438</v>
      </c>
      <c r="AG310" s="90">
        <f t="shared" si="77"/>
        <v>3.657711050351208</v>
      </c>
      <c r="AH310" s="90">
        <f t="shared" si="77"/>
        <v>3.6655326764253391</v>
      </c>
      <c r="AI310" s="90">
        <f t="shared" si="77"/>
        <v>3.6733717406551727</v>
      </c>
      <c r="AJ310" s="90">
        <f t="shared" si="77"/>
        <v>3.6733717406551727</v>
      </c>
      <c r="AK310" s="90">
        <f t="shared" si="77"/>
        <v>3.6733717406551727</v>
      </c>
      <c r="AL310" s="90">
        <f t="shared" si="77"/>
        <v>3.6733717406551727</v>
      </c>
      <c r="AM310" s="90">
        <f t="shared" si="77"/>
        <v>3.6733717406551727</v>
      </c>
      <c r="AN310" s="90">
        <f t="shared" si="77"/>
        <v>3.6733717406551727</v>
      </c>
      <c r="AO310" s="90">
        <f t="shared" si="77"/>
        <v>3.6733717406551727</v>
      </c>
      <c r="AP310" s="90">
        <f t="shared" si="77"/>
        <v>3.6733717406551727</v>
      </c>
      <c r="AQ310" s="90">
        <f t="shared" si="77"/>
        <v>3.6733717406551727</v>
      </c>
      <c r="AR310" s="3" t="s">
        <v>454</v>
      </c>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c r="CG310" s="97"/>
      <c r="CH310" s="97"/>
      <c r="CI310" s="97"/>
      <c r="CJ310" s="97"/>
      <c r="CK310" s="97"/>
      <c r="CL310" s="97"/>
      <c r="CM310" s="97"/>
      <c r="CN310" s="97"/>
      <c r="CO310" s="97"/>
      <c r="CP310" s="97"/>
      <c r="CQ310" s="97"/>
    </row>
    <row r="311" spans="1:95" ht="15" hidden="1" customHeight="1" outlineLevel="2">
      <c r="A311" s="97"/>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97"/>
      <c r="AQ311" s="97"/>
      <c r="AR311" s="97"/>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c r="CG311" s="97"/>
      <c r="CH311" s="97"/>
      <c r="CI311" s="97"/>
      <c r="CJ311" s="97"/>
      <c r="CK311" s="97"/>
      <c r="CL311" s="97"/>
      <c r="CM311" s="97"/>
      <c r="CN311" s="97"/>
      <c r="CO311" s="97"/>
      <c r="CP311" s="97"/>
      <c r="CQ311" s="97"/>
    </row>
    <row r="312" spans="1:95" ht="15" hidden="1" customHeight="1" outlineLevel="2">
      <c r="A312" s="97"/>
      <c r="C312" s="127" t="s">
        <v>319</v>
      </c>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c r="AM312" s="113"/>
      <c r="AN312" s="113"/>
      <c r="AO312" s="113"/>
      <c r="AP312" s="113"/>
      <c r="AQ312" s="113"/>
      <c r="AR312" s="3"/>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c r="CG312" s="97"/>
      <c r="CH312" s="97"/>
      <c r="CI312" s="97"/>
      <c r="CJ312" s="97"/>
      <c r="CK312" s="97"/>
      <c r="CL312" s="97"/>
      <c r="CM312" s="97"/>
      <c r="CN312" s="97"/>
      <c r="CO312" s="97"/>
      <c r="CP312" s="97"/>
      <c r="CQ312" s="97"/>
    </row>
    <row r="313" spans="1:95" ht="15" hidden="1" customHeight="1" outlineLevel="2">
      <c r="A313" s="97"/>
      <c r="B313" s="97" t="s">
        <v>320</v>
      </c>
      <c r="C313" s="127" t="s">
        <v>80</v>
      </c>
      <c r="D313" s="90">
        <v>1</v>
      </c>
      <c r="E313" s="90">
        <v>1</v>
      </c>
      <c r="F313" s="90">
        <v>0.5</v>
      </c>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3" t="s">
        <v>455</v>
      </c>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c r="CG313" s="97"/>
      <c r="CH313" s="97"/>
      <c r="CI313" s="97"/>
      <c r="CJ313" s="97"/>
      <c r="CK313" s="97"/>
      <c r="CL313" s="97"/>
      <c r="CM313" s="97"/>
      <c r="CN313" s="97"/>
      <c r="CO313" s="97"/>
      <c r="CP313" s="97"/>
      <c r="CQ313" s="97"/>
    </row>
    <row r="314" spans="1:95" ht="15" hidden="1" customHeight="1" outlineLevel="2">
      <c r="A314" s="97"/>
      <c r="B314" s="97" t="s">
        <v>322</v>
      </c>
      <c r="C314" s="127" t="s">
        <v>81</v>
      </c>
      <c r="D314" s="90"/>
      <c r="E314" s="90"/>
      <c r="F314" s="90">
        <v>0.5</v>
      </c>
      <c r="G314" s="90">
        <v>1</v>
      </c>
      <c r="H314" s="90">
        <v>1</v>
      </c>
      <c r="I314" s="90">
        <v>0.5</v>
      </c>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3" t="s">
        <v>456</v>
      </c>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c r="CG314" s="97"/>
      <c r="CH314" s="97"/>
      <c r="CI314" s="97"/>
      <c r="CJ314" s="97"/>
      <c r="CK314" s="97"/>
      <c r="CL314" s="97"/>
      <c r="CM314" s="97"/>
      <c r="CN314" s="97"/>
      <c r="CO314" s="97"/>
      <c r="CP314" s="97"/>
      <c r="CQ314" s="97"/>
    </row>
    <row r="315" spans="1:95" ht="15" hidden="1" customHeight="1" outlineLevel="2">
      <c r="A315" s="97"/>
      <c r="B315" s="97" t="s">
        <v>324</v>
      </c>
      <c r="C315" s="127" t="s">
        <v>82</v>
      </c>
      <c r="D315" s="90"/>
      <c r="E315" s="90"/>
      <c r="F315" s="90"/>
      <c r="G315" s="90"/>
      <c r="H315" s="90"/>
      <c r="I315" s="90">
        <v>0.5</v>
      </c>
      <c r="J315" s="90">
        <v>1</v>
      </c>
      <c r="K315" s="90">
        <v>1</v>
      </c>
      <c r="L315" s="90">
        <v>0.5</v>
      </c>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3" t="s">
        <v>457</v>
      </c>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c r="CG315" s="97"/>
      <c r="CH315" s="97"/>
      <c r="CI315" s="97"/>
      <c r="CJ315" s="97"/>
      <c r="CK315" s="97"/>
      <c r="CL315" s="97"/>
      <c r="CM315" s="97"/>
      <c r="CN315" s="97"/>
      <c r="CO315" s="97"/>
      <c r="CP315" s="97"/>
      <c r="CQ315" s="97"/>
    </row>
    <row r="316" spans="1:95" ht="15" hidden="1" customHeight="1" outlineLevel="2">
      <c r="A316" s="97"/>
      <c r="B316" s="97"/>
      <c r="C316" s="127" t="s">
        <v>83</v>
      </c>
      <c r="D316" s="90"/>
      <c r="E316" s="90"/>
      <c r="F316" s="90"/>
      <c r="G316" s="90"/>
      <c r="H316" s="90"/>
      <c r="I316" s="90"/>
      <c r="J316" s="90"/>
      <c r="K316" s="90"/>
      <c r="L316" s="90">
        <v>0.5</v>
      </c>
      <c r="M316" s="90">
        <v>1</v>
      </c>
      <c r="N316" s="90">
        <v>1</v>
      </c>
      <c r="O316" s="90">
        <v>0.5</v>
      </c>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3" t="s">
        <v>458</v>
      </c>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c r="CG316" s="97"/>
      <c r="CH316" s="97"/>
      <c r="CI316" s="97"/>
      <c r="CJ316" s="97"/>
      <c r="CK316" s="97"/>
      <c r="CL316" s="97"/>
      <c r="CM316" s="97"/>
      <c r="CN316" s="97"/>
      <c r="CO316" s="97"/>
      <c r="CP316" s="97"/>
      <c r="CQ316" s="97"/>
    </row>
    <row r="317" spans="1:95" ht="15" hidden="1" customHeight="1" outlineLevel="2">
      <c r="A317" s="97"/>
      <c r="B317" s="97"/>
      <c r="C317" s="127" t="s">
        <v>84</v>
      </c>
      <c r="D317" s="90"/>
      <c r="E317" s="90"/>
      <c r="F317" s="90"/>
      <c r="G317" s="90"/>
      <c r="H317" s="90"/>
      <c r="I317" s="90"/>
      <c r="J317" s="90"/>
      <c r="K317" s="90"/>
      <c r="L317" s="90"/>
      <c r="M317" s="90"/>
      <c r="N317" s="90"/>
      <c r="O317" s="90">
        <v>0.5</v>
      </c>
      <c r="P317" s="90">
        <v>1</v>
      </c>
      <c r="Q317" s="90">
        <v>1</v>
      </c>
      <c r="R317" s="90">
        <v>0.5</v>
      </c>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3" t="s">
        <v>459</v>
      </c>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c r="CG317" s="97"/>
      <c r="CH317" s="97"/>
      <c r="CI317" s="97"/>
      <c r="CJ317" s="97"/>
      <c r="CK317" s="97"/>
      <c r="CL317" s="97"/>
      <c r="CM317" s="97"/>
      <c r="CN317" s="97"/>
      <c r="CO317" s="97"/>
      <c r="CP317" s="97"/>
      <c r="CQ317" s="97"/>
    </row>
    <row r="318" spans="1:95" ht="15" hidden="1" customHeight="1" outlineLevel="2">
      <c r="A318" s="97"/>
      <c r="B318" s="97"/>
      <c r="C318" s="127" t="s">
        <v>85</v>
      </c>
      <c r="D318" s="90"/>
      <c r="E318" s="90"/>
      <c r="F318" s="90"/>
      <c r="G318" s="90"/>
      <c r="H318" s="90"/>
      <c r="I318" s="90"/>
      <c r="J318" s="90"/>
      <c r="K318" s="90"/>
      <c r="L318" s="90"/>
      <c r="M318" s="90"/>
      <c r="N318" s="90"/>
      <c r="O318" s="90"/>
      <c r="P318" s="90"/>
      <c r="Q318" s="90"/>
      <c r="R318" s="90">
        <v>0.5</v>
      </c>
      <c r="S318" s="90">
        <v>1</v>
      </c>
      <c r="T318" s="90">
        <v>1</v>
      </c>
      <c r="U318" s="90">
        <v>0.5</v>
      </c>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3" t="s">
        <v>460</v>
      </c>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c r="CG318" s="97"/>
      <c r="CH318" s="97"/>
      <c r="CI318" s="97"/>
      <c r="CJ318" s="97"/>
      <c r="CK318" s="97"/>
      <c r="CL318" s="97"/>
      <c r="CM318" s="97"/>
      <c r="CN318" s="97"/>
      <c r="CO318" s="97"/>
      <c r="CP318" s="97"/>
      <c r="CQ318" s="97"/>
    </row>
    <row r="319" spans="1:95" ht="15" hidden="1" customHeight="1" outlineLevel="2">
      <c r="A319" s="97"/>
      <c r="B319" s="97"/>
      <c r="C319" s="127" t="s">
        <v>86</v>
      </c>
      <c r="D319" s="90"/>
      <c r="E319" s="90"/>
      <c r="F319" s="90"/>
      <c r="G319" s="90"/>
      <c r="H319" s="90"/>
      <c r="I319" s="90"/>
      <c r="J319" s="90"/>
      <c r="K319" s="90"/>
      <c r="L319" s="90"/>
      <c r="M319" s="90"/>
      <c r="N319" s="90"/>
      <c r="O319" s="90"/>
      <c r="P319" s="90"/>
      <c r="Q319" s="90"/>
      <c r="R319" s="90"/>
      <c r="S319" s="90"/>
      <c r="T319" s="90"/>
      <c r="U319" s="90">
        <v>0.5</v>
      </c>
      <c r="V319" s="90">
        <v>1</v>
      </c>
      <c r="W319" s="90">
        <v>1</v>
      </c>
      <c r="X319" s="90">
        <v>0.5</v>
      </c>
      <c r="Y319" s="90"/>
      <c r="Z319" s="90"/>
      <c r="AA319" s="90"/>
      <c r="AB319" s="90"/>
      <c r="AC319" s="90"/>
      <c r="AD319" s="90"/>
      <c r="AE319" s="90"/>
      <c r="AF319" s="90"/>
      <c r="AG319" s="90"/>
      <c r="AH319" s="90"/>
      <c r="AI319" s="90"/>
      <c r="AJ319" s="90"/>
      <c r="AK319" s="90"/>
      <c r="AL319" s="90"/>
      <c r="AM319" s="90"/>
      <c r="AN319" s="90"/>
      <c r="AO319" s="90"/>
      <c r="AP319" s="90"/>
      <c r="AQ319" s="90"/>
      <c r="AR319" s="3" t="s">
        <v>461</v>
      </c>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c r="CG319" s="97"/>
      <c r="CH319" s="97"/>
      <c r="CI319" s="97"/>
      <c r="CJ319" s="97"/>
      <c r="CK319" s="97"/>
      <c r="CL319" s="97"/>
      <c r="CM319" s="97"/>
      <c r="CN319" s="97"/>
      <c r="CO319" s="97"/>
      <c r="CP319" s="97"/>
      <c r="CQ319" s="97"/>
    </row>
    <row r="320" spans="1:95" ht="15" hidden="1" customHeight="1" outlineLevel="2">
      <c r="A320" s="97"/>
      <c r="B320" s="97"/>
      <c r="C320" s="127" t="s">
        <v>87</v>
      </c>
      <c r="D320" s="90"/>
      <c r="E320" s="90"/>
      <c r="F320" s="90"/>
      <c r="G320" s="90"/>
      <c r="H320" s="90"/>
      <c r="I320" s="90"/>
      <c r="J320" s="90"/>
      <c r="K320" s="90"/>
      <c r="L320" s="90"/>
      <c r="M320" s="90"/>
      <c r="N320" s="90"/>
      <c r="O320" s="90"/>
      <c r="P320" s="90"/>
      <c r="Q320" s="90"/>
      <c r="R320" s="90"/>
      <c r="S320" s="90"/>
      <c r="T320" s="90"/>
      <c r="U320" s="90"/>
      <c r="V320" s="90"/>
      <c r="W320" s="90"/>
      <c r="X320" s="90">
        <v>0.5</v>
      </c>
      <c r="Y320" s="90">
        <v>1</v>
      </c>
      <c r="Z320" s="90">
        <v>1</v>
      </c>
      <c r="AA320" s="90">
        <v>0.5</v>
      </c>
      <c r="AB320" s="90"/>
      <c r="AC320" s="90"/>
      <c r="AD320" s="90"/>
      <c r="AE320" s="90"/>
      <c r="AF320" s="90"/>
      <c r="AG320" s="90"/>
      <c r="AH320" s="90"/>
      <c r="AI320" s="90"/>
      <c r="AJ320" s="90"/>
      <c r="AK320" s="90"/>
      <c r="AL320" s="90"/>
      <c r="AM320" s="90"/>
      <c r="AN320" s="90"/>
      <c r="AO320" s="90"/>
      <c r="AP320" s="90"/>
      <c r="AQ320" s="90"/>
      <c r="AR320" s="3" t="s">
        <v>462</v>
      </c>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c r="CG320" s="97"/>
      <c r="CH320" s="97"/>
      <c r="CI320" s="97"/>
      <c r="CJ320" s="97"/>
      <c r="CK320" s="97"/>
      <c r="CL320" s="97"/>
      <c r="CM320" s="97"/>
      <c r="CN320" s="97"/>
      <c r="CO320" s="97"/>
      <c r="CP320" s="97"/>
      <c r="CQ320" s="97"/>
    </row>
    <row r="321" spans="1:95" ht="15" hidden="1" customHeight="1" outlineLevel="2">
      <c r="A321" s="97"/>
      <c r="B321" s="97"/>
      <c r="C321" s="127" t="s">
        <v>88</v>
      </c>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v>0.5</v>
      </c>
      <c r="AB321" s="90">
        <v>1</v>
      </c>
      <c r="AC321" s="90">
        <v>1</v>
      </c>
      <c r="AD321" s="90">
        <v>0.5</v>
      </c>
      <c r="AE321" s="90"/>
      <c r="AF321" s="90"/>
      <c r="AG321" s="90"/>
      <c r="AH321" s="90"/>
      <c r="AI321" s="90"/>
      <c r="AJ321" s="90"/>
      <c r="AK321" s="90"/>
      <c r="AL321" s="90"/>
      <c r="AM321" s="90"/>
      <c r="AN321" s="90"/>
      <c r="AO321" s="90"/>
      <c r="AP321" s="90"/>
      <c r="AQ321" s="90"/>
      <c r="AR321" s="3" t="s">
        <v>463</v>
      </c>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c r="CG321" s="97"/>
      <c r="CH321" s="97"/>
      <c r="CI321" s="97"/>
      <c r="CJ321" s="97"/>
      <c r="CK321" s="97"/>
      <c r="CL321" s="97"/>
      <c r="CM321" s="97"/>
      <c r="CN321" s="97"/>
      <c r="CO321" s="97"/>
      <c r="CP321" s="97"/>
      <c r="CQ321" s="97"/>
    </row>
    <row r="322" spans="1:95" ht="15" hidden="1" customHeight="1" outlineLevel="2">
      <c r="A322" s="97"/>
      <c r="B322" s="97"/>
      <c r="C322" s="127" t="s">
        <v>89</v>
      </c>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v>0.5</v>
      </c>
      <c r="AE322" s="90">
        <v>1</v>
      </c>
      <c r="AF322" s="90">
        <v>1</v>
      </c>
      <c r="AG322" s="90">
        <v>0.5</v>
      </c>
      <c r="AH322" s="90"/>
      <c r="AI322" s="90"/>
      <c r="AJ322" s="90"/>
      <c r="AK322" s="90"/>
      <c r="AL322" s="90"/>
      <c r="AM322" s="90"/>
      <c r="AN322" s="90"/>
      <c r="AO322" s="90"/>
      <c r="AP322" s="90"/>
      <c r="AQ322" s="90"/>
      <c r="AR322" s="3" t="s">
        <v>464</v>
      </c>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c r="CG322" s="97"/>
      <c r="CH322" s="97"/>
      <c r="CI322" s="97"/>
      <c r="CJ322" s="97"/>
      <c r="CK322" s="97"/>
      <c r="CL322" s="97"/>
      <c r="CM322" s="97"/>
      <c r="CN322" s="97"/>
      <c r="CO322" s="97"/>
      <c r="CP322" s="97"/>
      <c r="CQ322" s="97"/>
    </row>
    <row r="323" spans="1:95" ht="15" hidden="1" customHeight="1" outlineLevel="2">
      <c r="A323" s="97"/>
      <c r="B323" s="97"/>
      <c r="C323" s="127" t="s">
        <v>90</v>
      </c>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v>0.5</v>
      </c>
      <c r="AH323" s="90">
        <v>1</v>
      </c>
      <c r="AI323" s="90">
        <v>1</v>
      </c>
      <c r="AJ323" s="90">
        <v>0.5</v>
      </c>
      <c r="AK323" s="90"/>
      <c r="AL323" s="90"/>
      <c r="AM323" s="90"/>
      <c r="AN323" s="90"/>
      <c r="AO323" s="90"/>
      <c r="AP323" s="90"/>
      <c r="AQ323" s="90"/>
      <c r="AR323" s="3" t="s">
        <v>465</v>
      </c>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c r="CG323" s="97"/>
      <c r="CH323" s="97"/>
      <c r="CI323" s="97"/>
      <c r="CJ323" s="97"/>
      <c r="CK323" s="97"/>
      <c r="CL323" s="97"/>
      <c r="CM323" s="97"/>
      <c r="CN323" s="97"/>
      <c r="CO323" s="97"/>
      <c r="CP323" s="97"/>
      <c r="CQ323" s="97"/>
    </row>
    <row r="324" spans="1:95" ht="15" hidden="1" customHeight="1" outlineLevel="2">
      <c r="A324" s="97"/>
      <c r="B324" s="97"/>
      <c r="C324" s="127" t="s">
        <v>91</v>
      </c>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v>0.5</v>
      </c>
      <c r="AK324" s="90">
        <v>1</v>
      </c>
      <c r="AL324" s="90">
        <v>1</v>
      </c>
      <c r="AM324" s="90">
        <v>0.5</v>
      </c>
      <c r="AN324" s="90"/>
      <c r="AO324" s="90"/>
      <c r="AP324" s="90"/>
      <c r="AQ324" s="90"/>
      <c r="AR324" s="3" t="s">
        <v>466</v>
      </c>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c r="CG324" s="97"/>
      <c r="CH324" s="97"/>
      <c r="CI324" s="97"/>
      <c r="CJ324" s="97"/>
      <c r="CK324" s="97"/>
      <c r="CL324" s="97"/>
      <c r="CM324" s="97"/>
      <c r="CN324" s="97"/>
      <c r="CO324" s="97"/>
      <c r="CP324" s="97"/>
      <c r="CQ324" s="97"/>
    </row>
    <row r="325" spans="1:95" ht="15" hidden="1" customHeight="1" outlineLevel="2">
      <c r="A325" s="97"/>
      <c r="B325" s="97"/>
      <c r="C325" s="127" t="s">
        <v>92</v>
      </c>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v>0.5</v>
      </c>
      <c r="AN325" s="90">
        <v>1</v>
      </c>
      <c r="AO325" s="90">
        <v>1</v>
      </c>
      <c r="AP325" s="90">
        <v>0.5</v>
      </c>
      <c r="AQ325" s="90"/>
      <c r="AR325" s="3" t="s">
        <v>467</v>
      </c>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c r="CG325" s="97"/>
      <c r="CH325" s="97"/>
      <c r="CI325" s="97"/>
      <c r="CJ325" s="97"/>
      <c r="CK325" s="97"/>
      <c r="CL325" s="97"/>
      <c r="CM325" s="97"/>
      <c r="CN325" s="97"/>
      <c r="CO325" s="97"/>
      <c r="CP325" s="97"/>
      <c r="CQ325" s="97"/>
    </row>
    <row r="326" spans="1:95" ht="15" hidden="1" customHeight="1" outlineLevel="2">
      <c r="A326" s="97"/>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97"/>
      <c r="AQ326" s="97"/>
      <c r="AR326" s="97"/>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c r="CG326" s="97"/>
      <c r="CH326" s="97"/>
      <c r="CI326" s="97"/>
      <c r="CJ326" s="97"/>
      <c r="CK326" s="97"/>
      <c r="CL326" s="97"/>
      <c r="CM326" s="97"/>
      <c r="CN326" s="97"/>
      <c r="CO326" s="97"/>
      <c r="CP326" s="97"/>
      <c r="CQ326" s="97"/>
    </row>
    <row r="327" spans="1:95" ht="15" customHeight="1" outlineLevel="1" collapsed="1">
      <c r="A327" s="97"/>
      <c r="B327" s="126" t="s">
        <v>161</v>
      </c>
      <c r="C327" s="97"/>
      <c r="D327" s="19" t="s">
        <v>80</v>
      </c>
      <c r="E327" s="20" t="s">
        <v>81</v>
      </c>
      <c r="F327" s="20" t="s">
        <v>82</v>
      </c>
      <c r="G327" s="20" t="s">
        <v>83</v>
      </c>
      <c r="H327" s="20" t="s">
        <v>84</v>
      </c>
      <c r="I327" s="20" t="s">
        <v>85</v>
      </c>
      <c r="J327" s="20" t="s">
        <v>86</v>
      </c>
      <c r="K327" s="20" t="s">
        <v>87</v>
      </c>
      <c r="L327" s="20" t="s">
        <v>88</v>
      </c>
      <c r="M327" s="20" t="s">
        <v>89</v>
      </c>
      <c r="N327" s="20" t="s">
        <v>90</v>
      </c>
      <c r="O327" s="20" t="s">
        <v>91</v>
      </c>
      <c r="P327" s="20" t="s">
        <v>92</v>
      </c>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c r="CJ327" s="97"/>
      <c r="CK327" s="97"/>
      <c r="CL327" s="97"/>
      <c r="CM327" s="97"/>
      <c r="CN327" s="97"/>
      <c r="CO327" s="97"/>
      <c r="CP327" s="97"/>
      <c r="CQ327" s="97"/>
    </row>
    <row r="328" spans="1:95" ht="15" customHeight="1" outlineLevel="1">
      <c r="A328" s="97"/>
      <c r="B328" s="126"/>
      <c r="C328" s="97"/>
      <c r="D328" s="19" t="s">
        <v>81</v>
      </c>
      <c r="E328" s="20" t="s">
        <v>82</v>
      </c>
      <c r="F328" s="20" t="s">
        <v>83</v>
      </c>
      <c r="G328" s="20" t="s">
        <v>84</v>
      </c>
      <c r="H328" s="20" t="s">
        <v>85</v>
      </c>
      <c r="I328" s="20" t="s">
        <v>86</v>
      </c>
      <c r="J328" s="20" t="s">
        <v>87</v>
      </c>
      <c r="K328" s="20" t="s">
        <v>88</v>
      </c>
      <c r="L328" s="20" t="s">
        <v>89</v>
      </c>
      <c r="M328" s="20" t="s">
        <v>90</v>
      </c>
      <c r="N328" s="20" t="s">
        <v>91</v>
      </c>
      <c r="O328" s="20" t="s">
        <v>92</v>
      </c>
      <c r="P328" s="20" t="s">
        <v>93</v>
      </c>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row>
    <row r="329" spans="1:95" ht="15" customHeight="1" outlineLevel="1">
      <c r="A329" s="97"/>
      <c r="B329" s="97" t="s">
        <v>317</v>
      </c>
      <c r="C329" s="97"/>
      <c r="D329" s="90">
        <f>SUMPRODUCT(Dementia_values_1dB_table,dementia_1_to_3_dB_band_45)</f>
        <v>0</v>
      </c>
      <c r="E329" s="90">
        <f>SUMPRODUCT(Dementia_values_1dB_table,dementia_1_to_3_dB_band_45_48)</f>
        <v>8.6656208436356064</v>
      </c>
      <c r="F329" s="90">
        <f>SUMPRODUCT(Dementia_values_1dB_table,dementia_1_to_3_dB_band_48_51)</f>
        <v>10.45876876633568</v>
      </c>
      <c r="G329" s="90">
        <f>SUMPRODUCT(Dementia_values_1dB_table,dementia_1_to_3_dB_band_51_54)</f>
        <v>10.525875789229943</v>
      </c>
      <c r="H329" s="90">
        <f>SUMPRODUCT(Dementia_values_1dB_table,dementia_1_to_3_dB_band_54_57)</f>
        <v>10.593431829794707</v>
      </c>
      <c r="I329" s="90">
        <f>SUMPRODUCT(Dementia_values_1dB_table,dementia_1_to_3_dB_band_57_60)</f>
        <v>10.661440013940362</v>
      </c>
      <c r="J329" s="90">
        <f>SUMPRODUCT(Dementia_values_1dB_table,dementia_1_to_3_dB_band_60_63)</f>
        <v>10.72990349013863</v>
      </c>
      <c r="K329" s="90">
        <f>SUMPRODUCT(Dementia_values_1dB_table,dementia_1_to_3_dB_band_63_66)</f>
        <v>10.798825429591101</v>
      </c>
      <c r="L329" s="90">
        <f>SUMPRODUCT(Dementia_values_1dB_table,dementia_1_to_3_dB_band_66_69)</f>
        <v>10.868209026398006</v>
      </c>
      <c r="M329" s="90">
        <f>SUMPRODUCT(Dementia_values_1dB_table,dementia_1_to_3_dB_band_69_72)</f>
        <v>10.938057497729226</v>
      </c>
      <c r="N329" s="90">
        <f>SUMPRODUCT(Dementia_values_1dB_table,dementia_1_to_3_dB_band_72_75)</f>
        <v>11.004445812583702</v>
      </c>
      <c r="O329" s="90">
        <f>SUMPRODUCT(Dementia_values_1dB_table,dementia_1_to_3_dB_band_75_78)</f>
        <v>11.020115221965519</v>
      </c>
      <c r="P329" s="90">
        <f>SUMPRODUCT(Dementia_values_1dB_table,dementia_1_to_3_dB_band_78_81)</f>
        <v>11.020115221965519</v>
      </c>
      <c r="Q329" s="16" t="s">
        <v>468</v>
      </c>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c r="CG329" s="97"/>
      <c r="CH329" s="97"/>
      <c r="CI329" s="97"/>
      <c r="CJ329" s="97"/>
      <c r="CK329" s="97"/>
      <c r="CL329" s="97"/>
      <c r="CM329" s="97"/>
      <c r="CN329" s="97"/>
      <c r="CO329" s="97"/>
      <c r="CP329" s="97"/>
      <c r="CQ329" s="97"/>
    </row>
    <row r="330" spans="1:95" s="21" customFormat="1" ht="15" customHeight="1" outlineLevel="1">
      <c r="A330" s="97"/>
      <c r="B330" s="18"/>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97"/>
      <c r="AQ330" s="97"/>
      <c r="AR330" s="97"/>
      <c r="AS330" s="97"/>
      <c r="AT330" s="97"/>
      <c r="AU330" s="97"/>
      <c r="AV330" s="97"/>
      <c r="AW330" s="97"/>
      <c r="AX330" s="97"/>
      <c r="AY330" s="97"/>
      <c r="AZ330" s="97"/>
      <c r="BA330" s="97"/>
      <c r="BB330" s="97"/>
      <c r="BC330" s="97"/>
      <c r="BD330" s="97"/>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row>
    <row r="331" spans="1:95" s="21" customFormat="1" ht="15" customHeight="1" outlineLevel="1">
      <c r="A331" s="23"/>
      <c r="B331" s="122"/>
      <c r="C331" s="60" t="s">
        <v>79</v>
      </c>
      <c r="D331" s="61" t="s">
        <v>80</v>
      </c>
      <c r="E331" s="104" t="s">
        <v>81</v>
      </c>
      <c r="F331" s="104" t="s">
        <v>82</v>
      </c>
      <c r="G331" s="104" t="s">
        <v>83</v>
      </c>
      <c r="H331" s="104" t="s">
        <v>84</v>
      </c>
      <c r="I331" s="104" t="s">
        <v>85</v>
      </c>
      <c r="J331" s="104" t="s">
        <v>86</v>
      </c>
      <c r="K331" s="104" t="s">
        <v>87</v>
      </c>
      <c r="L331" s="104" t="s">
        <v>88</v>
      </c>
      <c r="M331" s="104" t="s">
        <v>89</v>
      </c>
      <c r="N331" s="104" t="s">
        <v>90</v>
      </c>
      <c r="O331" s="104" t="s">
        <v>91</v>
      </c>
      <c r="P331" s="104" t="s">
        <v>92</v>
      </c>
      <c r="Q331" s="104" t="s">
        <v>93</v>
      </c>
      <c r="R331" s="22" t="s">
        <v>337</v>
      </c>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row>
    <row r="332" spans="1:95" s="21" customFormat="1" ht="15" customHeight="1" outlineLevel="1">
      <c r="A332" s="23"/>
      <c r="B332" s="60" t="s">
        <v>94</v>
      </c>
      <c r="C332" s="129"/>
      <c r="D332" s="129"/>
      <c r="E332" s="129"/>
      <c r="F332" s="129"/>
      <c r="G332" s="129"/>
      <c r="H332" s="129"/>
      <c r="I332" s="129"/>
      <c r="J332" s="129"/>
      <c r="K332" s="129"/>
      <c r="L332" s="129"/>
      <c r="M332" s="129"/>
      <c r="N332" s="129"/>
      <c r="O332" s="129"/>
      <c r="P332" s="129"/>
      <c r="Q332" s="130"/>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row>
    <row r="333" spans="1:95" s="21" customFormat="1" ht="15" customHeight="1" outlineLevel="1">
      <c r="A333" s="23"/>
      <c r="B333" s="61" t="s">
        <v>80</v>
      </c>
      <c r="C333" s="105"/>
      <c r="D333" s="131">
        <v>0</v>
      </c>
      <c r="E333" s="131">
        <f>-(HLOOKUP(Noise_3dB_bands,Dementia_values_3dB_table,2,0))</f>
        <v>0</v>
      </c>
      <c r="F333" s="131">
        <f>-(HLOOKUP(Noise_3dB_bands,Dementia_values_3dB_table,2,0)) + Without_45_with_45_48_Dementia_value</f>
        <v>-8.6656208436356064</v>
      </c>
      <c r="G333" s="131">
        <f>-(HLOOKUP(Noise_3dB_bands,Dementia_values_3dB_table,2,0)) +Without_45_with_48_51_Dementia_value</f>
        <v>-19.124389609971288</v>
      </c>
      <c r="H333" s="131">
        <f>-(HLOOKUP(Noise_3dB_bands,Dementia_values_3dB_table,2,0)) +Without_45_with_51_54_Dementia_value</f>
        <v>-29.650265399201231</v>
      </c>
      <c r="I333" s="131">
        <f>-(HLOOKUP(Noise_3dB_bands,Dementia_values_3dB_table,2,0)) +Without_45_with_54_57_Dementia_value</f>
        <v>-40.243697228995941</v>
      </c>
      <c r="J333" s="131">
        <f>-(HLOOKUP(Noise_3dB_bands,Dementia_values_3dB_table,2,0)) + Without_45_with_57_60_Dementia_value</f>
        <v>-50.905137242936306</v>
      </c>
      <c r="K333" s="131">
        <f>-(HLOOKUP(Noise_3dB_bands,Dementia_values_3dB_table,2,0)) +Without_45_with_60_63_Dementia_value</f>
        <v>-61.635040733074938</v>
      </c>
      <c r="L333" s="131">
        <f>-(HLOOKUP(Noise_3dB_bands,Dementia_values_3dB_table,2,0)) +Without_45_with_63_66_Dementia_value</f>
        <v>-72.433866162666035</v>
      </c>
      <c r="M333" s="131">
        <f>-(HLOOKUP(Noise_3dB_bands,Dementia_values_3dB_table,2,0)) +Without_45_with_66_69_Dementia_value</f>
        <v>-83.302075189064041</v>
      </c>
      <c r="N333" s="131">
        <f>-(HLOOKUP(Noise_3dB_bands,Dementia_values_3dB_table,2,0)) +Without_45_with_69_72_Dementia_value</f>
        <v>-94.24013268679326</v>
      </c>
      <c r="O333" s="131">
        <f>-(HLOOKUP(Noise_3dB_bands,Dementia_values_3dB_table,2,0)) +Without_45_with_72_75_Dementia_value</f>
        <v>-105.24457849937696</v>
      </c>
      <c r="P333" s="131">
        <f>-(HLOOKUP(Noise_3dB_bands,Dementia_values_3dB_table,2,0)) +Without_45_with_75_78_Dementia_value</f>
        <v>-116.26469372134247</v>
      </c>
      <c r="Q333" s="131">
        <f>-(HLOOKUP(Noise_3dB_bands,Dementia_values_3dB_table,2,0)) +Without_45_with_78_81_Dementia_value</f>
        <v>-127.28480894330798</v>
      </c>
      <c r="R333" s="22" t="s">
        <v>469</v>
      </c>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row>
    <row r="334" spans="1:95" s="21" customFormat="1" ht="15" customHeight="1" outlineLevel="1">
      <c r="A334" s="23"/>
      <c r="B334" s="104" t="s">
        <v>81</v>
      </c>
      <c r="C334" s="132"/>
      <c r="D334" s="131">
        <f>-Without_45_with_45_48_Dementia_value</f>
        <v>0</v>
      </c>
      <c r="E334" s="131">
        <v>0</v>
      </c>
      <c r="F334" s="131">
        <f>-(HLOOKUP(Noise_3dB_bands,Dementia_values_3dB_table,2,0))</f>
        <v>-8.6656208436356064</v>
      </c>
      <c r="G334" s="131">
        <f>-(HLOOKUP(Noise_3dB_bands,Dementia_values_3dB_table,2,0))+Without_45_48_with_48_51_Dementia_value</f>
        <v>-19.124389609971288</v>
      </c>
      <c r="H334" s="131">
        <f>-(HLOOKUP(Noise_3dB_bands,Dementia_values_3dB_table,2,0))+Without_45_48_with_51_54_Dementia_value</f>
        <v>-29.650265399201231</v>
      </c>
      <c r="I334" s="131">
        <f>-(HLOOKUP(Noise_3dB_bands,Dementia_values_3dB_table,2,0))+Without_45_48_with_54_57_Dementia_value</f>
        <v>-40.243697228995941</v>
      </c>
      <c r="J334" s="131">
        <f>-(HLOOKUP(Noise_3dB_bands,Dementia_values_3dB_table,2,0))+Without_45_48_with_57_60_Dementia_value</f>
        <v>-50.905137242936306</v>
      </c>
      <c r="K334" s="131">
        <f>-(HLOOKUP(Noise_3dB_bands,Dementia_values_3dB_table,2,0))+Without_45_48_with_60_63_Dementia_value</f>
        <v>-61.635040733074938</v>
      </c>
      <c r="L334" s="131">
        <f>-(HLOOKUP(Noise_3dB_bands,Dementia_values_3dB_table,2,0))+Without_45_48_with_63_66_Dementia_value</f>
        <v>-72.433866162666035</v>
      </c>
      <c r="M334" s="131">
        <f>-(HLOOKUP(Noise_3dB_bands,Dementia_values_3dB_table,2,0))+Without_45_48_with_66_69_Dementia_value</f>
        <v>-83.302075189064041</v>
      </c>
      <c r="N334" s="131">
        <f>-(HLOOKUP(Noise_3dB_bands,Dementia_values_3dB_table,2,0))+Without_45_48_with_69_72_Dementia_value</f>
        <v>-94.24013268679326</v>
      </c>
      <c r="O334" s="131">
        <f>-(HLOOKUP(Noise_3dB_bands,Dementia_values_3dB_table,2,0))+Without_45_48_with_72_75_Dementia_value</f>
        <v>-105.24457849937696</v>
      </c>
      <c r="P334" s="131">
        <f>-(HLOOKUP(Noise_3dB_bands,Dementia_values_3dB_table,2,0))+Without_45_48_with_75_78_Dementia_value</f>
        <v>-116.26469372134247</v>
      </c>
      <c r="Q334" s="131">
        <f>-(HLOOKUP(Noise_3dB_bands,Dementia_values_3dB_table,2,0))+Without_45_48_with_78_81_Dementia_value</f>
        <v>-127.28480894330798</v>
      </c>
      <c r="R334" s="22" t="s">
        <v>470</v>
      </c>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row>
    <row r="335" spans="1:95" s="21" customFormat="1" ht="15" customHeight="1" outlineLevel="1">
      <c r="A335" s="23"/>
      <c r="B335" s="104" t="s">
        <v>82</v>
      </c>
      <c r="C335" s="132"/>
      <c r="D335" s="131">
        <f>-Without_45_with_48_51_Dementia_value</f>
        <v>8.6656208436356064</v>
      </c>
      <c r="E335" s="131">
        <f>-Without_45_48_with_48_51_Dementia_value</f>
        <v>8.6656208436356064</v>
      </c>
      <c r="F335" s="131">
        <v>0</v>
      </c>
      <c r="G335" s="131">
        <f>-(HLOOKUP(Noise_3dB_bands,Dementia_values_3dB_table,2,0))</f>
        <v>-10.45876876633568</v>
      </c>
      <c r="H335" s="131">
        <f>-(HLOOKUP(Noise_3dB_bands,Dementia_values_3dB_table,2,0))+Without_48_51_with_51_54_Dementia_value</f>
        <v>-20.984644555565623</v>
      </c>
      <c r="I335" s="131">
        <f>-(HLOOKUP(Noise_3dB_bands,Dementia_values_3dB_table,2,0))+Without_48_51_with_54_57_Dementia_value</f>
        <v>-31.57807638536033</v>
      </c>
      <c r="J335" s="131">
        <f>-(HLOOKUP(Noise_3dB_bands,Dementia_values_3dB_table,2,0))+Without_48_51_with_57_60_Dementia_value</f>
        <v>-42.23951639930069</v>
      </c>
      <c r="K335" s="131">
        <f>-(HLOOKUP(Noise_3dB_bands,Dementia_values_3dB_table,2,0))+Without_48_51_with_60_63_Dementia_value</f>
        <v>-52.969419889439322</v>
      </c>
      <c r="L335" s="131">
        <f>-(HLOOKUP(Noise_3dB_bands,Dementia_values_3dB_table,2,0))+Without_48_51_with_63_66_Dementia_value</f>
        <v>-63.768245319030427</v>
      </c>
      <c r="M335" s="131">
        <f>-(HLOOKUP(Noise_3dB_bands,Dementia_values_3dB_table,2,0))+Without_48_51_with_66_69_Dementia_value</f>
        <v>-74.636454345428433</v>
      </c>
      <c r="N335" s="131">
        <f>-(HLOOKUP(Noise_3dB_bands,Dementia_values_3dB_table,2,0))+Without_48_51_with_69_72_Dementia_value</f>
        <v>-85.574511843157666</v>
      </c>
      <c r="O335" s="131">
        <f>-(HLOOKUP(Noise_3dB_bands,Dementia_values_3dB_table,2,0))+Without_48_51_with_72_75_Dementia_value</f>
        <v>-96.578957655741362</v>
      </c>
      <c r="P335" s="131">
        <f>-(HLOOKUP(Noise_3dB_bands,Dementia_values_3dB_table,2,0))+Without_48_51_with_75_78_Dementia_value</f>
        <v>-107.59907287770687</v>
      </c>
      <c r="Q335" s="131">
        <f>-(HLOOKUP(Noise_3dB_bands,Dementia_values_3dB_table,2,0))+Without_48_51_with_78_81_Dementia_value</f>
        <v>-118.61918809967239</v>
      </c>
      <c r="R335" s="22" t="s">
        <v>471</v>
      </c>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row>
    <row r="336" spans="1:95" s="21" customFormat="1" ht="15" customHeight="1" outlineLevel="1">
      <c r="A336" s="23"/>
      <c r="B336" s="104" t="s">
        <v>83</v>
      </c>
      <c r="C336" s="132"/>
      <c r="D336" s="131">
        <f>-Without_45_with_51_54_Dementia_value</f>
        <v>19.124389609971288</v>
      </c>
      <c r="E336" s="131">
        <f>-Without_45_48_with_51_54_Dementia_value</f>
        <v>19.124389609971288</v>
      </c>
      <c r="F336" s="131">
        <f>-Without_48_51_with_51_54_Dementia_value</f>
        <v>10.45876876633568</v>
      </c>
      <c r="G336" s="131">
        <v>0</v>
      </c>
      <c r="H336" s="131">
        <f>-(HLOOKUP(Noise_3dB_bands,Dementia_values_3dB_table,2,0))</f>
        <v>-10.525875789229943</v>
      </c>
      <c r="I336" s="131">
        <f>-(HLOOKUP(Noise_3dB_bands,Dementia_values_3dB_table,2,0))+Without_51_54_with_54_57_Dementia_value</f>
        <v>-21.119307619024649</v>
      </c>
      <c r="J336" s="131">
        <f>-(HLOOKUP(Noise_3dB_bands,Dementia_values_3dB_table,2,0))+Without_51_54_with_57_60_Dementia_value</f>
        <v>-31.78074763296501</v>
      </c>
      <c r="K336" s="131">
        <f>-(HLOOKUP(Noise_3dB_bands,Dementia_values_3dB_table,2,0))+Without_51_54_with_60_63_Dementia_value</f>
        <v>-42.510651123103642</v>
      </c>
      <c r="L336" s="131">
        <f>-(HLOOKUP(Noise_3dB_bands,Dementia_values_3dB_table,2,0))+Without_51_54_with_63_66_Dementia_value</f>
        <v>-53.309476552694747</v>
      </c>
      <c r="M336" s="131">
        <f>-(HLOOKUP(Noise_3dB_bands,Dementia_values_3dB_table,2,0))+Without_51_54_with_66_69_Dementia_value</f>
        <v>-64.177685579092753</v>
      </c>
      <c r="N336" s="131">
        <f>-(HLOOKUP(Noise_3dB_bands,Dementia_values_3dB_table,2,0))+Without_51_54_with_69_72_Dementia_value</f>
        <v>-75.115743076821985</v>
      </c>
      <c r="O336" s="131">
        <f>-(HLOOKUP(Noise_3dB_bands,Dementia_values_3dB_table,2,0))+Without_51_54_with_72_75_Dementia_value</f>
        <v>-86.120188889405682</v>
      </c>
      <c r="P336" s="131">
        <f>-(HLOOKUP(Noise_3dB_bands,Dementia_values_3dB_table,2,0))+Without_51_54_with_75_78_Dementia_value</f>
        <v>-97.140304111371194</v>
      </c>
      <c r="Q336" s="131">
        <f>-(HLOOKUP(Noise_3dB_bands,Dementia_values_3dB_table,2,0))+Without_51_54_with_78_81_Dementia_value</f>
        <v>-108.1604193333367</v>
      </c>
      <c r="R336" s="22" t="s">
        <v>472</v>
      </c>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row>
    <row r="337" spans="1:96" s="21" customFormat="1" ht="15" customHeight="1" outlineLevel="1">
      <c r="A337" s="23"/>
      <c r="B337" s="104" t="s">
        <v>84</v>
      </c>
      <c r="C337" s="132"/>
      <c r="D337" s="131">
        <f>-Without_45_with_54_57_Dementia_value</f>
        <v>29.650265399201231</v>
      </c>
      <c r="E337" s="131">
        <f>-Without_45_48_with_54_57_Dementia_value</f>
        <v>29.650265399201231</v>
      </c>
      <c r="F337" s="131">
        <f>-Without_48_51_with_54_57_Dementia_value</f>
        <v>20.984644555565623</v>
      </c>
      <c r="G337" s="131">
        <f>-Without_51_54_with_54_57_Dementia_value</f>
        <v>10.525875789229943</v>
      </c>
      <c r="H337" s="131">
        <v>0</v>
      </c>
      <c r="I337" s="131">
        <f>-(HLOOKUP(Noise_3dB_bands,Dementia_values_3dB_table,2,0))</f>
        <v>-10.593431829794707</v>
      </c>
      <c r="J337" s="131">
        <f>-(HLOOKUP(Noise_3dB_bands,Dementia_values_3dB_table,2,0))+Without_54_57_with_57_60_Dementia_value</f>
        <v>-21.254871843735067</v>
      </c>
      <c r="K337" s="131">
        <f>-(HLOOKUP(Noise_3dB_bands,Dementia_values_3dB_table,2,0))+Without_54_57_with_60_63_Dementia_value</f>
        <v>-31.984775333873699</v>
      </c>
      <c r="L337" s="131">
        <f>-(HLOOKUP(Noise_3dB_bands,Dementia_values_3dB_table,2,0))+Without_54_57_with_63_66_Dementia_value</f>
        <v>-42.783600763464804</v>
      </c>
      <c r="M337" s="131">
        <f>-(HLOOKUP(Noise_3dB_bands,Dementia_values_3dB_table,2,0))+Without_54_57_with_66_69_Dementia_value</f>
        <v>-53.65180978986281</v>
      </c>
      <c r="N337" s="131">
        <f>-(HLOOKUP(Noise_3dB_bands,Dementia_values_3dB_table,2,0))+Without_54_57_with_69_72_Dementia_value</f>
        <v>-64.589867287592028</v>
      </c>
      <c r="O337" s="131">
        <f>-(HLOOKUP(Noise_3dB_bands,Dementia_values_3dB_table,2,0))+Without_54_57_with_72_75_Dementia_value</f>
        <v>-75.594313100175725</v>
      </c>
      <c r="P337" s="131">
        <f>-(HLOOKUP(Noise_3dB_bands,Dementia_values_3dB_table,2,0))+Without_54_57_with_75_78_Dementia_value</f>
        <v>-86.614428322141237</v>
      </c>
      <c r="Q337" s="131">
        <f>-(HLOOKUP(Noise_3dB_bands,Dementia_values_3dB_table,2,0))+Without_54_57_with_78_81_Dementia_value</f>
        <v>-97.634543544106748</v>
      </c>
      <c r="R337" s="22" t="s">
        <v>473</v>
      </c>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row>
    <row r="338" spans="1:96" s="21" customFormat="1" ht="15" customHeight="1" outlineLevel="1">
      <c r="A338" s="23"/>
      <c r="B338" s="104" t="s">
        <v>85</v>
      </c>
      <c r="C338" s="132"/>
      <c r="D338" s="131">
        <f>-Without_45_with_57_60_Dementia_value</f>
        <v>40.243697228995941</v>
      </c>
      <c r="E338" s="131">
        <f>-Without_45_48_with_57_60_Dementia_value</f>
        <v>40.243697228995941</v>
      </c>
      <c r="F338" s="131">
        <f>-Without_48_51_with_57_60_Dementia_value</f>
        <v>31.57807638536033</v>
      </c>
      <c r="G338" s="131">
        <f>-Without_51_54_with_57_60_Dementia_value</f>
        <v>21.119307619024649</v>
      </c>
      <c r="H338" s="131">
        <f>-Without_54_57_with_57_60_Dementia_value</f>
        <v>10.593431829794707</v>
      </c>
      <c r="I338" s="131">
        <v>0</v>
      </c>
      <c r="J338" s="131">
        <f>-(HLOOKUP(Noise_3dB_bands,Dementia_values_3dB_table,2,0))</f>
        <v>-10.661440013940362</v>
      </c>
      <c r="K338" s="131">
        <f>-(HLOOKUP(Noise_3dB_bands,Dementia_values_3dB_table,2,0))+Without_57_60_with_60_63_Dementia_value</f>
        <v>-21.391343504078993</v>
      </c>
      <c r="L338" s="131">
        <f>-(HLOOKUP(Noise_3dB_bands,Dementia_values_3dB_table,2,0))+Without_57_60_with_63_66_Dementia_value</f>
        <v>-32.190168933670094</v>
      </c>
      <c r="M338" s="131">
        <f>-(HLOOKUP(Noise_3dB_bands,Dementia_values_3dB_table,2,0))+Without_57_60_with_66_69_Dementia_value</f>
        <v>-43.0583779600681</v>
      </c>
      <c r="N338" s="131">
        <f>-(HLOOKUP(Noise_3dB_bands,Dementia_values_3dB_table,2,0))+Without_57_60_with_69_72_Dementia_value</f>
        <v>-53.996435457797325</v>
      </c>
      <c r="O338" s="131">
        <f>-(HLOOKUP(Noise_3dB_bands,Dementia_values_3dB_table,2,0))+Without_57_60_with_72_75_Dementia_value</f>
        <v>-65.000881270381029</v>
      </c>
      <c r="P338" s="131">
        <f>-(HLOOKUP(Noise_3dB_bands,Dementia_values_3dB_table,2,0))+Without_57_60_with_75_78_Dementia_value</f>
        <v>-76.020996492346541</v>
      </c>
      <c r="Q338" s="131">
        <f>-(HLOOKUP(Noise_3dB_bands,Dementia_values_3dB_table,2,0))+Without_57_60_with_78_81_Dementia_value</f>
        <v>-87.041111714312052</v>
      </c>
      <c r="R338" s="22" t="s">
        <v>474</v>
      </c>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row>
    <row r="339" spans="1:96" s="21" customFormat="1" ht="15" customHeight="1" outlineLevel="1">
      <c r="A339" s="23"/>
      <c r="B339" s="104" t="s">
        <v>86</v>
      </c>
      <c r="C339" s="132"/>
      <c r="D339" s="131">
        <f>-Without_45_with_60_63_Dementia_value</f>
        <v>50.905137242936306</v>
      </c>
      <c r="E339" s="131">
        <f>-Without_45_48_with_60_63_Dementia_value</f>
        <v>50.905137242936306</v>
      </c>
      <c r="F339" s="131">
        <f>-Without_48_51_with_60_63_Dementia_value</f>
        <v>42.23951639930069</v>
      </c>
      <c r="G339" s="131">
        <f>-Without_51_54_with_60_63_Dementia_value</f>
        <v>31.78074763296501</v>
      </c>
      <c r="H339" s="131">
        <f>-Without_54_57_with_60_63_Dementia_value</f>
        <v>21.254871843735067</v>
      </c>
      <c r="I339" s="131">
        <f>-Without_57_60_with_60_63_Dementia_value</f>
        <v>10.661440013940362</v>
      </c>
      <c r="J339" s="131">
        <v>0</v>
      </c>
      <c r="K339" s="131">
        <f>-(HLOOKUP(Noise_3dB_bands,Dementia_values_3dB_table,2,0))</f>
        <v>-10.72990349013863</v>
      </c>
      <c r="L339" s="131">
        <f>-(HLOOKUP(Noise_3dB_bands,Dementia_values_3dB_table,2,0))+Without_60_63_with_63_66_Dementia_value</f>
        <v>-21.52872891972973</v>
      </c>
      <c r="M339" s="131">
        <f>-(HLOOKUP(Noise_3dB_bands,Dementia_values_3dB_table,2,0))+Without_60_63_with_66_69_Dementia_value</f>
        <v>-32.396937946127736</v>
      </c>
      <c r="N339" s="131">
        <f>-(HLOOKUP(Noise_3dB_bands,Dementia_values_3dB_table,2,0))+Without_60_63_with_69_72_Dementia_value</f>
        <v>-43.334995443856961</v>
      </c>
      <c r="O339" s="131">
        <f>-(HLOOKUP(Noise_3dB_bands,Dementia_values_3dB_table,2,0))+Without_60_63_with_72_75_Dementia_value</f>
        <v>-54.339441256440665</v>
      </c>
      <c r="P339" s="131">
        <f>-(HLOOKUP(Noise_3dB_bands,Dementia_values_3dB_table,2,0))+Without_60_63_with_75_78_Dementia_value</f>
        <v>-65.359556478406176</v>
      </c>
      <c r="Q339" s="131">
        <f>-(HLOOKUP(Noise_3dB_bands,Dementia_values_3dB_table,2,0))+Without_60_63_with_78_81_Dementia_value</f>
        <v>-76.379671700371688</v>
      </c>
      <c r="R339" s="22" t="s">
        <v>475</v>
      </c>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row>
    <row r="340" spans="1:96" s="21" customFormat="1" ht="15" customHeight="1" outlineLevel="1">
      <c r="A340" s="23"/>
      <c r="B340" s="104" t="s">
        <v>87</v>
      </c>
      <c r="C340" s="132"/>
      <c r="D340" s="131">
        <f>-Without_45_with_63_66_Dementia_value</f>
        <v>61.635040733074938</v>
      </c>
      <c r="E340" s="131">
        <f>-Without_45_48_with_63_66_Dementia_value</f>
        <v>61.635040733074938</v>
      </c>
      <c r="F340" s="131">
        <f>-Without_48_51_with_63_66_Dementia_value</f>
        <v>52.969419889439322</v>
      </c>
      <c r="G340" s="131">
        <f>-Without_51_54_with_63_66_Dementia_value</f>
        <v>42.510651123103642</v>
      </c>
      <c r="H340" s="131">
        <f>-Without_54_57_with_63_66_Dementia_value</f>
        <v>31.984775333873699</v>
      </c>
      <c r="I340" s="131">
        <f>-Without_57_60_with_63_66_Dementia_value</f>
        <v>21.391343504078993</v>
      </c>
      <c r="J340" s="131">
        <f>-Without_60_63_with_63_66_Dementia_value</f>
        <v>10.72990349013863</v>
      </c>
      <c r="K340" s="131">
        <v>0</v>
      </c>
      <c r="L340" s="131">
        <f>-(HLOOKUP(Noise_3dB_bands,Dementia_values_3dB_table,2,0))</f>
        <v>-10.798825429591101</v>
      </c>
      <c r="M340" s="131">
        <f>-(HLOOKUP(Noise_3dB_bands,Dementia_values_3dB_table,2,0))+Without_63_66_with_66_69_Dementia_value</f>
        <v>-21.667034455989107</v>
      </c>
      <c r="N340" s="131">
        <f>-(HLOOKUP(Noise_3dB_bands,Dementia_values_3dB_table,2,0))+Without_63_66_with_69_72_Dementia_value</f>
        <v>-32.605091953718329</v>
      </c>
      <c r="O340" s="131">
        <f>-(HLOOKUP(Noise_3dB_bands,Dementia_values_3dB_table,2,0))+Without_63_66_with_72_75_Dementia_value</f>
        <v>-43.609537766302033</v>
      </c>
      <c r="P340" s="131">
        <f>-(HLOOKUP(Noise_3dB_bands,Dementia_values_3dB_table,2,0))+Without_63_66_with_75_78_Dementia_value</f>
        <v>-54.629652988267551</v>
      </c>
      <c r="Q340" s="131">
        <f>-(HLOOKUP(Noise_3dB_bands,Dementia_values_3dB_table,2,0))+Without_63_66_with_78_81_Dementia_value</f>
        <v>-65.649768210233077</v>
      </c>
      <c r="R340" s="22" t="s">
        <v>476</v>
      </c>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row>
    <row r="341" spans="1:96" ht="15" customHeight="1" outlineLevel="1">
      <c r="A341" s="97"/>
      <c r="B341" s="104" t="s">
        <v>88</v>
      </c>
      <c r="C341" s="132"/>
      <c r="D341" s="131">
        <f>-Without_45_with_66_69_Dementia_value</f>
        <v>72.433866162666035</v>
      </c>
      <c r="E341" s="131">
        <f>-Without_45_48_with_66_69_Dementia_value</f>
        <v>72.433866162666035</v>
      </c>
      <c r="F341" s="131">
        <f>-Without_48_51_with_66_69_Dementia_value</f>
        <v>63.768245319030427</v>
      </c>
      <c r="G341" s="131">
        <f>-Without_51_54_with_66_69_Dementia_value</f>
        <v>53.309476552694747</v>
      </c>
      <c r="H341" s="131">
        <f>-Without_54_57_with_66_69_Dementia_value</f>
        <v>42.783600763464804</v>
      </c>
      <c r="I341" s="131">
        <f>-Without_57_60_with_66_69_Dementia_value</f>
        <v>32.190168933670094</v>
      </c>
      <c r="J341" s="131">
        <f>-Without_60_63_with_66_69_Dementia_value</f>
        <v>21.52872891972973</v>
      </c>
      <c r="K341" s="131">
        <f>-Without_63_66_with_66_69_Dementia_value</f>
        <v>10.798825429591101</v>
      </c>
      <c r="L341" s="131">
        <v>0</v>
      </c>
      <c r="M341" s="131">
        <f>-(HLOOKUP(Noise_3dB_bands,Dementia_values_3dB_table,2,0))</f>
        <v>-10.868209026398006</v>
      </c>
      <c r="N341" s="131">
        <f>-(HLOOKUP(Noise_3dB_bands,Dementia_values_3dB_table,2,0))+Without_66_69_with_69_72_Dementia_value</f>
        <v>-21.806266524127231</v>
      </c>
      <c r="O341" s="131">
        <f>-(HLOOKUP(Noise_3dB_bands,Dementia_values_3dB_table,2,0))+Without_66_69_with_72_75_Dementia_value</f>
        <v>-32.810712336710935</v>
      </c>
      <c r="P341" s="131">
        <f>-(HLOOKUP(Noise_3dB_bands,Dementia_values_3dB_table,2,0))+Without_66_69_with_75_78_Dementia_value</f>
        <v>-43.830827558676454</v>
      </c>
      <c r="Q341" s="131">
        <f>-(HLOOKUP(Noise_3dB_bands,Dementia_values_3dB_table,2,0))+Without_66_69_with_78_81_Dementia_value</f>
        <v>-54.850942780641972</v>
      </c>
      <c r="R341" s="22" t="s">
        <v>477</v>
      </c>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c r="CG341" s="97"/>
      <c r="CH341" s="97"/>
      <c r="CI341" s="97"/>
      <c r="CJ341" s="97"/>
      <c r="CK341" s="97"/>
      <c r="CL341" s="97"/>
      <c r="CM341" s="97"/>
      <c r="CN341" s="97"/>
      <c r="CO341" s="97"/>
      <c r="CP341" s="97"/>
      <c r="CQ341" s="97"/>
    </row>
    <row r="342" spans="1:96" ht="15" customHeight="1" outlineLevel="1">
      <c r="A342" s="97"/>
      <c r="B342" s="104" t="s">
        <v>89</v>
      </c>
      <c r="C342" s="132"/>
      <c r="D342" s="131">
        <f>-Without_45_with_69_72_Dementia_value</f>
        <v>83.302075189064041</v>
      </c>
      <c r="E342" s="131">
        <f>-Without_45_48_with_69_72_Dementia_value</f>
        <v>83.302075189064041</v>
      </c>
      <c r="F342" s="131">
        <f>-Without_48_51_with_69_72_Dementia_value</f>
        <v>74.636454345428433</v>
      </c>
      <c r="G342" s="131">
        <f>-Without_51_54_with_69_72_Dementia_value</f>
        <v>64.177685579092753</v>
      </c>
      <c r="H342" s="131">
        <f>-Without_54_57_with_69_72_Dementia_value</f>
        <v>53.65180978986281</v>
      </c>
      <c r="I342" s="131">
        <f>-Without_57_60_with_69_72_Dementia_value</f>
        <v>43.0583779600681</v>
      </c>
      <c r="J342" s="131">
        <f>-Without_60_63_with_69_72_Dementia_value</f>
        <v>32.396937946127736</v>
      </c>
      <c r="K342" s="131">
        <f>-Without_63_66_with_69_72_Dementia_value</f>
        <v>21.667034455989107</v>
      </c>
      <c r="L342" s="131">
        <f>-Without_66_69_with_69_72_Dementia_value</f>
        <v>10.868209026398006</v>
      </c>
      <c r="M342" s="131">
        <v>0</v>
      </c>
      <c r="N342" s="131">
        <f>-(HLOOKUP(Noise_3dB_bands,Dementia_values_3dB_table,2,0))</f>
        <v>-10.938057497729226</v>
      </c>
      <c r="O342" s="131">
        <f>-(HLOOKUP(Noise_3dB_bands,Dementia_values_3dB_table,2,0))+Without_69_72_with_72_75_Dementia_value</f>
        <v>-21.942503310312929</v>
      </c>
      <c r="P342" s="131">
        <f>-(HLOOKUP(Noise_3dB_bands,Dementia_values_3dB_table,2,0))+Without_69_72_with_75_78_Dementia_value</f>
        <v>-32.962618532278448</v>
      </c>
      <c r="Q342" s="131">
        <f>-(HLOOKUP(Noise_3dB_bands,Dementia_values_3dB_table,2,0))+Without_69_72_with_78_81_Dementia_value</f>
        <v>-43.982733754243966</v>
      </c>
      <c r="R342" s="22" t="s">
        <v>478</v>
      </c>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c r="CG342" s="97"/>
      <c r="CH342" s="97"/>
      <c r="CI342" s="97"/>
      <c r="CJ342" s="97"/>
      <c r="CK342" s="97"/>
      <c r="CL342" s="97"/>
      <c r="CM342" s="97"/>
      <c r="CN342" s="97"/>
      <c r="CO342" s="97"/>
      <c r="CP342" s="97"/>
      <c r="CQ342" s="97"/>
    </row>
    <row r="343" spans="1:96" ht="15" customHeight="1" outlineLevel="1">
      <c r="A343" s="97"/>
      <c r="B343" s="104" t="s">
        <v>90</v>
      </c>
      <c r="C343" s="132"/>
      <c r="D343" s="131">
        <f>-Without_45_with_72_75_Dementia_value</f>
        <v>94.24013268679326</v>
      </c>
      <c r="E343" s="131">
        <f>-Without_45_48_with_72_75_Dementia_value</f>
        <v>94.24013268679326</v>
      </c>
      <c r="F343" s="131">
        <f>-Without_48_51_with_72_75_Dementia_value</f>
        <v>85.574511843157666</v>
      </c>
      <c r="G343" s="131">
        <f>-Without_51_54_with_72_75_Dementia_value</f>
        <v>75.115743076821985</v>
      </c>
      <c r="H343" s="131">
        <f>-Without_54_57_with_72_75_Dementia_value</f>
        <v>64.589867287592028</v>
      </c>
      <c r="I343" s="131">
        <f>-Without_57_60_with_72_75_Dementia_value</f>
        <v>53.996435457797325</v>
      </c>
      <c r="J343" s="131">
        <f>-Without_60_63_with_72_75_Dementia_value</f>
        <v>43.334995443856961</v>
      </c>
      <c r="K343" s="131">
        <f>-Without_63_66_with_72_75_Dementia_value</f>
        <v>32.605091953718329</v>
      </c>
      <c r="L343" s="131">
        <f>-Without_66_69_with_72_75_Dementia_value</f>
        <v>21.806266524127231</v>
      </c>
      <c r="M343" s="131">
        <f>-Without_69_72_with_72_75_Dementia_value</f>
        <v>10.938057497729226</v>
      </c>
      <c r="N343" s="131">
        <v>0</v>
      </c>
      <c r="O343" s="131">
        <f>-(HLOOKUP(Noise_3dB_bands,Dementia_values_3dB_table,2,0))</f>
        <v>-11.004445812583702</v>
      </c>
      <c r="P343" s="131">
        <f>-(HLOOKUP(Noise_3dB_bands,Dementia_values_3dB_table,2,0))+Without_72_75_with_75_78_Dementia_value</f>
        <v>-22.024561034549222</v>
      </c>
      <c r="Q343" s="131">
        <f>-(HLOOKUP(Noise_3dB_bands,Dementia_values_3dB_table,2,0))+Without_72_75_with_78_81_Dementia_value</f>
        <v>-33.044676256514741</v>
      </c>
      <c r="R343" s="22" t="s">
        <v>479</v>
      </c>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c r="CG343" s="97"/>
      <c r="CH343" s="97"/>
      <c r="CI343" s="97"/>
      <c r="CJ343" s="97"/>
      <c r="CK343" s="97"/>
      <c r="CL343" s="97"/>
      <c r="CM343" s="97"/>
      <c r="CN343" s="97"/>
      <c r="CO343" s="97"/>
      <c r="CP343" s="97"/>
      <c r="CQ343" s="97"/>
    </row>
    <row r="344" spans="1:96" ht="15" customHeight="1" outlineLevel="1">
      <c r="A344" s="97"/>
      <c r="B344" s="104" t="s">
        <v>91</v>
      </c>
      <c r="C344" s="132"/>
      <c r="D344" s="131">
        <f>-Without_45_with_75_78_Dementia_value</f>
        <v>105.24457849937696</v>
      </c>
      <c r="E344" s="131">
        <f>-Without_45_48_with_75_78_Dementia_value</f>
        <v>105.24457849937696</v>
      </c>
      <c r="F344" s="131">
        <f>-Without_48_51_with_75_78_Dementia_value</f>
        <v>96.578957655741362</v>
      </c>
      <c r="G344" s="131">
        <f>-Without_51_54_with_75_78_Dementia_value</f>
        <v>86.120188889405682</v>
      </c>
      <c r="H344" s="131">
        <f>-Without_54_57_with_75_78_Dementia_value</f>
        <v>75.594313100175725</v>
      </c>
      <c r="I344" s="131">
        <f>-Without_57_60_with_75_78_Dementia_value</f>
        <v>65.000881270381029</v>
      </c>
      <c r="J344" s="131">
        <f>-Without_60_63_with_75_78_Dementia_value</f>
        <v>54.339441256440665</v>
      </c>
      <c r="K344" s="131">
        <f>-Without_63_66_with_75_78_Dementia_value</f>
        <v>43.609537766302033</v>
      </c>
      <c r="L344" s="131">
        <f>-Without_66_69_with_75_78_Dementia_value</f>
        <v>32.810712336710935</v>
      </c>
      <c r="M344" s="131">
        <f>-Without_69_72_with_75_78_Dementia_value</f>
        <v>21.942503310312929</v>
      </c>
      <c r="N344" s="131">
        <f>-Without_72_75_with_75_78_Dementia_value</f>
        <v>11.004445812583702</v>
      </c>
      <c r="O344" s="131">
        <v>0</v>
      </c>
      <c r="P344" s="131">
        <f>-(HLOOKUP(Noise_3dB_bands,Dementia_values_3dB_table,2,0))</f>
        <v>-11.020115221965519</v>
      </c>
      <c r="Q344" s="131">
        <f>-(HLOOKUP(Noise_3dB_bands,Dementia_values_3dB_table,2,0))+Without_75_78_with_78_81_Dementia_value</f>
        <v>-22.040230443931037</v>
      </c>
      <c r="R344" s="22" t="s">
        <v>480</v>
      </c>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c r="CG344" s="97"/>
      <c r="CH344" s="97"/>
      <c r="CI344" s="97"/>
      <c r="CJ344" s="97"/>
      <c r="CK344" s="97"/>
      <c r="CL344" s="97"/>
      <c r="CM344" s="97"/>
      <c r="CN344" s="97"/>
      <c r="CO344" s="97"/>
      <c r="CP344" s="97"/>
      <c r="CQ344" s="97"/>
      <c r="CR344" s="3"/>
    </row>
    <row r="345" spans="1:96" ht="15" customHeight="1" outlineLevel="1">
      <c r="A345" s="97"/>
      <c r="B345" s="104" t="s">
        <v>92</v>
      </c>
      <c r="C345" s="132"/>
      <c r="D345" s="131">
        <f>-Without_45_with_78_81_Dementia_value</f>
        <v>116.26469372134247</v>
      </c>
      <c r="E345" s="131">
        <f>-Without_45_48_with_78_81_Dementia_value</f>
        <v>116.26469372134247</v>
      </c>
      <c r="F345" s="131">
        <f>-Without_48_51_with_78_81_Dementia_value</f>
        <v>107.59907287770687</v>
      </c>
      <c r="G345" s="131">
        <f>-Without_51_54_with_78_81_Dementia_value</f>
        <v>97.140304111371194</v>
      </c>
      <c r="H345" s="131">
        <f>-Without_54_57_with_78_81_Dementia_value</f>
        <v>86.614428322141237</v>
      </c>
      <c r="I345" s="131">
        <f>-Without_57_60_with_78_81_Dementia_value</f>
        <v>76.020996492346541</v>
      </c>
      <c r="J345" s="131">
        <f>-Without_60_63_with_78_81_Dementia_value</f>
        <v>65.359556478406176</v>
      </c>
      <c r="K345" s="131">
        <f>-Without_63_66_with_78_81_Dementia_value</f>
        <v>54.629652988267551</v>
      </c>
      <c r="L345" s="131">
        <f>-Without_66_69_with_78_81_Dementia_value</f>
        <v>43.830827558676454</v>
      </c>
      <c r="M345" s="131">
        <f>-Without_69_72_with_78_81_Dementia_value</f>
        <v>32.962618532278448</v>
      </c>
      <c r="N345" s="131">
        <f>-Without_72_75_with_78_81_Dementia_value</f>
        <v>22.024561034549222</v>
      </c>
      <c r="O345" s="131">
        <f>-Without_75_78_with_78_81_Dementia_value</f>
        <v>11.020115221965519</v>
      </c>
      <c r="P345" s="131">
        <v>0</v>
      </c>
      <c r="Q345" s="131">
        <f>-(HLOOKUP(Noise_3dB_bands,Dementia_values_3dB_table,2,0))</f>
        <v>-11.020115221965519</v>
      </c>
      <c r="R345" s="22" t="s">
        <v>481</v>
      </c>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c r="CG345" s="97"/>
      <c r="CH345" s="97"/>
      <c r="CI345" s="97"/>
      <c r="CJ345" s="97"/>
      <c r="CK345" s="97"/>
      <c r="CL345" s="97"/>
      <c r="CM345" s="97"/>
      <c r="CN345" s="97"/>
      <c r="CO345" s="97"/>
      <c r="CP345" s="97"/>
      <c r="CQ345" s="3"/>
    </row>
    <row r="346" spans="1:96" ht="15" customHeight="1" outlineLevel="1">
      <c r="A346" s="97"/>
      <c r="B346" s="104" t="s">
        <v>93</v>
      </c>
      <c r="C346" s="133"/>
      <c r="D346" s="131">
        <f>-Without_45_with_81_Dementia_value</f>
        <v>127.28480894330798</v>
      </c>
      <c r="E346" s="131">
        <f>-Without_45_48_with_81_Dementia_value</f>
        <v>127.28480894330798</v>
      </c>
      <c r="F346" s="131">
        <f>-Without_48_51_with_81_Dementia_value</f>
        <v>118.61918809967239</v>
      </c>
      <c r="G346" s="131">
        <f>-Without_51_54_with_81_Dementia_value</f>
        <v>108.1604193333367</v>
      </c>
      <c r="H346" s="131">
        <f>-Without_54_57_with_81_Dementia_value</f>
        <v>97.634543544106748</v>
      </c>
      <c r="I346" s="131">
        <f>-Without_57_60_with_81_Dementia_value</f>
        <v>87.041111714312052</v>
      </c>
      <c r="J346" s="131">
        <f>-Without_60_63_with_81_Dementia_value</f>
        <v>76.379671700371688</v>
      </c>
      <c r="K346" s="131">
        <f>-Without_63_66_with_81_Dementia_value</f>
        <v>65.649768210233077</v>
      </c>
      <c r="L346" s="131">
        <f>-Without_66_69_with_81_Dementia_value</f>
        <v>54.850942780641972</v>
      </c>
      <c r="M346" s="131">
        <f>-Without_69_72_with_81_Dementia_value</f>
        <v>43.982733754243966</v>
      </c>
      <c r="N346" s="131">
        <f>-Without_72_75_with_81_Dementia_value</f>
        <v>33.044676256514741</v>
      </c>
      <c r="O346" s="131">
        <f>-Without_75_78_with_81_Dementia_value</f>
        <v>22.040230443931037</v>
      </c>
      <c r="P346" s="131">
        <f>-Without_78_81_with_81_Dementia_value</f>
        <v>11.020115221965519</v>
      </c>
      <c r="Q346" s="131">
        <v>0</v>
      </c>
      <c r="R346" s="22" t="s">
        <v>482</v>
      </c>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c r="AP346" s="97"/>
      <c r="AQ346" s="97"/>
      <c r="AR346" s="97"/>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c r="CG346" s="97"/>
      <c r="CH346" s="97"/>
      <c r="CI346" s="97"/>
      <c r="CJ346" s="97"/>
      <c r="CK346" s="97"/>
      <c r="CL346" s="97"/>
      <c r="CM346" s="97"/>
      <c r="CN346" s="97"/>
      <c r="CO346" s="97"/>
      <c r="CP346" s="97"/>
      <c r="CQ346" s="3"/>
    </row>
    <row r="347" spans="1:96" ht="14.45" outlineLevel="1">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c r="CJ347" s="97"/>
      <c r="CK347" s="97"/>
      <c r="CL347" s="97"/>
      <c r="CM347" s="97"/>
      <c r="CN347" s="97"/>
      <c r="CO347" s="97"/>
      <c r="CP347" s="97"/>
      <c r="CQ347" s="97"/>
    </row>
    <row r="348" spans="1:96" s="2" customFormat="1" ht="18.600000000000001">
      <c r="B348" s="2" t="s">
        <v>483</v>
      </c>
    </row>
    <row r="349" spans="1:96" ht="14.45">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c r="CG349" s="97"/>
      <c r="CH349" s="97"/>
      <c r="CI349" s="97"/>
      <c r="CJ349" s="97"/>
      <c r="CK349" s="97"/>
      <c r="CL349" s="97"/>
      <c r="CM349" s="97"/>
      <c r="CN349" s="97"/>
      <c r="CO349" s="97"/>
      <c r="CP349" s="97"/>
      <c r="CQ349" s="97"/>
    </row>
    <row r="350" spans="1:96" s="5" customFormat="1" ht="15.6" outlineLevel="1">
      <c r="B350" s="5" t="s">
        <v>484</v>
      </c>
    </row>
    <row r="351" spans="1:96" ht="15" customHeight="1" outlineLevel="1">
      <c r="A351" s="97"/>
      <c r="B351" s="134"/>
      <c r="C351" s="134"/>
      <c r="D351" s="134"/>
      <c r="E351" s="134"/>
      <c r="F351" s="134"/>
      <c r="G351" s="134"/>
      <c r="H351" s="134"/>
      <c r="I351" s="134"/>
      <c r="J351" s="134"/>
      <c r="K351" s="134"/>
      <c r="L351" s="134"/>
      <c r="M351" s="134"/>
      <c r="N351" s="134"/>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c r="CG351" s="97"/>
      <c r="CH351" s="97"/>
      <c r="CI351" s="97"/>
      <c r="CJ351" s="97"/>
      <c r="CK351" s="97"/>
      <c r="CL351" s="97"/>
      <c r="CM351" s="97"/>
      <c r="CN351" s="97"/>
      <c r="CO351" s="97"/>
      <c r="CP351" s="97"/>
      <c r="CQ351" s="97"/>
    </row>
    <row r="352" spans="1:96" ht="15" customHeight="1" outlineLevel="1">
      <c r="A352" s="97"/>
      <c r="B352" s="122"/>
      <c r="C352" s="60" t="s">
        <v>79</v>
      </c>
      <c r="D352" s="61" t="s">
        <v>80</v>
      </c>
      <c r="E352" s="104" t="s">
        <v>81</v>
      </c>
      <c r="F352" s="104" t="s">
        <v>82</v>
      </c>
      <c r="G352" s="104" t="s">
        <v>83</v>
      </c>
      <c r="H352" s="104" t="s">
        <v>84</v>
      </c>
      <c r="I352" s="104" t="s">
        <v>85</v>
      </c>
      <c r="J352" s="104" t="s">
        <v>86</v>
      </c>
      <c r="K352" s="104" t="s">
        <v>87</v>
      </c>
      <c r="L352" s="104" t="s">
        <v>88</v>
      </c>
      <c r="M352" s="104" t="s">
        <v>89</v>
      </c>
      <c r="N352" s="104" t="s">
        <v>90</v>
      </c>
      <c r="O352" s="104" t="s">
        <v>91</v>
      </c>
      <c r="P352" s="104" t="s">
        <v>92</v>
      </c>
      <c r="Q352" s="104" t="s">
        <v>93</v>
      </c>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c r="CG352" s="97"/>
      <c r="CH352" s="97"/>
      <c r="CI352" s="97"/>
      <c r="CJ352" s="97"/>
      <c r="CK352" s="97"/>
      <c r="CL352" s="97"/>
      <c r="CM352" s="97"/>
      <c r="CN352" s="97"/>
      <c r="CO352" s="97"/>
      <c r="CP352" s="97"/>
      <c r="CQ352" s="97"/>
    </row>
    <row r="353" spans="1:95" ht="15" customHeight="1" outlineLevel="1">
      <c r="A353" s="97"/>
      <c r="B353" s="60" t="s">
        <v>94</v>
      </c>
      <c r="C353" s="130"/>
      <c r="D353" s="135"/>
      <c r="E353" s="129"/>
      <c r="F353" s="129"/>
      <c r="G353" s="129"/>
      <c r="H353" s="129"/>
      <c r="I353" s="129"/>
      <c r="J353" s="129"/>
      <c r="K353" s="129"/>
      <c r="L353" s="129"/>
      <c r="M353" s="129"/>
      <c r="N353" s="129"/>
      <c r="O353" s="129"/>
      <c r="P353" s="129"/>
      <c r="Q353" s="130"/>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c r="CG353" s="97"/>
      <c r="CH353" s="97"/>
      <c r="CI353" s="97"/>
      <c r="CJ353" s="97"/>
      <c r="CK353" s="97"/>
      <c r="CL353" s="97"/>
      <c r="CM353" s="97"/>
      <c r="CN353" s="97"/>
      <c r="CO353" s="97"/>
      <c r="CP353" s="97"/>
      <c r="CQ353" s="97"/>
    </row>
    <row r="354" spans="1:95" ht="15" customHeight="1" outlineLevel="1">
      <c r="A354" s="97"/>
      <c r="B354" s="61" t="s">
        <v>80</v>
      </c>
      <c r="C354" s="136"/>
      <c r="D354" s="137">
        <f>(Opening_without_45_with_xx*Non_night_modelling_mask + Opening_without_45_with_xx_night*Night_modelling_mask)*Without_45_with_xx_sleep_disturbance_value</f>
        <v>0</v>
      </c>
      <c r="E354" s="137">
        <f t="shared" ref="E354:Q354" si="78">(Opening_without_45_with_xx*Non_night_modelling_mask + Opening_without_45_with_xx_night*Night_modelling_mask)*Without_45_with_xx_sleep_disturbance_value</f>
        <v>0</v>
      </c>
      <c r="F354" s="137">
        <f t="shared" si="78"/>
        <v>0</v>
      </c>
      <c r="G354" s="137">
        <f t="shared" si="78"/>
        <v>0</v>
      </c>
      <c r="H354" s="137">
        <f t="shared" si="78"/>
        <v>0</v>
      </c>
      <c r="I354" s="137">
        <f t="shared" si="78"/>
        <v>0</v>
      </c>
      <c r="J354" s="137">
        <f t="shared" si="78"/>
        <v>0</v>
      </c>
      <c r="K354" s="137">
        <f t="shared" si="78"/>
        <v>0</v>
      </c>
      <c r="L354" s="137">
        <f t="shared" si="78"/>
        <v>0</v>
      </c>
      <c r="M354" s="137">
        <f t="shared" si="78"/>
        <v>0</v>
      </c>
      <c r="N354" s="137">
        <f t="shared" si="78"/>
        <v>0</v>
      </c>
      <c r="O354" s="137">
        <f t="shared" si="78"/>
        <v>0</v>
      </c>
      <c r="P354" s="137">
        <f t="shared" si="78"/>
        <v>0</v>
      </c>
      <c r="Q354" s="137">
        <f t="shared" si="78"/>
        <v>0</v>
      </c>
      <c r="R354" s="22" t="s">
        <v>485</v>
      </c>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c r="CG354" s="97"/>
      <c r="CH354" s="97"/>
      <c r="CI354" s="97"/>
      <c r="CJ354" s="97"/>
      <c r="CK354" s="97"/>
      <c r="CL354" s="97"/>
      <c r="CM354" s="97"/>
      <c r="CN354" s="97"/>
      <c r="CO354" s="97"/>
      <c r="CP354" s="97"/>
      <c r="CQ354" s="97"/>
    </row>
    <row r="355" spans="1:95" ht="15" customHeight="1" outlineLevel="1">
      <c r="A355" s="97"/>
      <c r="B355" s="104" t="s">
        <v>81</v>
      </c>
      <c r="C355" s="138"/>
      <c r="D355" s="137">
        <f t="shared" ref="D355:Q355" si="79">(Opening_without_45_48_with_xx*Non_night_modelling_mask + Opening_without_45_48_with_xx_night*Night_modelling_mask)*Without_45_48_with_xx_sleep_disturbance_value</f>
        <v>0</v>
      </c>
      <c r="E355" s="137">
        <f t="shared" si="79"/>
        <v>0</v>
      </c>
      <c r="F355" s="137">
        <f t="shared" si="79"/>
        <v>0</v>
      </c>
      <c r="G355" s="137">
        <f t="shared" si="79"/>
        <v>0</v>
      </c>
      <c r="H355" s="137">
        <f t="shared" si="79"/>
        <v>0</v>
      </c>
      <c r="I355" s="137">
        <f t="shared" si="79"/>
        <v>0</v>
      </c>
      <c r="J355" s="137">
        <f t="shared" si="79"/>
        <v>0</v>
      </c>
      <c r="K355" s="137">
        <f t="shared" si="79"/>
        <v>0</v>
      </c>
      <c r="L355" s="137">
        <f t="shared" si="79"/>
        <v>0</v>
      </c>
      <c r="M355" s="137">
        <f t="shared" si="79"/>
        <v>0</v>
      </c>
      <c r="N355" s="137">
        <f t="shared" si="79"/>
        <v>0</v>
      </c>
      <c r="O355" s="137">
        <f t="shared" si="79"/>
        <v>0</v>
      </c>
      <c r="P355" s="137">
        <f t="shared" si="79"/>
        <v>0</v>
      </c>
      <c r="Q355" s="137">
        <f t="shared" si="79"/>
        <v>0</v>
      </c>
      <c r="R355" s="22" t="s">
        <v>486</v>
      </c>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c r="CG355" s="97"/>
      <c r="CH355" s="97"/>
      <c r="CI355" s="97"/>
      <c r="CJ355" s="97"/>
      <c r="CK355" s="97"/>
      <c r="CL355" s="97"/>
      <c r="CM355" s="97"/>
      <c r="CN355" s="97"/>
      <c r="CO355" s="97"/>
      <c r="CP355" s="97"/>
      <c r="CQ355" s="97"/>
    </row>
    <row r="356" spans="1:95" ht="15" customHeight="1" outlineLevel="1">
      <c r="A356" s="97"/>
      <c r="B356" s="104" t="s">
        <v>82</v>
      </c>
      <c r="C356" s="138"/>
      <c r="D356" s="137">
        <f t="shared" ref="D356:Q356" si="80">(Opening_without_48_51_with_xx*Non_night_modelling_mask + Opening_without_48_51_with_xx_night*Night_modelling_mask)*Without_48_51_with_xx_sleep_disturbance_value</f>
        <v>0</v>
      </c>
      <c r="E356" s="137">
        <f t="shared" si="80"/>
        <v>0</v>
      </c>
      <c r="F356" s="137">
        <f t="shared" si="80"/>
        <v>0</v>
      </c>
      <c r="G356" s="137">
        <f t="shared" si="80"/>
        <v>0</v>
      </c>
      <c r="H356" s="137">
        <f t="shared" si="80"/>
        <v>0</v>
      </c>
      <c r="I356" s="137">
        <f t="shared" si="80"/>
        <v>0</v>
      </c>
      <c r="J356" s="137">
        <f t="shared" si="80"/>
        <v>0</v>
      </c>
      <c r="K356" s="137">
        <f t="shared" si="80"/>
        <v>0</v>
      </c>
      <c r="L356" s="137">
        <f t="shared" si="80"/>
        <v>0</v>
      </c>
      <c r="M356" s="137">
        <f t="shared" si="80"/>
        <v>0</v>
      </c>
      <c r="N356" s="137">
        <f t="shared" si="80"/>
        <v>0</v>
      </c>
      <c r="O356" s="137">
        <f t="shared" si="80"/>
        <v>0</v>
      </c>
      <c r="P356" s="137">
        <f t="shared" si="80"/>
        <v>0</v>
      </c>
      <c r="Q356" s="137">
        <f t="shared" si="80"/>
        <v>0</v>
      </c>
      <c r="R356" s="22" t="s">
        <v>487</v>
      </c>
      <c r="S356" s="97"/>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c r="CG356" s="97"/>
      <c r="CH356" s="97"/>
      <c r="CI356" s="97"/>
      <c r="CJ356" s="97"/>
      <c r="CK356" s="97"/>
      <c r="CL356" s="97"/>
      <c r="CM356" s="97"/>
      <c r="CN356" s="97"/>
      <c r="CO356" s="97"/>
      <c r="CP356" s="97"/>
      <c r="CQ356" s="97"/>
    </row>
    <row r="357" spans="1:95" ht="15" customHeight="1" outlineLevel="1">
      <c r="A357" s="97"/>
      <c r="B357" s="104" t="s">
        <v>83</v>
      </c>
      <c r="C357" s="138"/>
      <c r="D357" s="137">
        <f t="shared" ref="D357:Q357" si="81">(Opening_without_51_54_with_xx*Non_night_modelling_mask + Opening_without_51_54_with_xx_night*Night_modelling_mask)*Without_51_54_with_xx_sleep_disturbance_value</f>
        <v>0</v>
      </c>
      <c r="E357" s="137">
        <f t="shared" si="81"/>
        <v>0</v>
      </c>
      <c r="F357" s="137">
        <f t="shared" si="81"/>
        <v>0</v>
      </c>
      <c r="G357" s="137">
        <f t="shared" si="81"/>
        <v>0</v>
      </c>
      <c r="H357" s="137">
        <f t="shared" si="81"/>
        <v>0</v>
      </c>
      <c r="I357" s="137">
        <f t="shared" si="81"/>
        <v>0</v>
      </c>
      <c r="J357" s="137">
        <f t="shared" si="81"/>
        <v>0</v>
      </c>
      <c r="K357" s="137">
        <f t="shared" si="81"/>
        <v>0</v>
      </c>
      <c r="L357" s="137">
        <f t="shared" si="81"/>
        <v>0</v>
      </c>
      <c r="M357" s="137">
        <f t="shared" si="81"/>
        <v>0</v>
      </c>
      <c r="N357" s="137">
        <f t="shared" si="81"/>
        <v>0</v>
      </c>
      <c r="O357" s="137">
        <f t="shared" si="81"/>
        <v>0</v>
      </c>
      <c r="P357" s="137">
        <f t="shared" si="81"/>
        <v>0</v>
      </c>
      <c r="Q357" s="137">
        <f t="shared" si="81"/>
        <v>0</v>
      </c>
      <c r="R357" s="22" t="s">
        <v>488</v>
      </c>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c r="CG357" s="97"/>
      <c r="CH357" s="97"/>
      <c r="CI357" s="97"/>
      <c r="CJ357" s="97"/>
      <c r="CK357" s="97"/>
      <c r="CL357" s="97"/>
      <c r="CM357" s="97"/>
      <c r="CN357" s="97"/>
      <c r="CO357" s="97"/>
      <c r="CP357" s="97"/>
      <c r="CQ357" s="97"/>
    </row>
    <row r="358" spans="1:95" ht="15" customHeight="1" outlineLevel="1">
      <c r="A358" s="97"/>
      <c r="B358" s="104" t="s">
        <v>84</v>
      </c>
      <c r="C358" s="138"/>
      <c r="D358" s="137">
        <f t="shared" ref="D358:Q358" si="82">(Opening_without_54_57_with_xx*Non_night_modelling_mask + Opening_without_54_57_with_xx_night*Night_modelling_mask)*Without_54_57_with_xx_sleep_disturbance_value</f>
        <v>0</v>
      </c>
      <c r="E358" s="137">
        <f t="shared" si="82"/>
        <v>0</v>
      </c>
      <c r="F358" s="137">
        <f t="shared" si="82"/>
        <v>0</v>
      </c>
      <c r="G358" s="137">
        <f t="shared" si="82"/>
        <v>0</v>
      </c>
      <c r="H358" s="137">
        <f t="shared" si="82"/>
        <v>0</v>
      </c>
      <c r="I358" s="137">
        <f t="shared" si="82"/>
        <v>0</v>
      </c>
      <c r="J358" s="137">
        <f t="shared" si="82"/>
        <v>0</v>
      </c>
      <c r="K358" s="137">
        <f t="shared" si="82"/>
        <v>0</v>
      </c>
      <c r="L358" s="137">
        <f t="shared" si="82"/>
        <v>0</v>
      </c>
      <c r="M358" s="137">
        <f t="shared" si="82"/>
        <v>0</v>
      </c>
      <c r="N358" s="137">
        <f t="shared" si="82"/>
        <v>0</v>
      </c>
      <c r="O358" s="137">
        <f t="shared" si="82"/>
        <v>0</v>
      </c>
      <c r="P358" s="137">
        <f t="shared" si="82"/>
        <v>0</v>
      </c>
      <c r="Q358" s="137">
        <f t="shared" si="82"/>
        <v>0</v>
      </c>
      <c r="R358" s="22" t="s">
        <v>489</v>
      </c>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c r="CG358" s="97"/>
      <c r="CH358" s="97"/>
      <c r="CI358" s="97"/>
      <c r="CJ358" s="97"/>
      <c r="CK358" s="97"/>
      <c r="CL358" s="97"/>
      <c r="CM358" s="97"/>
      <c r="CN358" s="97"/>
      <c r="CO358" s="97"/>
      <c r="CP358" s="97"/>
      <c r="CQ358" s="97"/>
    </row>
    <row r="359" spans="1:95" ht="15" customHeight="1" outlineLevel="1">
      <c r="A359" s="97"/>
      <c r="B359" s="104" t="s">
        <v>85</v>
      </c>
      <c r="C359" s="138"/>
      <c r="D359" s="137">
        <f t="shared" ref="D359:Q359" si="83">(Opening_without_57_60_with_xx*Non_night_modelling_mask + Opening_without_57_60_with_xx_night*Night_modelling_mask)*Without_57_60_with_xx_sleep_disturbance_value</f>
        <v>0</v>
      </c>
      <c r="E359" s="137">
        <f t="shared" si="83"/>
        <v>0</v>
      </c>
      <c r="F359" s="137">
        <f t="shared" si="83"/>
        <v>0</v>
      </c>
      <c r="G359" s="137">
        <f t="shared" si="83"/>
        <v>0</v>
      </c>
      <c r="H359" s="137">
        <f t="shared" si="83"/>
        <v>0</v>
      </c>
      <c r="I359" s="137">
        <f t="shared" si="83"/>
        <v>0</v>
      </c>
      <c r="J359" s="137">
        <f t="shared" si="83"/>
        <v>0</v>
      </c>
      <c r="K359" s="137">
        <f t="shared" si="83"/>
        <v>0</v>
      </c>
      <c r="L359" s="137">
        <f t="shared" si="83"/>
        <v>0</v>
      </c>
      <c r="M359" s="137">
        <f t="shared" si="83"/>
        <v>0</v>
      </c>
      <c r="N359" s="137">
        <f t="shared" si="83"/>
        <v>0</v>
      </c>
      <c r="O359" s="137">
        <f t="shared" si="83"/>
        <v>0</v>
      </c>
      <c r="P359" s="137">
        <f t="shared" si="83"/>
        <v>0</v>
      </c>
      <c r="Q359" s="137">
        <f t="shared" si="83"/>
        <v>0</v>
      </c>
      <c r="R359" s="22" t="s">
        <v>490</v>
      </c>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c r="CG359" s="97"/>
      <c r="CH359" s="97"/>
      <c r="CI359" s="97"/>
      <c r="CJ359" s="97"/>
      <c r="CK359" s="97"/>
      <c r="CL359" s="97"/>
      <c r="CM359" s="97"/>
      <c r="CN359" s="97"/>
      <c r="CO359" s="97"/>
      <c r="CP359" s="97"/>
      <c r="CQ359" s="97"/>
    </row>
    <row r="360" spans="1:95" ht="15" customHeight="1" outlineLevel="1">
      <c r="A360" s="97"/>
      <c r="B360" s="104" t="s">
        <v>86</v>
      </c>
      <c r="C360" s="138"/>
      <c r="D360" s="137">
        <f t="shared" ref="D360:Q360" si="84">(Opening_without_60_63_with_xx*Non_night_modelling_mask + Opening_without_60_63_with_xx_night*Night_modelling_mask)*Without_60_63_with_xx_sleep_disturbance_value</f>
        <v>0</v>
      </c>
      <c r="E360" s="137">
        <f t="shared" si="84"/>
        <v>0</v>
      </c>
      <c r="F360" s="137">
        <f t="shared" si="84"/>
        <v>0</v>
      </c>
      <c r="G360" s="137">
        <f t="shared" si="84"/>
        <v>0</v>
      </c>
      <c r="H360" s="137">
        <f t="shared" si="84"/>
        <v>0</v>
      </c>
      <c r="I360" s="137">
        <f t="shared" si="84"/>
        <v>0</v>
      </c>
      <c r="J360" s="137">
        <f t="shared" si="84"/>
        <v>0</v>
      </c>
      <c r="K360" s="137">
        <f t="shared" si="84"/>
        <v>0</v>
      </c>
      <c r="L360" s="137">
        <f t="shared" si="84"/>
        <v>0</v>
      </c>
      <c r="M360" s="137">
        <f t="shared" si="84"/>
        <v>0</v>
      </c>
      <c r="N360" s="137">
        <f t="shared" si="84"/>
        <v>0</v>
      </c>
      <c r="O360" s="137">
        <f t="shared" si="84"/>
        <v>0</v>
      </c>
      <c r="P360" s="137">
        <f t="shared" si="84"/>
        <v>0</v>
      </c>
      <c r="Q360" s="137">
        <f t="shared" si="84"/>
        <v>0</v>
      </c>
      <c r="R360" s="22" t="s">
        <v>491</v>
      </c>
      <c r="S360" s="97"/>
      <c r="T360" s="97"/>
      <c r="U360" s="97"/>
      <c r="V360" s="97"/>
      <c r="W360" s="97"/>
      <c r="X360" s="97"/>
      <c r="Y360" s="97"/>
      <c r="Z360" s="97"/>
      <c r="AA360" s="97"/>
      <c r="AB360" s="97"/>
      <c r="AC360" s="97"/>
      <c r="AD360" s="97"/>
      <c r="AE360" s="97"/>
      <c r="AF360" s="97"/>
      <c r="AG360" s="97"/>
      <c r="AH360" s="97"/>
      <c r="AI360" s="97"/>
      <c r="AJ360" s="97"/>
      <c r="AK360" s="97"/>
      <c r="AL360" s="97"/>
      <c r="AM360" s="97"/>
      <c r="AN360" s="97"/>
      <c r="AO360" s="97"/>
      <c r="AP360" s="97"/>
      <c r="AQ360" s="97"/>
      <c r="AR360" s="97"/>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c r="CG360" s="97"/>
      <c r="CH360" s="97"/>
      <c r="CI360" s="97"/>
      <c r="CJ360" s="97"/>
      <c r="CK360" s="97"/>
      <c r="CL360" s="97"/>
      <c r="CM360" s="97"/>
      <c r="CN360" s="97"/>
      <c r="CO360" s="97"/>
      <c r="CP360" s="97"/>
      <c r="CQ360" s="97"/>
    </row>
    <row r="361" spans="1:95" ht="15" customHeight="1" outlineLevel="1">
      <c r="A361" s="97"/>
      <c r="B361" s="104" t="s">
        <v>87</v>
      </c>
      <c r="C361" s="138"/>
      <c r="D361" s="137">
        <f t="shared" ref="D361:Q361" si="85">(Opening_without_63_66_with_xx*Non_night_modelling_mask + Opening_without_63_66_with_xx_night*Night_modelling_mask)*Without_63_66_with_xx_sleep_disturbance_value</f>
        <v>0</v>
      </c>
      <c r="E361" s="137">
        <f t="shared" si="85"/>
        <v>0</v>
      </c>
      <c r="F361" s="137">
        <f t="shared" si="85"/>
        <v>0</v>
      </c>
      <c r="G361" s="137">
        <f t="shared" si="85"/>
        <v>0</v>
      </c>
      <c r="H361" s="137">
        <f t="shared" si="85"/>
        <v>0</v>
      </c>
      <c r="I361" s="137">
        <f t="shared" si="85"/>
        <v>0</v>
      </c>
      <c r="J361" s="137">
        <f t="shared" si="85"/>
        <v>0</v>
      </c>
      <c r="K361" s="137">
        <f t="shared" si="85"/>
        <v>0</v>
      </c>
      <c r="L361" s="137">
        <f t="shared" si="85"/>
        <v>0</v>
      </c>
      <c r="M361" s="137">
        <f t="shared" si="85"/>
        <v>0</v>
      </c>
      <c r="N361" s="137">
        <f t="shared" si="85"/>
        <v>0</v>
      </c>
      <c r="O361" s="137">
        <f t="shared" si="85"/>
        <v>0</v>
      </c>
      <c r="P361" s="137">
        <f t="shared" si="85"/>
        <v>0</v>
      </c>
      <c r="Q361" s="137">
        <f t="shared" si="85"/>
        <v>0</v>
      </c>
      <c r="R361" s="22" t="s">
        <v>492</v>
      </c>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row>
    <row r="362" spans="1:95" ht="15" customHeight="1" outlineLevel="1">
      <c r="A362" s="97"/>
      <c r="B362" s="104" t="s">
        <v>88</v>
      </c>
      <c r="C362" s="138"/>
      <c r="D362" s="137">
        <f t="shared" ref="D362:Q362" si="86">(Opening_without_66_69_with_xx*Non_night_modelling_mask + Opening_without_66_69_with_xx_night*Night_modelling_mask)*Without_66_69_with_xx_sleep_disturbance_value</f>
        <v>0</v>
      </c>
      <c r="E362" s="137">
        <f t="shared" si="86"/>
        <v>0</v>
      </c>
      <c r="F362" s="137">
        <f t="shared" si="86"/>
        <v>0</v>
      </c>
      <c r="G362" s="137">
        <f t="shared" si="86"/>
        <v>0</v>
      </c>
      <c r="H362" s="137">
        <f t="shared" si="86"/>
        <v>0</v>
      </c>
      <c r="I362" s="137">
        <f t="shared" si="86"/>
        <v>0</v>
      </c>
      <c r="J362" s="137">
        <f t="shared" si="86"/>
        <v>0</v>
      </c>
      <c r="K362" s="137">
        <f t="shared" si="86"/>
        <v>0</v>
      </c>
      <c r="L362" s="137">
        <f t="shared" si="86"/>
        <v>0</v>
      </c>
      <c r="M362" s="137">
        <f t="shared" si="86"/>
        <v>0</v>
      </c>
      <c r="N362" s="137">
        <f t="shared" si="86"/>
        <v>0</v>
      </c>
      <c r="O362" s="137">
        <f t="shared" si="86"/>
        <v>0</v>
      </c>
      <c r="P362" s="137">
        <f t="shared" si="86"/>
        <v>0</v>
      </c>
      <c r="Q362" s="137">
        <f t="shared" si="86"/>
        <v>0</v>
      </c>
      <c r="R362" s="22" t="s">
        <v>493</v>
      </c>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c r="CJ362" s="97"/>
      <c r="CK362" s="97"/>
      <c r="CL362" s="97"/>
      <c r="CM362" s="97"/>
      <c r="CN362" s="97"/>
      <c r="CO362" s="97"/>
      <c r="CP362" s="97"/>
      <c r="CQ362" s="97"/>
    </row>
    <row r="363" spans="1:95" ht="15" customHeight="1" outlineLevel="1">
      <c r="A363" s="97"/>
      <c r="B363" s="104" t="s">
        <v>89</v>
      </c>
      <c r="C363" s="138"/>
      <c r="D363" s="137">
        <f t="shared" ref="D363:Q363" si="87">(Opening_without_69_72_with_xx*Non_night_modelling_mask + Opening_without_69_72_with_xx_night*Night_modelling_mask)*Without_69_72_with_xx_sleep_disturbance_value</f>
        <v>0</v>
      </c>
      <c r="E363" s="137">
        <f t="shared" si="87"/>
        <v>0</v>
      </c>
      <c r="F363" s="137">
        <f t="shared" si="87"/>
        <v>0</v>
      </c>
      <c r="G363" s="137">
        <f t="shared" si="87"/>
        <v>0</v>
      </c>
      <c r="H363" s="137">
        <f t="shared" si="87"/>
        <v>0</v>
      </c>
      <c r="I363" s="137">
        <f t="shared" si="87"/>
        <v>0</v>
      </c>
      <c r="J363" s="137">
        <f t="shared" si="87"/>
        <v>0</v>
      </c>
      <c r="K363" s="137">
        <f t="shared" si="87"/>
        <v>0</v>
      </c>
      <c r="L363" s="137">
        <f t="shared" si="87"/>
        <v>0</v>
      </c>
      <c r="M363" s="137">
        <f t="shared" si="87"/>
        <v>0</v>
      </c>
      <c r="N363" s="137">
        <f t="shared" si="87"/>
        <v>0</v>
      </c>
      <c r="O363" s="137">
        <f t="shared" si="87"/>
        <v>0</v>
      </c>
      <c r="P363" s="137">
        <f t="shared" si="87"/>
        <v>0</v>
      </c>
      <c r="Q363" s="137">
        <f t="shared" si="87"/>
        <v>0</v>
      </c>
      <c r="R363" s="22" t="s">
        <v>494</v>
      </c>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row>
    <row r="364" spans="1:95" ht="15" customHeight="1" outlineLevel="1">
      <c r="A364" s="97"/>
      <c r="B364" s="104" t="s">
        <v>90</v>
      </c>
      <c r="C364" s="138"/>
      <c r="D364" s="137">
        <f t="shared" ref="D364:Q364" si="88">(Opening_without_72_75_with_xx*Non_night_modelling_mask + Opening_without_72_75_with_xx_night*Night_modelling_mask)*Without_72_75_with_xx_sleep_disturbance_value</f>
        <v>0</v>
      </c>
      <c r="E364" s="137">
        <f t="shared" si="88"/>
        <v>0</v>
      </c>
      <c r="F364" s="137">
        <f t="shared" si="88"/>
        <v>0</v>
      </c>
      <c r="G364" s="137">
        <f t="shared" si="88"/>
        <v>0</v>
      </c>
      <c r="H364" s="137">
        <f t="shared" si="88"/>
        <v>0</v>
      </c>
      <c r="I364" s="137">
        <f t="shared" si="88"/>
        <v>0</v>
      </c>
      <c r="J364" s="137">
        <f t="shared" si="88"/>
        <v>0</v>
      </c>
      <c r="K364" s="137">
        <f t="shared" si="88"/>
        <v>0</v>
      </c>
      <c r="L364" s="137">
        <f t="shared" si="88"/>
        <v>0</v>
      </c>
      <c r="M364" s="137">
        <f t="shared" si="88"/>
        <v>0</v>
      </c>
      <c r="N364" s="137">
        <f t="shared" si="88"/>
        <v>0</v>
      </c>
      <c r="O364" s="137">
        <f t="shared" si="88"/>
        <v>0</v>
      </c>
      <c r="P364" s="137">
        <f t="shared" si="88"/>
        <v>0</v>
      </c>
      <c r="Q364" s="137">
        <f t="shared" si="88"/>
        <v>0</v>
      </c>
      <c r="R364" s="22" t="s">
        <v>495</v>
      </c>
      <c r="S364" s="97"/>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97"/>
      <c r="AR364" s="97"/>
      <c r="AS364" s="97"/>
      <c r="AT364" s="97"/>
      <c r="AU364" s="97"/>
      <c r="AV364" s="97"/>
      <c r="AW364" s="97"/>
      <c r="AX364" s="97"/>
      <c r="AY364" s="97"/>
      <c r="AZ364" s="97"/>
      <c r="BA364" s="97"/>
      <c r="BB364" s="97"/>
      <c r="BC364" s="97"/>
      <c r="BD364" s="97"/>
      <c r="BE364" s="97"/>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c r="CG364" s="97"/>
      <c r="CH364" s="97"/>
      <c r="CI364" s="97"/>
      <c r="CJ364" s="97"/>
      <c r="CK364" s="97"/>
      <c r="CL364" s="97"/>
      <c r="CM364" s="97"/>
      <c r="CN364" s="97"/>
      <c r="CO364" s="97"/>
      <c r="CP364" s="97"/>
      <c r="CQ364" s="97"/>
    </row>
    <row r="365" spans="1:95" ht="15" customHeight="1" outlineLevel="1">
      <c r="A365" s="97"/>
      <c r="B365" s="104" t="s">
        <v>91</v>
      </c>
      <c r="C365" s="138"/>
      <c r="D365" s="137">
        <f t="shared" ref="D365:Q365" si="89">(Opening_without_75_78_with_xx*Non_night_modelling_mask + Opening_without_75_78_with_xx_night*Night_modelling_mask)*Without_75_78_with_xx_sleep_disturbance_value</f>
        <v>0</v>
      </c>
      <c r="E365" s="137">
        <f t="shared" si="89"/>
        <v>0</v>
      </c>
      <c r="F365" s="137">
        <f t="shared" si="89"/>
        <v>0</v>
      </c>
      <c r="G365" s="137">
        <f t="shared" si="89"/>
        <v>0</v>
      </c>
      <c r="H365" s="137">
        <f t="shared" si="89"/>
        <v>0</v>
      </c>
      <c r="I365" s="137">
        <f t="shared" si="89"/>
        <v>0</v>
      </c>
      <c r="J365" s="137">
        <f t="shared" si="89"/>
        <v>0</v>
      </c>
      <c r="K365" s="137">
        <f t="shared" si="89"/>
        <v>0</v>
      </c>
      <c r="L365" s="137">
        <f t="shared" si="89"/>
        <v>0</v>
      </c>
      <c r="M365" s="137">
        <f t="shared" si="89"/>
        <v>0</v>
      </c>
      <c r="N365" s="137">
        <f t="shared" si="89"/>
        <v>0</v>
      </c>
      <c r="O365" s="137">
        <f t="shared" si="89"/>
        <v>0</v>
      </c>
      <c r="P365" s="137">
        <f t="shared" si="89"/>
        <v>0</v>
      </c>
      <c r="Q365" s="137">
        <f t="shared" si="89"/>
        <v>0</v>
      </c>
      <c r="R365" s="22" t="s">
        <v>496</v>
      </c>
      <c r="S365" s="97"/>
      <c r="T365" s="97"/>
      <c r="U365" s="97"/>
      <c r="V365" s="97"/>
      <c r="W365" s="97"/>
      <c r="X365" s="97"/>
      <c r="Y365" s="97"/>
      <c r="Z365" s="97"/>
      <c r="AA365" s="97"/>
      <c r="AB365" s="97"/>
      <c r="AC365" s="97"/>
      <c r="AD365" s="97"/>
      <c r="AE365" s="97"/>
      <c r="AF365" s="97"/>
      <c r="AG365" s="97"/>
      <c r="AH365" s="97"/>
      <c r="AI365" s="97"/>
      <c r="AJ365" s="97"/>
      <c r="AK365" s="97"/>
      <c r="AL365" s="97"/>
      <c r="AM365" s="97"/>
      <c r="AN365" s="97"/>
      <c r="AO365" s="97"/>
      <c r="AP365" s="97"/>
      <c r="AQ365" s="97"/>
      <c r="AR365" s="97"/>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c r="CG365" s="97"/>
      <c r="CH365" s="97"/>
      <c r="CI365" s="97"/>
      <c r="CJ365" s="97"/>
      <c r="CK365" s="97"/>
      <c r="CL365" s="97"/>
      <c r="CM365" s="97"/>
      <c r="CN365" s="97"/>
      <c r="CO365" s="97"/>
      <c r="CP365" s="97"/>
      <c r="CQ365" s="97"/>
    </row>
    <row r="366" spans="1:95" ht="15" customHeight="1" outlineLevel="1">
      <c r="A366" s="97"/>
      <c r="B366" s="104" t="s">
        <v>92</v>
      </c>
      <c r="C366" s="138"/>
      <c r="D366" s="137">
        <f t="shared" ref="D366:Q366" si="90">(Opening_without_78_81_with_xx*Non_night_modelling_mask + Opening_without_78_81_with_xx_night*Night_modelling_mask)*Without_78_81_with_xx_sleep_disturbance_value</f>
        <v>0</v>
      </c>
      <c r="E366" s="137">
        <f t="shared" si="90"/>
        <v>0</v>
      </c>
      <c r="F366" s="137">
        <f t="shared" si="90"/>
        <v>0</v>
      </c>
      <c r="G366" s="137">
        <f t="shared" si="90"/>
        <v>0</v>
      </c>
      <c r="H366" s="137">
        <f t="shared" si="90"/>
        <v>0</v>
      </c>
      <c r="I366" s="137">
        <f t="shared" si="90"/>
        <v>0</v>
      </c>
      <c r="J366" s="137">
        <f t="shared" si="90"/>
        <v>0</v>
      </c>
      <c r="K366" s="137">
        <f t="shared" si="90"/>
        <v>0</v>
      </c>
      <c r="L366" s="137">
        <f t="shared" si="90"/>
        <v>0</v>
      </c>
      <c r="M366" s="137">
        <f t="shared" si="90"/>
        <v>0</v>
      </c>
      <c r="N366" s="137">
        <f t="shared" si="90"/>
        <v>0</v>
      </c>
      <c r="O366" s="137">
        <f t="shared" si="90"/>
        <v>0</v>
      </c>
      <c r="P366" s="137">
        <f t="shared" si="90"/>
        <v>0</v>
      </c>
      <c r="Q366" s="137">
        <f t="shared" si="90"/>
        <v>0</v>
      </c>
      <c r="R366" s="22" t="s">
        <v>497</v>
      </c>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c r="CG366" s="97"/>
      <c r="CH366" s="97"/>
      <c r="CI366" s="97"/>
      <c r="CJ366" s="97"/>
      <c r="CK366" s="97"/>
      <c r="CL366" s="97"/>
      <c r="CM366" s="97"/>
      <c r="CN366" s="97"/>
      <c r="CO366" s="97"/>
      <c r="CP366" s="97"/>
      <c r="CQ366" s="97"/>
    </row>
    <row r="367" spans="1:95" ht="15" customHeight="1" outlineLevel="1">
      <c r="A367" s="97"/>
      <c r="B367" s="104" t="s">
        <v>93</v>
      </c>
      <c r="C367" s="139"/>
      <c r="D367" s="137">
        <f>(Opening_without_81_with_xx*Non_night_modelling_mask + Opening_without_81_with_xx_night*Night_modelling_mask)*Without_81_with_xx_sleep_disturbance_value</f>
        <v>0</v>
      </c>
      <c r="E367" s="137">
        <f t="shared" ref="E367:Q367" si="91">(Opening_without_81_with_xx*Non_night_modelling_mask + Opening_without_81_with_xx_night*Night_modelling_mask)*Without_81_with_xx_sleep_disturbance_value</f>
        <v>0</v>
      </c>
      <c r="F367" s="137">
        <f t="shared" si="91"/>
        <v>0</v>
      </c>
      <c r="G367" s="137">
        <f t="shared" si="91"/>
        <v>0</v>
      </c>
      <c r="H367" s="137">
        <f t="shared" si="91"/>
        <v>0</v>
      </c>
      <c r="I367" s="137">
        <f t="shared" si="91"/>
        <v>0</v>
      </c>
      <c r="J367" s="137">
        <f t="shared" si="91"/>
        <v>0</v>
      </c>
      <c r="K367" s="137">
        <f t="shared" si="91"/>
        <v>0</v>
      </c>
      <c r="L367" s="137">
        <f t="shared" si="91"/>
        <v>0</v>
      </c>
      <c r="M367" s="137">
        <f t="shared" si="91"/>
        <v>0</v>
      </c>
      <c r="N367" s="137">
        <f t="shared" si="91"/>
        <v>0</v>
      </c>
      <c r="O367" s="137">
        <f t="shared" si="91"/>
        <v>0</v>
      </c>
      <c r="P367" s="137">
        <f t="shared" si="91"/>
        <v>0</v>
      </c>
      <c r="Q367" s="137">
        <f t="shared" si="91"/>
        <v>0</v>
      </c>
      <c r="R367" s="22" t="s">
        <v>498</v>
      </c>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c r="CG367" s="97"/>
      <c r="CH367" s="97"/>
      <c r="CI367" s="97"/>
      <c r="CJ367" s="97"/>
      <c r="CK367" s="97"/>
      <c r="CL367" s="97"/>
      <c r="CM367" s="97"/>
      <c r="CN367" s="97"/>
      <c r="CO367" s="97"/>
      <c r="CP367" s="97"/>
      <c r="CQ367" s="97"/>
    </row>
    <row r="368" spans="1:95" ht="15" customHeight="1" outlineLevel="1">
      <c r="A368" s="97"/>
      <c r="B368" s="134"/>
      <c r="C368" s="134"/>
      <c r="D368" s="134"/>
      <c r="E368" s="134"/>
      <c r="F368" s="134"/>
      <c r="G368" s="134"/>
      <c r="H368" s="134"/>
      <c r="I368" s="134"/>
      <c r="J368" s="134"/>
      <c r="K368" s="134"/>
      <c r="L368" s="134"/>
      <c r="M368" s="134"/>
      <c r="N368" s="134"/>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c r="CG368" s="97"/>
      <c r="CH368" s="97"/>
      <c r="CI368" s="97"/>
      <c r="CJ368" s="97"/>
      <c r="CK368" s="97"/>
      <c r="CL368" s="97"/>
      <c r="CM368" s="97"/>
      <c r="CN368" s="97"/>
      <c r="CO368" s="97"/>
      <c r="CP368" s="97"/>
      <c r="CQ368" s="97"/>
    </row>
    <row r="369" spans="1:95" ht="23.25" customHeight="1" outlineLevel="1">
      <c r="A369" s="97"/>
      <c r="B369" s="140" t="s">
        <v>499</v>
      </c>
      <c r="C369" s="141">
        <f>SUM(Opening_without_45_with_xx_sleep_disturbance_cost,Opening_without_45_48_with_xx_sleep_disturbance_cost,Opening_without_48_51_with_xx_sleep_disturbance_cost,Opening_without_51_54_with_xx_sleep_disturbance_cost,Opening_without_54_57_with_xx_sleep_disturbance_cost,Opening_without_57_60_with_xx_sleep_disturbance_cost,Opening_without_60_63_with_xx_sleep_disturbance_cost,Opening_without_63_66_with_xx_sleep_disturbance_cost,Opening_without_66_69_with_xx_sleep_disturbance_cost,Opening_without_69_72_with_xx_sleep_disturbance_cost,Opening_without_72_75_with_xx_sleep_disturbance_cost,Opening_without_75_78_with_xx_sleep_disturbance_cost,Opening_without_78_81_with_xx_sleep_disturbance_cost,Opening_without_81_with_xx_sleep_disturbance_cost)</f>
        <v>0</v>
      </c>
      <c r="D369" s="24" t="s">
        <v>500</v>
      </c>
      <c r="E369" s="134"/>
      <c r="F369" s="134"/>
      <c r="G369" s="134"/>
      <c r="H369" s="134"/>
      <c r="I369" s="134"/>
      <c r="J369" s="134"/>
      <c r="K369" s="134"/>
      <c r="L369" s="134"/>
      <c r="M369" s="134"/>
      <c r="N369" s="134"/>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c r="CG369" s="97"/>
      <c r="CH369" s="97"/>
      <c r="CI369" s="97"/>
      <c r="CJ369" s="97"/>
      <c r="CK369" s="97"/>
      <c r="CL369" s="97"/>
      <c r="CM369" s="97"/>
      <c r="CN369" s="97"/>
      <c r="CO369" s="97"/>
      <c r="CP369" s="97"/>
      <c r="CQ369" s="97"/>
    </row>
    <row r="370" spans="1:95" ht="15" customHeight="1" outlineLevel="1">
      <c r="A370" s="97"/>
      <c r="B370" s="134"/>
      <c r="C370" s="134"/>
      <c r="D370" s="134"/>
      <c r="E370" s="134"/>
      <c r="F370" s="134"/>
      <c r="G370" s="134"/>
      <c r="H370" s="134"/>
      <c r="I370" s="134"/>
      <c r="J370" s="134"/>
      <c r="K370" s="134"/>
      <c r="L370" s="134"/>
      <c r="M370" s="134"/>
      <c r="N370" s="134"/>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c r="CG370" s="97"/>
      <c r="CH370" s="97"/>
      <c r="CI370" s="97"/>
      <c r="CJ370" s="97"/>
      <c r="CK370" s="97"/>
      <c r="CL370" s="97"/>
      <c r="CM370" s="97"/>
      <c r="CN370" s="97"/>
      <c r="CO370" s="97"/>
      <c r="CP370" s="97"/>
      <c r="CQ370" s="97"/>
    </row>
    <row r="371" spans="1:95" s="5" customFormat="1" ht="15.6" outlineLevel="1">
      <c r="B371" s="5" t="s">
        <v>501</v>
      </c>
    </row>
    <row r="372" spans="1:95" ht="15" customHeight="1" outlineLevel="1">
      <c r="A372" s="97"/>
      <c r="B372" s="134"/>
      <c r="C372" s="134"/>
      <c r="D372" s="134"/>
      <c r="E372" s="134"/>
      <c r="F372" s="134"/>
      <c r="G372" s="134"/>
      <c r="H372" s="134"/>
      <c r="I372" s="134"/>
      <c r="J372" s="134"/>
      <c r="K372" s="134"/>
      <c r="L372" s="134"/>
      <c r="M372" s="134"/>
      <c r="N372" s="134"/>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c r="CJ372" s="97"/>
      <c r="CK372" s="97"/>
      <c r="CL372" s="97"/>
      <c r="CM372" s="97"/>
      <c r="CN372" s="97"/>
      <c r="CO372" s="97"/>
      <c r="CP372" s="97"/>
      <c r="CQ372" s="97"/>
    </row>
    <row r="373" spans="1:95" ht="15" customHeight="1" outlineLevel="1">
      <c r="A373" s="97"/>
      <c r="B373" s="122"/>
      <c r="C373" s="60" t="s">
        <v>79</v>
      </c>
      <c r="D373" s="61" t="s">
        <v>80</v>
      </c>
      <c r="E373" s="104" t="s">
        <v>81</v>
      </c>
      <c r="F373" s="104" t="s">
        <v>82</v>
      </c>
      <c r="G373" s="104" t="s">
        <v>83</v>
      </c>
      <c r="H373" s="104" t="s">
        <v>84</v>
      </c>
      <c r="I373" s="104" t="s">
        <v>85</v>
      </c>
      <c r="J373" s="104" t="s">
        <v>86</v>
      </c>
      <c r="K373" s="104" t="s">
        <v>87</v>
      </c>
      <c r="L373" s="104" t="s">
        <v>88</v>
      </c>
      <c r="M373" s="104" t="s">
        <v>89</v>
      </c>
      <c r="N373" s="104" t="s">
        <v>90</v>
      </c>
      <c r="O373" s="104" t="s">
        <v>91</v>
      </c>
      <c r="P373" s="104" t="s">
        <v>92</v>
      </c>
      <c r="Q373" s="104" t="s">
        <v>93</v>
      </c>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c r="CG373" s="97"/>
      <c r="CH373" s="97"/>
      <c r="CI373" s="97"/>
      <c r="CJ373" s="97"/>
      <c r="CK373" s="97"/>
      <c r="CL373" s="97"/>
      <c r="CM373" s="97"/>
      <c r="CN373" s="97"/>
      <c r="CO373" s="97"/>
      <c r="CP373" s="97"/>
      <c r="CQ373" s="97"/>
    </row>
    <row r="374" spans="1:95" ht="15" customHeight="1" outlineLevel="1">
      <c r="A374" s="97"/>
      <c r="B374" s="60" t="s">
        <v>94</v>
      </c>
      <c r="C374" s="130"/>
      <c r="D374" s="135"/>
      <c r="E374" s="129"/>
      <c r="F374" s="129"/>
      <c r="G374" s="129"/>
      <c r="H374" s="129"/>
      <c r="I374" s="129"/>
      <c r="J374" s="129"/>
      <c r="K374" s="129"/>
      <c r="L374" s="129"/>
      <c r="M374" s="129"/>
      <c r="N374" s="129"/>
      <c r="O374" s="129"/>
      <c r="P374" s="129"/>
      <c r="Q374" s="130"/>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c r="CG374" s="97"/>
      <c r="CH374" s="97"/>
      <c r="CI374" s="97"/>
      <c r="CJ374" s="97"/>
      <c r="CK374" s="97"/>
      <c r="CL374" s="97"/>
      <c r="CM374" s="97"/>
      <c r="CN374" s="97"/>
      <c r="CO374" s="97"/>
      <c r="CP374" s="97"/>
      <c r="CQ374" s="97"/>
    </row>
    <row r="375" spans="1:95" ht="15" customHeight="1" outlineLevel="1">
      <c r="A375" s="97"/>
      <c r="B375" s="61" t="s">
        <v>80</v>
      </c>
      <c r="C375" s="136"/>
      <c r="D375" s="131">
        <f t="shared" ref="D375:Q375" si="92">(Forecast_without_45_with_xx*Non_night_modelling_mask + Forecast_without_45_with_xx_night*Night_modelling_mask)*Without_45_with_xx_sleep_disturbance_value</f>
        <v>0</v>
      </c>
      <c r="E375" s="131">
        <f t="shared" si="92"/>
        <v>0</v>
      </c>
      <c r="F375" s="131">
        <f t="shared" si="92"/>
        <v>0</v>
      </c>
      <c r="G375" s="131">
        <f t="shared" si="92"/>
        <v>0</v>
      </c>
      <c r="H375" s="131">
        <f t="shared" si="92"/>
        <v>0</v>
      </c>
      <c r="I375" s="131">
        <f t="shared" si="92"/>
        <v>0</v>
      </c>
      <c r="J375" s="131">
        <f t="shared" si="92"/>
        <v>0</v>
      </c>
      <c r="K375" s="131">
        <f t="shared" si="92"/>
        <v>0</v>
      </c>
      <c r="L375" s="131">
        <f t="shared" si="92"/>
        <v>0</v>
      </c>
      <c r="M375" s="131">
        <f t="shared" si="92"/>
        <v>0</v>
      </c>
      <c r="N375" s="131">
        <f t="shared" si="92"/>
        <v>0</v>
      </c>
      <c r="O375" s="131">
        <f t="shared" si="92"/>
        <v>0</v>
      </c>
      <c r="P375" s="131">
        <f t="shared" si="92"/>
        <v>0</v>
      </c>
      <c r="Q375" s="131">
        <f t="shared" si="92"/>
        <v>0</v>
      </c>
      <c r="R375" s="22" t="s">
        <v>502</v>
      </c>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c r="CG375" s="97"/>
      <c r="CH375" s="97"/>
      <c r="CI375" s="97"/>
      <c r="CJ375" s="97"/>
      <c r="CK375" s="97"/>
      <c r="CL375" s="97"/>
      <c r="CM375" s="97"/>
      <c r="CN375" s="97"/>
      <c r="CO375" s="97"/>
      <c r="CP375" s="97"/>
      <c r="CQ375" s="97"/>
    </row>
    <row r="376" spans="1:95" ht="15" customHeight="1" outlineLevel="1">
      <c r="A376" s="97"/>
      <c r="B376" s="104" t="s">
        <v>81</v>
      </c>
      <c r="C376" s="138"/>
      <c r="D376" s="131">
        <f t="shared" ref="D376:Q376" si="93">(Forecast_without_45_48_with_xx*Non_night_modelling_mask + Forecast_without_45_48_with_xx_night*Night_modelling_mask)*Without_45_48_with_xx_sleep_disturbance_value</f>
        <v>0</v>
      </c>
      <c r="E376" s="131">
        <f t="shared" si="93"/>
        <v>0</v>
      </c>
      <c r="F376" s="131">
        <f t="shared" si="93"/>
        <v>0</v>
      </c>
      <c r="G376" s="131">
        <f t="shared" si="93"/>
        <v>0</v>
      </c>
      <c r="H376" s="131">
        <f t="shared" si="93"/>
        <v>0</v>
      </c>
      <c r="I376" s="131">
        <f t="shared" si="93"/>
        <v>0</v>
      </c>
      <c r="J376" s="131">
        <f t="shared" si="93"/>
        <v>0</v>
      </c>
      <c r="K376" s="131">
        <f t="shared" si="93"/>
        <v>0</v>
      </c>
      <c r="L376" s="131">
        <f t="shared" si="93"/>
        <v>0</v>
      </c>
      <c r="M376" s="131">
        <f t="shared" si="93"/>
        <v>0</v>
      </c>
      <c r="N376" s="131">
        <f t="shared" si="93"/>
        <v>0</v>
      </c>
      <c r="O376" s="131">
        <f t="shared" si="93"/>
        <v>0</v>
      </c>
      <c r="P376" s="131">
        <f t="shared" si="93"/>
        <v>0</v>
      </c>
      <c r="Q376" s="131">
        <f t="shared" si="93"/>
        <v>0</v>
      </c>
      <c r="R376" s="22" t="s">
        <v>503</v>
      </c>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c r="AP376" s="97"/>
      <c r="AQ376" s="97"/>
      <c r="AR376" s="97"/>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c r="CG376" s="97"/>
      <c r="CH376" s="97"/>
      <c r="CI376" s="97"/>
      <c r="CJ376" s="97"/>
      <c r="CK376" s="97"/>
      <c r="CL376" s="97"/>
      <c r="CM376" s="97"/>
      <c r="CN376" s="97"/>
      <c r="CO376" s="97"/>
      <c r="CP376" s="97"/>
      <c r="CQ376" s="97"/>
    </row>
    <row r="377" spans="1:95" ht="15" customHeight="1" outlineLevel="1">
      <c r="A377" s="97"/>
      <c r="B377" s="104" t="s">
        <v>82</v>
      </c>
      <c r="C377" s="138"/>
      <c r="D377" s="131">
        <f t="shared" ref="D377:Q377" si="94">(Forecast_without_48_51_with_xx*Non_night_modelling_mask + Forecast_without_48_51_with_xx_night*Night_modelling_mask)*Without_48_51_with_xx_sleep_disturbance_value</f>
        <v>0</v>
      </c>
      <c r="E377" s="131">
        <f t="shared" si="94"/>
        <v>0</v>
      </c>
      <c r="F377" s="131">
        <f t="shared" si="94"/>
        <v>0</v>
      </c>
      <c r="G377" s="131">
        <f t="shared" si="94"/>
        <v>0</v>
      </c>
      <c r="H377" s="131">
        <f t="shared" si="94"/>
        <v>0</v>
      </c>
      <c r="I377" s="131">
        <f t="shared" si="94"/>
        <v>0</v>
      </c>
      <c r="J377" s="131">
        <f t="shared" si="94"/>
        <v>0</v>
      </c>
      <c r="K377" s="131">
        <f t="shared" si="94"/>
        <v>0</v>
      </c>
      <c r="L377" s="131">
        <f t="shared" si="94"/>
        <v>0</v>
      </c>
      <c r="M377" s="131">
        <f t="shared" si="94"/>
        <v>0</v>
      </c>
      <c r="N377" s="131">
        <f t="shared" si="94"/>
        <v>0</v>
      </c>
      <c r="O377" s="131">
        <f t="shared" si="94"/>
        <v>0</v>
      </c>
      <c r="P377" s="131">
        <f t="shared" si="94"/>
        <v>0</v>
      </c>
      <c r="Q377" s="131">
        <f t="shared" si="94"/>
        <v>0</v>
      </c>
      <c r="R377" s="22" t="s">
        <v>504</v>
      </c>
      <c r="S377" s="97"/>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c r="AP377" s="97"/>
      <c r="AQ377" s="97"/>
      <c r="AR377" s="97"/>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c r="CG377" s="97"/>
      <c r="CH377" s="97"/>
      <c r="CI377" s="97"/>
      <c r="CJ377" s="97"/>
      <c r="CK377" s="97"/>
      <c r="CL377" s="97"/>
      <c r="CM377" s="97"/>
      <c r="CN377" s="97"/>
      <c r="CO377" s="97"/>
      <c r="CP377" s="97"/>
      <c r="CQ377" s="97"/>
    </row>
    <row r="378" spans="1:95" ht="15" customHeight="1" outlineLevel="1">
      <c r="A378" s="97"/>
      <c r="B378" s="104" t="s">
        <v>83</v>
      </c>
      <c r="C378" s="138"/>
      <c r="D378" s="131">
        <f t="shared" ref="D378:Q378" si="95">(Forecast_without_51_54_with_xx*Non_night_modelling_mask + Forecast_without_51_54_with_xx_night*Night_modelling_mask)*Without_51_54_with_xx_sleep_disturbance_value</f>
        <v>0</v>
      </c>
      <c r="E378" s="131">
        <f t="shared" si="95"/>
        <v>0</v>
      </c>
      <c r="F378" s="131">
        <f t="shared" si="95"/>
        <v>0</v>
      </c>
      <c r="G378" s="131">
        <f t="shared" si="95"/>
        <v>0</v>
      </c>
      <c r="H378" s="131">
        <f t="shared" si="95"/>
        <v>0</v>
      </c>
      <c r="I378" s="131">
        <f t="shared" si="95"/>
        <v>0</v>
      </c>
      <c r="J378" s="131">
        <f t="shared" si="95"/>
        <v>0</v>
      </c>
      <c r="K378" s="131">
        <f t="shared" si="95"/>
        <v>0</v>
      </c>
      <c r="L378" s="131">
        <f t="shared" si="95"/>
        <v>0</v>
      </c>
      <c r="M378" s="131">
        <f t="shared" si="95"/>
        <v>0</v>
      </c>
      <c r="N378" s="131">
        <f t="shared" si="95"/>
        <v>0</v>
      </c>
      <c r="O378" s="131">
        <f t="shared" si="95"/>
        <v>0</v>
      </c>
      <c r="P378" s="131">
        <f t="shared" si="95"/>
        <v>0</v>
      </c>
      <c r="Q378" s="131">
        <f t="shared" si="95"/>
        <v>0</v>
      </c>
      <c r="R378" s="22" t="s">
        <v>505</v>
      </c>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97"/>
      <c r="AR378" s="97"/>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c r="CG378" s="97"/>
      <c r="CH378" s="97"/>
      <c r="CI378" s="97"/>
      <c r="CJ378" s="97"/>
      <c r="CK378" s="97"/>
      <c r="CL378" s="97"/>
      <c r="CM378" s="97"/>
      <c r="CN378" s="97"/>
      <c r="CO378" s="97"/>
      <c r="CP378" s="97"/>
      <c r="CQ378" s="97"/>
    </row>
    <row r="379" spans="1:95" ht="15" customHeight="1" outlineLevel="1">
      <c r="A379" s="97"/>
      <c r="B379" s="104" t="s">
        <v>84</v>
      </c>
      <c r="C379" s="138"/>
      <c r="D379" s="131">
        <f t="shared" ref="D379:Q379" si="96">(Forecast_without_54_57_with_xx*Non_night_modelling_mask + Forecast_without_54_57_with_xx_night*Night_modelling_mask)*Without_54_57_with_xx_sleep_disturbance_value</f>
        <v>0</v>
      </c>
      <c r="E379" s="131">
        <f t="shared" si="96"/>
        <v>0</v>
      </c>
      <c r="F379" s="131">
        <f t="shared" si="96"/>
        <v>0</v>
      </c>
      <c r="G379" s="131">
        <f t="shared" si="96"/>
        <v>0</v>
      </c>
      <c r="H379" s="131">
        <f t="shared" si="96"/>
        <v>0</v>
      </c>
      <c r="I379" s="131">
        <f t="shared" si="96"/>
        <v>0</v>
      </c>
      <c r="J379" s="131">
        <f t="shared" si="96"/>
        <v>0</v>
      </c>
      <c r="K379" s="131">
        <f t="shared" si="96"/>
        <v>0</v>
      </c>
      <c r="L379" s="131">
        <f t="shared" si="96"/>
        <v>0</v>
      </c>
      <c r="M379" s="131">
        <f t="shared" si="96"/>
        <v>0</v>
      </c>
      <c r="N379" s="131">
        <f t="shared" si="96"/>
        <v>0</v>
      </c>
      <c r="O379" s="131">
        <f t="shared" si="96"/>
        <v>0</v>
      </c>
      <c r="P379" s="131">
        <f t="shared" si="96"/>
        <v>0</v>
      </c>
      <c r="Q379" s="131">
        <f t="shared" si="96"/>
        <v>0</v>
      </c>
      <c r="R379" s="22" t="s">
        <v>506</v>
      </c>
      <c r="S379" s="97"/>
      <c r="T379" s="97"/>
      <c r="U379" s="97"/>
      <c r="V379" s="97"/>
      <c r="W379" s="97"/>
      <c r="X379" s="97"/>
      <c r="Y379" s="97"/>
      <c r="Z379" s="97"/>
      <c r="AA379" s="97"/>
      <c r="AB379" s="97"/>
      <c r="AC379" s="97"/>
      <c r="AD379" s="97"/>
      <c r="AE379" s="97"/>
      <c r="AF379" s="97"/>
      <c r="AG379" s="97"/>
      <c r="AH379" s="97"/>
      <c r="AI379" s="97"/>
      <c r="AJ379" s="97"/>
      <c r="AK379" s="97"/>
      <c r="AL379" s="97"/>
      <c r="AM379" s="97"/>
      <c r="AN379" s="97"/>
      <c r="AO379" s="97"/>
      <c r="AP379" s="97"/>
      <c r="AQ379" s="97"/>
      <c r="AR379" s="97"/>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c r="CG379" s="97"/>
      <c r="CH379" s="97"/>
      <c r="CI379" s="97"/>
      <c r="CJ379" s="97"/>
      <c r="CK379" s="97"/>
      <c r="CL379" s="97"/>
      <c r="CM379" s="97"/>
      <c r="CN379" s="97"/>
      <c r="CO379" s="97"/>
      <c r="CP379" s="97"/>
      <c r="CQ379" s="97"/>
    </row>
    <row r="380" spans="1:95" ht="15" customHeight="1" outlineLevel="1">
      <c r="A380" s="97"/>
      <c r="B380" s="104" t="s">
        <v>85</v>
      </c>
      <c r="C380" s="138"/>
      <c r="D380" s="131">
        <f t="shared" ref="D380:Q380" si="97">(Forecast_without_57_60_with_xx*Non_night_modelling_mask + Forecast_without_57_60_with_xx_night*Night_modelling_mask)*Without_57_60_with_xx_sleep_disturbance_value</f>
        <v>0</v>
      </c>
      <c r="E380" s="131">
        <f t="shared" si="97"/>
        <v>0</v>
      </c>
      <c r="F380" s="131">
        <f t="shared" si="97"/>
        <v>0</v>
      </c>
      <c r="G380" s="131">
        <f t="shared" si="97"/>
        <v>0</v>
      </c>
      <c r="H380" s="131">
        <f t="shared" si="97"/>
        <v>0</v>
      </c>
      <c r="I380" s="131">
        <f t="shared" si="97"/>
        <v>0</v>
      </c>
      <c r="J380" s="131">
        <f t="shared" si="97"/>
        <v>0</v>
      </c>
      <c r="K380" s="131">
        <f t="shared" si="97"/>
        <v>0</v>
      </c>
      <c r="L380" s="131">
        <f t="shared" si="97"/>
        <v>0</v>
      </c>
      <c r="M380" s="131">
        <f t="shared" si="97"/>
        <v>0</v>
      </c>
      <c r="N380" s="131">
        <f t="shared" si="97"/>
        <v>0</v>
      </c>
      <c r="O380" s="131">
        <f t="shared" si="97"/>
        <v>0</v>
      </c>
      <c r="P380" s="131">
        <f t="shared" si="97"/>
        <v>0</v>
      </c>
      <c r="Q380" s="131">
        <f t="shared" si="97"/>
        <v>0</v>
      </c>
      <c r="R380" s="22" t="s">
        <v>507</v>
      </c>
      <c r="S380" s="97"/>
      <c r="T380" s="97"/>
      <c r="U380" s="97"/>
      <c r="V380" s="97"/>
      <c r="W380" s="97"/>
      <c r="X380" s="97"/>
      <c r="Y380" s="97"/>
      <c r="Z380" s="97"/>
      <c r="AA380" s="97"/>
      <c r="AB380" s="97"/>
      <c r="AC380" s="97"/>
      <c r="AD380" s="97"/>
      <c r="AE380" s="97"/>
      <c r="AF380" s="97"/>
      <c r="AG380" s="97"/>
      <c r="AH380" s="97"/>
      <c r="AI380" s="97"/>
      <c r="AJ380" s="97"/>
      <c r="AK380" s="97"/>
      <c r="AL380" s="97"/>
      <c r="AM380" s="97"/>
      <c r="AN380" s="97"/>
      <c r="AO380" s="97"/>
      <c r="AP380" s="97"/>
      <c r="AQ380" s="97"/>
      <c r="AR380" s="97"/>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c r="CG380" s="97"/>
      <c r="CH380" s="97"/>
      <c r="CI380" s="97"/>
      <c r="CJ380" s="97"/>
      <c r="CK380" s="97"/>
      <c r="CL380" s="97"/>
      <c r="CM380" s="97"/>
      <c r="CN380" s="97"/>
      <c r="CO380" s="97"/>
      <c r="CP380" s="97"/>
      <c r="CQ380" s="97"/>
    </row>
    <row r="381" spans="1:95" ht="15" customHeight="1" outlineLevel="1">
      <c r="A381" s="97"/>
      <c r="B381" s="104" t="s">
        <v>86</v>
      </c>
      <c r="C381" s="138"/>
      <c r="D381" s="131">
        <f t="shared" ref="D381:Q381" si="98">(Forecast_without_60_63_with_xx*Non_night_modelling_mask + Forecast_without_60_63_with_xx_night*Night_modelling_mask)*Without_60_63_with_xx_sleep_disturbance_value</f>
        <v>0</v>
      </c>
      <c r="E381" s="131">
        <f t="shared" si="98"/>
        <v>0</v>
      </c>
      <c r="F381" s="131">
        <f t="shared" si="98"/>
        <v>0</v>
      </c>
      <c r="G381" s="131">
        <f t="shared" si="98"/>
        <v>0</v>
      </c>
      <c r="H381" s="131">
        <f t="shared" si="98"/>
        <v>0</v>
      </c>
      <c r="I381" s="131">
        <f t="shared" si="98"/>
        <v>0</v>
      </c>
      <c r="J381" s="131">
        <f t="shared" si="98"/>
        <v>0</v>
      </c>
      <c r="K381" s="131">
        <f t="shared" si="98"/>
        <v>0</v>
      </c>
      <c r="L381" s="131">
        <f t="shared" si="98"/>
        <v>0</v>
      </c>
      <c r="M381" s="131">
        <f t="shared" si="98"/>
        <v>0</v>
      </c>
      <c r="N381" s="131">
        <f t="shared" si="98"/>
        <v>0</v>
      </c>
      <c r="O381" s="131">
        <f t="shared" si="98"/>
        <v>0</v>
      </c>
      <c r="P381" s="131">
        <f t="shared" si="98"/>
        <v>0</v>
      </c>
      <c r="Q381" s="131">
        <f t="shared" si="98"/>
        <v>0</v>
      </c>
      <c r="R381" s="22" t="s">
        <v>508</v>
      </c>
      <c r="S381" s="97"/>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c r="CG381" s="97"/>
      <c r="CH381" s="97"/>
      <c r="CI381" s="97"/>
      <c r="CJ381" s="97"/>
      <c r="CK381" s="97"/>
      <c r="CL381" s="97"/>
      <c r="CM381" s="97"/>
      <c r="CN381" s="97"/>
      <c r="CO381" s="97"/>
      <c r="CP381" s="97"/>
      <c r="CQ381" s="97"/>
    </row>
    <row r="382" spans="1:95" ht="15" customHeight="1" outlineLevel="1">
      <c r="A382" s="97"/>
      <c r="B382" s="104" t="s">
        <v>87</v>
      </c>
      <c r="C382" s="138"/>
      <c r="D382" s="131">
        <f t="shared" ref="D382:Q382" si="99">(Forecast_without_63_66_with_xx*Non_night_modelling_mask + Forecast_without_63_66_with_xx_night*Night_modelling_mask)*Without_63_66_with_xx_sleep_disturbance_value</f>
        <v>0</v>
      </c>
      <c r="E382" s="131">
        <f t="shared" si="99"/>
        <v>0</v>
      </c>
      <c r="F382" s="131">
        <f t="shared" si="99"/>
        <v>0</v>
      </c>
      <c r="G382" s="131">
        <f t="shared" si="99"/>
        <v>0</v>
      </c>
      <c r="H382" s="131">
        <f t="shared" si="99"/>
        <v>0</v>
      </c>
      <c r="I382" s="131">
        <f t="shared" si="99"/>
        <v>0</v>
      </c>
      <c r="J382" s="131">
        <f t="shared" si="99"/>
        <v>0</v>
      </c>
      <c r="K382" s="131">
        <f t="shared" si="99"/>
        <v>0</v>
      </c>
      <c r="L382" s="131">
        <f t="shared" si="99"/>
        <v>0</v>
      </c>
      <c r="M382" s="131">
        <f t="shared" si="99"/>
        <v>0</v>
      </c>
      <c r="N382" s="131">
        <f t="shared" si="99"/>
        <v>0</v>
      </c>
      <c r="O382" s="131">
        <f t="shared" si="99"/>
        <v>0</v>
      </c>
      <c r="P382" s="131">
        <f t="shared" si="99"/>
        <v>0</v>
      </c>
      <c r="Q382" s="131">
        <f t="shared" si="99"/>
        <v>0</v>
      </c>
      <c r="R382" s="22" t="s">
        <v>509</v>
      </c>
      <c r="S382" s="97"/>
      <c r="T382" s="97"/>
      <c r="U382" s="97"/>
      <c r="V382" s="97"/>
      <c r="W382" s="97"/>
      <c r="X382" s="97"/>
      <c r="Y382" s="97"/>
      <c r="Z382" s="97"/>
      <c r="AA382" s="97"/>
      <c r="AB382" s="97"/>
      <c r="AC382" s="97"/>
      <c r="AD382" s="97"/>
      <c r="AE382" s="97"/>
      <c r="AF382" s="97"/>
      <c r="AG382" s="97"/>
      <c r="AH382" s="97"/>
      <c r="AI382" s="97"/>
      <c r="AJ382" s="97"/>
      <c r="AK382" s="97"/>
      <c r="AL382" s="97"/>
      <c r="AM382" s="97"/>
      <c r="AN382" s="97"/>
      <c r="AO382" s="97"/>
      <c r="AP382" s="97"/>
      <c r="AQ382" s="97"/>
      <c r="AR382" s="97"/>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c r="CG382" s="97"/>
      <c r="CH382" s="97"/>
      <c r="CI382" s="97"/>
      <c r="CJ382" s="97"/>
      <c r="CK382" s="97"/>
      <c r="CL382" s="97"/>
      <c r="CM382" s="97"/>
      <c r="CN382" s="97"/>
      <c r="CO382" s="97"/>
      <c r="CP382" s="97"/>
      <c r="CQ382" s="97"/>
    </row>
    <row r="383" spans="1:95" ht="15" customHeight="1" outlineLevel="1">
      <c r="A383" s="97"/>
      <c r="B383" s="104" t="s">
        <v>88</v>
      </c>
      <c r="C383" s="138"/>
      <c r="D383" s="131">
        <f t="shared" ref="D383:Q383" si="100">(Forecast_without_66_69_with_xx*Non_night_modelling_mask + Forecast_without_66_69_with_xx_night*Night_modelling_mask)*Without_66_69_with_xx_sleep_disturbance_value</f>
        <v>0</v>
      </c>
      <c r="E383" s="131">
        <f t="shared" si="100"/>
        <v>0</v>
      </c>
      <c r="F383" s="131">
        <f t="shared" si="100"/>
        <v>0</v>
      </c>
      <c r="G383" s="131">
        <f t="shared" si="100"/>
        <v>0</v>
      </c>
      <c r="H383" s="131">
        <f t="shared" si="100"/>
        <v>0</v>
      </c>
      <c r="I383" s="131">
        <f t="shared" si="100"/>
        <v>0</v>
      </c>
      <c r="J383" s="131">
        <f t="shared" si="100"/>
        <v>0</v>
      </c>
      <c r="K383" s="131">
        <f t="shared" si="100"/>
        <v>0</v>
      </c>
      <c r="L383" s="131">
        <f t="shared" si="100"/>
        <v>0</v>
      </c>
      <c r="M383" s="131">
        <f t="shared" si="100"/>
        <v>0</v>
      </c>
      <c r="N383" s="131">
        <f t="shared" si="100"/>
        <v>0</v>
      </c>
      <c r="O383" s="131">
        <f t="shared" si="100"/>
        <v>0</v>
      </c>
      <c r="P383" s="131">
        <f t="shared" si="100"/>
        <v>0</v>
      </c>
      <c r="Q383" s="131">
        <f t="shared" si="100"/>
        <v>0</v>
      </c>
      <c r="R383" s="22" t="s">
        <v>510</v>
      </c>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c r="CG383" s="97"/>
      <c r="CH383" s="97"/>
      <c r="CI383" s="97"/>
      <c r="CJ383" s="97"/>
      <c r="CK383" s="97"/>
      <c r="CL383" s="97"/>
      <c r="CM383" s="97"/>
      <c r="CN383" s="97"/>
      <c r="CO383" s="97"/>
      <c r="CP383" s="97"/>
      <c r="CQ383" s="97"/>
    </row>
    <row r="384" spans="1:95" ht="15" customHeight="1" outlineLevel="1">
      <c r="A384" s="97"/>
      <c r="B384" s="104" t="s">
        <v>89</v>
      </c>
      <c r="C384" s="138"/>
      <c r="D384" s="131">
        <f t="shared" ref="D384:Q384" si="101">(Forecast_without_69_72_with_xx*Non_night_modelling_mask + Forecast_without_69_72_with_xx_night*Night_modelling_mask)*Without_69_72_with_xx_sleep_disturbance_value</f>
        <v>0</v>
      </c>
      <c r="E384" s="131">
        <f t="shared" si="101"/>
        <v>0</v>
      </c>
      <c r="F384" s="131">
        <f t="shared" si="101"/>
        <v>0</v>
      </c>
      <c r="G384" s="131">
        <f t="shared" si="101"/>
        <v>0</v>
      </c>
      <c r="H384" s="131">
        <f t="shared" si="101"/>
        <v>0</v>
      </c>
      <c r="I384" s="131">
        <f t="shared" si="101"/>
        <v>0</v>
      </c>
      <c r="J384" s="131">
        <f t="shared" si="101"/>
        <v>0</v>
      </c>
      <c r="K384" s="131">
        <f t="shared" si="101"/>
        <v>0</v>
      </c>
      <c r="L384" s="131">
        <f t="shared" si="101"/>
        <v>0</v>
      </c>
      <c r="M384" s="131">
        <f t="shared" si="101"/>
        <v>0</v>
      </c>
      <c r="N384" s="131">
        <f t="shared" si="101"/>
        <v>0</v>
      </c>
      <c r="O384" s="131">
        <f t="shared" si="101"/>
        <v>0</v>
      </c>
      <c r="P384" s="131">
        <f t="shared" si="101"/>
        <v>0</v>
      </c>
      <c r="Q384" s="131">
        <f t="shared" si="101"/>
        <v>0</v>
      </c>
      <c r="R384" s="22" t="s">
        <v>511</v>
      </c>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c r="CG384" s="97"/>
      <c r="CH384" s="97"/>
      <c r="CI384" s="97"/>
      <c r="CJ384" s="97"/>
      <c r="CK384" s="97"/>
      <c r="CL384" s="97"/>
      <c r="CM384" s="97"/>
      <c r="CN384" s="97"/>
      <c r="CO384" s="97"/>
      <c r="CP384" s="97"/>
      <c r="CQ384" s="97"/>
    </row>
    <row r="385" spans="1:95" ht="15" customHeight="1" outlineLevel="1">
      <c r="A385" s="97"/>
      <c r="B385" s="104" t="s">
        <v>90</v>
      </c>
      <c r="C385" s="138"/>
      <c r="D385" s="131">
        <f t="shared" ref="D385:Q385" si="102">(Forecast_without_72_75_with_xx*Non_night_modelling_mask + Forecast_without_72_75_with_xx_night*Night_modelling_mask)*Without_72_75_with_xx_sleep_disturbance_value</f>
        <v>0</v>
      </c>
      <c r="E385" s="131">
        <f t="shared" si="102"/>
        <v>0</v>
      </c>
      <c r="F385" s="131">
        <f t="shared" si="102"/>
        <v>0</v>
      </c>
      <c r="G385" s="131">
        <f t="shared" si="102"/>
        <v>0</v>
      </c>
      <c r="H385" s="131">
        <f t="shared" si="102"/>
        <v>0</v>
      </c>
      <c r="I385" s="131">
        <f t="shared" si="102"/>
        <v>0</v>
      </c>
      <c r="J385" s="131">
        <f t="shared" si="102"/>
        <v>0</v>
      </c>
      <c r="K385" s="131">
        <f t="shared" si="102"/>
        <v>0</v>
      </c>
      <c r="L385" s="131">
        <f t="shared" si="102"/>
        <v>0</v>
      </c>
      <c r="M385" s="131">
        <f t="shared" si="102"/>
        <v>0</v>
      </c>
      <c r="N385" s="131">
        <f t="shared" si="102"/>
        <v>0</v>
      </c>
      <c r="O385" s="131">
        <f t="shared" si="102"/>
        <v>0</v>
      </c>
      <c r="P385" s="131">
        <f t="shared" si="102"/>
        <v>0</v>
      </c>
      <c r="Q385" s="131">
        <f t="shared" si="102"/>
        <v>0</v>
      </c>
      <c r="R385" s="22" t="s">
        <v>512</v>
      </c>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c r="CG385" s="97"/>
      <c r="CH385" s="97"/>
      <c r="CI385" s="97"/>
      <c r="CJ385" s="97"/>
      <c r="CK385" s="97"/>
      <c r="CL385" s="97"/>
      <c r="CM385" s="97"/>
      <c r="CN385" s="97"/>
      <c r="CO385" s="97"/>
      <c r="CP385" s="97"/>
      <c r="CQ385" s="97"/>
    </row>
    <row r="386" spans="1:95" ht="15" customHeight="1" outlineLevel="1">
      <c r="A386" s="97"/>
      <c r="B386" s="104" t="s">
        <v>91</v>
      </c>
      <c r="C386" s="138"/>
      <c r="D386" s="131">
        <f t="shared" ref="D386:Q386" si="103">(Forecast_without_75_78_with_xx*Non_night_modelling_mask + Forecast_without_75_78_with_xx_night*Night_modelling_mask)*Without_75_78_with_xx_sleep_disturbance_value</f>
        <v>0</v>
      </c>
      <c r="E386" s="131">
        <f t="shared" si="103"/>
        <v>0</v>
      </c>
      <c r="F386" s="131">
        <f t="shared" si="103"/>
        <v>0</v>
      </c>
      <c r="G386" s="131">
        <f t="shared" si="103"/>
        <v>0</v>
      </c>
      <c r="H386" s="131">
        <f t="shared" si="103"/>
        <v>0</v>
      </c>
      <c r="I386" s="131">
        <f t="shared" si="103"/>
        <v>0</v>
      </c>
      <c r="J386" s="131">
        <f t="shared" si="103"/>
        <v>0</v>
      </c>
      <c r="K386" s="131">
        <f t="shared" si="103"/>
        <v>0</v>
      </c>
      <c r="L386" s="131">
        <f t="shared" si="103"/>
        <v>0</v>
      </c>
      <c r="M386" s="131">
        <f t="shared" si="103"/>
        <v>0</v>
      </c>
      <c r="N386" s="131">
        <f t="shared" si="103"/>
        <v>0</v>
      </c>
      <c r="O386" s="131">
        <f t="shared" si="103"/>
        <v>0</v>
      </c>
      <c r="P386" s="131">
        <f t="shared" si="103"/>
        <v>0</v>
      </c>
      <c r="Q386" s="131">
        <f t="shared" si="103"/>
        <v>0</v>
      </c>
      <c r="R386" s="22" t="s">
        <v>513</v>
      </c>
      <c r="S386" s="97"/>
      <c r="T386" s="97"/>
      <c r="U386" s="97"/>
      <c r="V386" s="97"/>
      <c r="W386" s="97"/>
      <c r="X386" s="97"/>
      <c r="Y386" s="97"/>
      <c r="Z386" s="97"/>
      <c r="AA386" s="97"/>
      <c r="AB386" s="97"/>
      <c r="AC386" s="97"/>
      <c r="AD386" s="97"/>
      <c r="AE386" s="97"/>
      <c r="AF386" s="97"/>
      <c r="AG386" s="97"/>
      <c r="AH386" s="97"/>
      <c r="AI386" s="97"/>
      <c r="AJ386" s="97"/>
      <c r="AK386" s="97"/>
      <c r="AL386" s="97"/>
      <c r="AM386" s="97"/>
      <c r="AN386" s="97"/>
      <c r="AO386" s="97"/>
      <c r="AP386" s="97"/>
      <c r="AQ386" s="97"/>
      <c r="AR386" s="97"/>
      <c r="AS386" s="97"/>
      <c r="AT386" s="97"/>
      <c r="AU386" s="97"/>
      <c r="AV386" s="97"/>
      <c r="AW386" s="97"/>
      <c r="AX386" s="97"/>
      <c r="AY386" s="97"/>
      <c r="AZ386" s="97"/>
      <c r="BA386" s="97"/>
      <c r="BB386" s="97"/>
      <c r="BC386" s="97"/>
      <c r="BD386" s="97"/>
      <c r="BE386" s="97"/>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c r="CG386" s="97"/>
      <c r="CH386" s="97"/>
      <c r="CI386" s="97"/>
      <c r="CJ386" s="97"/>
      <c r="CK386" s="97"/>
      <c r="CL386" s="97"/>
      <c r="CM386" s="97"/>
      <c r="CN386" s="97"/>
      <c r="CO386" s="97"/>
      <c r="CP386" s="97"/>
      <c r="CQ386" s="97"/>
    </row>
    <row r="387" spans="1:95" ht="15" customHeight="1" outlineLevel="1">
      <c r="A387" s="97"/>
      <c r="B387" s="104" t="s">
        <v>92</v>
      </c>
      <c r="C387" s="138"/>
      <c r="D387" s="131">
        <f t="shared" ref="D387:Q387" si="104">(Forecast_without_78_81_with_xx*Non_night_modelling_mask + Forecast_without_78_81_with_xx_night*Night_modelling_mask)*Without_78_81_with_xx_sleep_disturbance_value</f>
        <v>0</v>
      </c>
      <c r="E387" s="131">
        <f t="shared" si="104"/>
        <v>0</v>
      </c>
      <c r="F387" s="131">
        <f t="shared" si="104"/>
        <v>0</v>
      </c>
      <c r="G387" s="131">
        <f t="shared" si="104"/>
        <v>0</v>
      </c>
      <c r="H387" s="131">
        <f t="shared" si="104"/>
        <v>0</v>
      </c>
      <c r="I387" s="131">
        <f t="shared" si="104"/>
        <v>0</v>
      </c>
      <c r="J387" s="131">
        <f t="shared" si="104"/>
        <v>0</v>
      </c>
      <c r="K387" s="131">
        <f t="shared" si="104"/>
        <v>0</v>
      </c>
      <c r="L387" s="131">
        <f t="shared" si="104"/>
        <v>0</v>
      </c>
      <c r="M387" s="131">
        <f t="shared" si="104"/>
        <v>0</v>
      </c>
      <c r="N387" s="131">
        <f t="shared" si="104"/>
        <v>0</v>
      </c>
      <c r="O387" s="131">
        <f t="shared" si="104"/>
        <v>0</v>
      </c>
      <c r="P387" s="131">
        <f t="shared" si="104"/>
        <v>0</v>
      </c>
      <c r="Q387" s="131">
        <f t="shared" si="104"/>
        <v>0</v>
      </c>
      <c r="R387" s="22" t="s">
        <v>514</v>
      </c>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c r="CG387" s="97"/>
      <c r="CH387" s="97"/>
      <c r="CI387" s="97"/>
      <c r="CJ387" s="97"/>
      <c r="CK387" s="97"/>
      <c r="CL387" s="97"/>
      <c r="CM387" s="97"/>
      <c r="CN387" s="97"/>
      <c r="CO387" s="97"/>
      <c r="CP387" s="97"/>
      <c r="CQ387" s="97"/>
    </row>
    <row r="388" spans="1:95" ht="15" customHeight="1" outlineLevel="1">
      <c r="A388" s="97"/>
      <c r="B388" s="104" t="s">
        <v>93</v>
      </c>
      <c r="C388" s="139"/>
      <c r="D388" s="131">
        <f t="shared" ref="D388:Q388" si="105">(Forecast_without_81_with_xx*Non_night_modelling_mask + Forecast_without_81_with_xx_night*Night_modelling_mask)*Without_81_with_xx_sleep_disturbance_value</f>
        <v>0</v>
      </c>
      <c r="E388" s="131">
        <f t="shared" si="105"/>
        <v>0</v>
      </c>
      <c r="F388" s="131">
        <f t="shared" si="105"/>
        <v>0</v>
      </c>
      <c r="G388" s="131">
        <f t="shared" si="105"/>
        <v>0</v>
      </c>
      <c r="H388" s="131">
        <f t="shared" si="105"/>
        <v>0</v>
      </c>
      <c r="I388" s="131">
        <f t="shared" si="105"/>
        <v>0</v>
      </c>
      <c r="J388" s="131">
        <f t="shared" si="105"/>
        <v>0</v>
      </c>
      <c r="K388" s="131">
        <f t="shared" si="105"/>
        <v>0</v>
      </c>
      <c r="L388" s="131">
        <f t="shared" si="105"/>
        <v>0</v>
      </c>
      <c r="M388" s="131">
        <f t="shared" si="105"/>
        <v>0</v>
      </c>
      <c r="N388" s="131">
        <f t="shared" si="105"/>
        <v>0</v>
      </c>
      <c r="O388" s="131">
        <f t="shared" si="105"/>
        <v>0</v>
      </c>
      <c r="P388" s="131">
        <f t="shared" si="105"/>
        <v>0</v>
      </c>
      <c r="Q388" s="131">
        <f t="shared" si="105"/>
        <v>0</v>
      </c>
      <c r="R388" s="22" t="s">
        <v>515</v>
      </c>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c r="AP388" s="97"/>
      <c r="AQ388" s="97"/>
      <c r="AR388" s="97"/>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c r="CG388" s="97"/>
      <c r="CH388" s="97"/>
      <c r="CI388" s="97"/>
      <c r="CJ388" s="97"/>
      <c r="CK388" s="97"/>
      <c r="CL388" s="97"/>
      <c r="CM388" s="97"/>
      <c r="CN388" s="97"/>
      <c r="CO388" s="97"/>
      <c r="CP388" s="97"/>
      <c r="CQ388" s="97"/>
    </row>
    <row r="389" spans="1:95" ht="15" customHeight="1" outlineLevel="1">
      <c r="A389" s="97"/>
      <c r="B389" s="134"/>
      <c r="C389" s="134"/>
      <c r="D389" s="134"/>
      <c r="E389" s="134"/>
      <c r="F389" s="134"/>
      <c r="G389" s="134"/>
      <c r="H389" s="134"/>
      <c r="I389" s="134"/>
      <c r="J389" s="134"/>
      <c r="K389" s="134"/>
      <c r="L389" s="134"/>
      <c r="M389" s="134"/>
      <c r="N389" s="134"/>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c r="CG389" s="97"/>
      <c r="CH389" s="97"/>
      <c r="CI389" s="97"/>
      <c r="CJ389" s="97"/>
      <c r="CK389" s="97"/>
      <c r="CL389" s="97"/>
      <c r="CM389" s="97"/>
      <c r="CN389" s="97"/>
      <c r="CO389" s="97"/>
      <c r="CP389" s="97"/>
      <c r="CQ389" s="97"/>
    </row>
    <row r="390" spans="1:95" ht="23.25" customHeight="1" outlineLevel="1">
      <c r="A390" s="97"/>
      <c r="B390" s="140" t="s">
        <v>516</v>
      </c>
      <c r="C390" s="141">
        <f>SUM(Forecast_without_45_with_xx_sleep_disturbance_cost,Forecast_without_45_48_with_xx_sleep_disturbance_cost,Forecast_without_48_51_with_xx_sleep_disturbance_cost,Forecast_without_51_54_with_xx_sleep_disturbance_cost,Forecast_without_54_57_with_xx_sleep_disturbance_cost,Forecast_without_57_60_with_xx_sleep_disturbance_cost,Forecast_without_60_63_with_xx_sleep_disturbance_cost,Forecast_without_63_66_with_xx_sleep_disturbance_cost,Forecast_without_66_69_with_xx_sleep_disturbance_cost,Forecast_without_69_72_with_xx_sleep_disturbance_cost,Forecast_without_72_75_with_xx_sleep_disturbance_cost,Forecast_without_75_78_with_xx_sleep_disturbance_cost,Forecast_without_78_81_with_xx_sleep_disturbance_cost,Forecast_without_81_with_xx_sleep_disturbance_cost)</f>
        <v>0</v>
      </c>
      <c r="D390" s="24" t="s">
        <v>517</v>
      </c>
      <c r="E390" s="134"/>
      <c r="F390" s="134"/>
      <c r="G390" s="134"/>
      <c r="H390" s="134"/>
      <c r="I390" s="134"/>
      <c r="J390" s="134"/>
      <c r="K390" s="134"/>
      <c r="L390" s="134"/>
      <c r="M390" s="134"/>
      <c r="N390" s="134"/>
      <c r="O390" s="97"/>
      <c r="P390" s="97"/>
      <c r="Q390" s="97"/>
      <c r="R390" s="97"/>
      <c r="S390" s="97"/>
      <c r="T390" s="97"/>
      <c r="U390" s="97"/>
      <c r="V390" s="97"/>
      <c r="W390" s="97"/>
      <c r="X390" s="97"/>
      <c r="Y390" s="97"/>
      <c r="Z390" s="97"/>
      <c r="AA390" s="97"/>
      <c r="AB390" s="97"/>
      <c r="AC390" s="97"/>
      <c r="AD390" s="97"/>
      <c r="AE390" s="97"/>
      <c r="AF390" s="97"/>
      <c r="AG390" s="97"/>
      <c r="AH390" s="97"/>
      <c r="AI390" s="97"/>
      <c r="AJ390" s="97"/>
      <c r="AK390" s="97"/>
      <c r="AL390" s="97"/>
      <c r="AM390" s="97"/>
      <c r="AN390" s="97"/>
      <c r="AO390" s="97"/>
      <c r="AP390" s="97"/>
      <c r="AQ390" s="97"/>
      <c r="AR390" s="97"/>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c r="CG390" s="97"/>
      <c r="CH390" s="97"/>
      <c r="CI390" s="97"/>
      <c r="CJ390" s="97"/>
      <c r="CK390" s="97"/>
      <c r="CL390" s="97"/>
      <c r="CM390" s="97"/>
      <c r="CN390" s="97"/>
      <c r="CO390" s="97"/>
      <c r="CP390" s="97"/>
      <c r="CQ390" s="97"/>
    </row>
    <row r="391" spans="1:95" ht="15" customHeight="1" outlineLevel="1">
      <c r="A391" s="97"/>
      <c r="B391" s="134"/>
      <c r="C391" s="134"/>
      <c r="D391" s="24"/>
      <c r="E391" s="134"/>
      <c r="F391" s="134"/>
      <c r="G391" s="134"/>
      <c r="H391" s="134"/>
      <c r="I391" s="134"/>
      <c r="J391" s="134"/>
      <c r="K391" s="134"/>
      <c r="L391" s="134"/>
      <c r="M391" s="134"/>
      <c r="N391" s="134"/>
      <c r="O391" s="97"/>
      <c r="P391" s="97"/>
      <c r="Q391" s="97"/>
      <c r="R391" s="97"/>
      <c r="S391" s="97"/>
      <c r="T391" s="97"/>
      <c r="U391" s="97"/>
      <c r="V391" s="97"/>
      <c r="W391" s="97"/>
      <c r="X391" s="97"/>
      <c r="Y391" s="97"/>
      <c r="Z391" s="97"/>
      <c r="AA391" s="97"/>
      <c r="AB391" s="97"/>
      <c r="AC391" s="97"/>
      <c r="AD391" s="97"/>
      <c r="AE391" s="97"/>
      <c r="AF391" s="97"/>
      <c r="AG391" s="97"/>
      <c r="AH391" s="97"/>
      <c r="AI391" s="97"/>
      <c r="AJ391" s="97"/>
      <c r="AK391" s="97"/>
      <c r="AL391" s="97"/>
      <c r="AM391" s="97"/>
      <c r="AN391" s="97"/>
      <c r="AO391" s="97"/>
      <c r="AP391" s="97"/>
      <c r="AQ391" s="97"/>
      <c r="AR391" s="97"/>
      <c r="AS391" s="97"/>
      <c r="AT391" s="97"/>
      <c r="AU391" s="97"/>
      <c r="AV391" s="97"/>
      <c r="AW391" s="97"/>
      <c r="AX391" s="97"/>
      <c r="AY391" s="97"/>
      <c r="AZ391" s="97"/>
      <c r="BA391" s="97"/>
      <c r="BB391" s="97"/>
      <c r="BC391" s="97"/>
      <c r="BD391" s="97"/>
      <c r="BE391" s="97"/>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c r="CG391" s="97"/>
      <c r="CH391" s="97"/>
      <c r="CI391" s="97"/>
      <c r="CJ391" s="97"/>
      <c r="CK391" s="97"/>
      <c r="CL391" s="97"/>
      <c r="CM391" s="97"/>
      <c r="CN391" s="97"/>
      <c r="CO391" s="97"/>
      <c r="CP391" s="97"/>
      <c r="CQ391" s="97"/>
    </row>
    <row r="392" spans="1:95" ht="15" customHeight="1" outlineLevel="1">
      <c r="A392" s="97"/>
      <c r="B392" s="134" t="s">
        <v>518</v>
      </c>
      <c r="C392" s="141">
        <f>Forecast_year_sleep_disturbance_cost-Opening_year_sleep_disturbance_cost</f>
        <v>0</v>
      </c>
      <c r="D392" s="24" t="s">
        <v>519</v>
      </c>
      <c r="E392" s="134"/>
      <c r="F392" s="134"/>
      <c r="G392" s="134"/>
      <c r="H392" s="134"/>
      <c r="I392" s="134"/>
      <c r="J392" s="134"/>
      <c r="K392" s="134"/>
      <c r="L392" s="134"/>
      <c r="M392" s="134"/>
      <c r="N392" s="134"/>
      <c r="O392" s="97"/>
      <c r="P392" s="97"/>
      <c r="Q392" s="97"/>
      <c r="R392" s="97"/>
      <c r="S392" s="97"/>
      <c r="T392" s="97"/>
      <c r="U392" s="97"/>
      <c r="V392" s="97"/>
      <c r="W392" s="97"/>
      <c r="X392" s="97"/>
      <c r="Y392" s="97"/>
      <c r="Z392" s="97"/>
      <c r="AA392" s="97"/>
      <c r="AB392" s="97"/>
      <c r="AC392" s="97"/>
      <c r="AD392" s="97"/>
      <c r="AE392" s="97"/>
      <c r="AF392" s="97"/>
      <c r="AG392" s="97"/>
      <c r="AH392" s="97"/>
      <c r="AI392" s="97"/>
      <c r="AJ392" s="97"/>
      <c r="AK392" s="97"/>
      <c r="AL392" s="97"/>
      <c r="AM392" s="97"/>
      <c r="AN392" s="97"/>
      <c r="AO392" s="97"/>
      <c r="AP392" s="97"/>
      <c r="AQ392" s="97"/>
      <c r="AR392" s="97"/>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c r="CG392" s="97"/>
      <c r="CH392" s="97"/>
      <c r="CI392" s="97"/>
      <c r="CJ392" s="97"/>
      <c r="CK392" s="97"/>
      <c r="CL392" s="97"/>
      <c r="CM392" s="97"/>
      <c r="CN392" s="97"/>
      <c r="CO392" s="97"/>
      <c r="CP392" s="97"/>
      <c r="CQ392" s="97"/>
    </row>
    <row r="393" spans="1:95" ht="14.45" outlineLevel="1">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c r="AJ393" s="97"/>
      <c r="AK393" s="97"/>
      <c r="AL393" s="97"/>
      <c r="AM393" s="97"/>
      <c r="AN393" s="97"/>
      <c r="AO393" s="97"/>
      <c r="AP393" s="97"/>
      <c r="AQ393" s="97"/>
      <c r="AR393" s="97"/>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c r="CG393" s="97"/>
      <c r="CH393" s="97"/>
      <c r="CI393" s="97"/>
      <c r="CJ393" s="97"/>
      <c r="CK393" s="97"/>
      <c r="CL393" s="97"/>
      <c r="CM393" s="97"/>
      <c r="CN393" s="97"/>
      <c r="CO393" s="97"/>
      <c r="CP393" s="97"/>
      <c r="CQ393" s="97"/>
    </row>
    <row r="394" spans="1:95" s="5" customFormat="1" ht="15.6" outlineLevel="1">
      <c r="B394" s="5" t="s">
        <v>520</v>
      </c>
    </row>
    <row r="395" spans="1:95" ht="15" customHeight="1" outlineLevel="1">
      <c r="A395" s="97"/>
      <c r="B395" s="134"/>
      <c r="C395" s="134"/>
      <c r="D395" s="134"/>
      <c r="E395" s="134"/>
      <c r="F395" s="134"/>
      <c r="G395" s="134"/>
      <c r="H395" s="134"/>
      <c r="I395" s="134"/>
      <c r="J395" s="134"/>
      <c r="K395" s="134"/>
      <c r="L395" s="134"/>
      <c r="M395" s="134"/>
      <c r="N395" s="134"/>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c r="CG395" s="97"/>
      <c r="CH395" s="97"/>
      <c r="CI395" s="97"/>
      <c r="CJ395" s="97"/>
      <c r="CK395" s="97"/>
      <c r="CL395" s="97"/>
      <c r="CM395" s="97"/>
      <c r="CN395" s="97"/>
      <c r="CO395" s="97"/>
      <c r="CP395" s="97"/>
      <c r="CQ395" s="97"/>
    </row>
    <row r="396" spans="1:95" ht="15" customHeight="1" outlineLevel="1">
      <c r="A396" s="97"/>
      <c r="B396" s="122"/>
      <c r="C396" s="60" t="s">
        <v>79</v>
      </c>
      <c r="D396" s="61" t="s">
        <v>80</v>
      </c>
      <c r="E396" s="104" t="s">
        <v>81</v>
      </c>
      <c r="F396" s="104" t="s">
        <v>82</v>
      </c>
      <c r="G396" s="104" t="s">
        <v>83</v>
      </c>
      <c r="H396" s="104" t="s">
        <v>84</v>
      </c>
      <c r="I396" s="104" t="s">
        <v>85</v>
      </c>
      <c r="J396" s="104" t="s">
        <v>86</v>
      </c>
      <c r="K396" s="104" t="s">
        <v>87</v>
      </c>
      <c r="L396" s="104" t="s">
        <v>88</v>
      </c>
      <c r="M396" s="104" t="s">
        <v>89</v>
      </c>
      <c r="N396" s="104" t="s">
        <v>90</v>
      </c>
      <c r="O396" s="104" t="s">
        <v>91</v>
      </c>
      <c r="P396" s="104" t="s">
        <v>92</v>
      </c>
      <c r="Q396" s="104" t="s">
        <v>93</v>
      </c>
      <c r="R396" s="97"/>
      <c r="S396" s="97"/>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c r="CJ396" s="97"/>
      <c r="CK396" s="97"/>
      <c r="CL396" s="97"/>
      <c r="CM396" s="97"/>
      <c r="CN396" s="97"/>
      <c r="CO396" s="97"/>
      <c r="CP396" s="97"/>
      <c r="CQ396" s="97"/>
    </row>
    <row r="397" spans="1:95" ht="15" customHeight="1" outlineLevel="1">
      <c r="A397" s="97"/>
      <c r="B397" s="60" t="s">
        <v>94</v>
      </c>
      <c r="C397" s="130"/>
      <c r="D397" s="135"/>
      <c r="E397" s="129"/>
      <c r="F397" s="129"/>
      <c r="G397" s="129"/>
      <c r="H397" s="129"/>
      <c r="I397" s="129"/>
      <c r="J397" s="129"/>
      <c r="K397" s="129"/>
      <c r="L397" s="129"/>
      <c r="M397" s="129"/>
      <c r="N397" s="129"/>
      <c r="O397" s="129"/>
      <c r="P397" s="129"/>
      <c r="Q397" s="130"/>
      <c r="R397" s="97"/>
      <c r="S397" s="97"/>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c r="CJ397" s="97"/>
      <c r="CK397" s="97"/>
      <c r="CL397" s="97"/>
      <c r="CM397" s="97"/>
      <c r="CN397" s="97"/>
      <c r="CO397" s="97"/>
      <c r="CP397" s="97"/>
      <c r="CQ397" s="97"/>
    </row>
    <row r="398" spans="1:95" ht="15" customHeight="1" outlineLevel="1">
      <c r="A398" s="97"/>
      <c r="B398" s="61" t="s">
        <v>80</v>
      </c>
      <c r="C398" s="136"/>
      <c r="D398" s="131">
        <f>Opening_without_45_with_xx*Without_45_with_xx_amenity_value</f>
        <v>0</v>
      </c>
      <c r="E398" s="131">
        <f t="shared" ref="E398:Q398" si="106">Opening_without_45_with_xx*Without_45_with_xx_amenity_value</f>
        <v>0</v>
      </c>
      <c r="F398" s="131">
        <f t="shared" si="106"/>
        <v>0</v>
      </c>
      <c r="G398" s="131">
        <f t="shared" si="106"/>
        <v>0</v>
      </c>
      <c r="H398" s="131">
        <f t="shared" si="106"/>
        <v>0</v>
      </c>
      <c r="I398" s="131">
        <f t="shared" si="106"/>
        <v>0</v>
      </c>
      <c r="J398" s="131">
        <f t="shared" si="106"/>
        <v>0</v>
      </c>
      <c r="K398" s="131">
        <f t="shared" si="106"/>
        <v>0</v>
      </c>
      <c r="L398" s="131">
        <f t="shared" si="106"/>
        <v>0</v>
      </c>
      <c r="M398" s="131">
        <f t="shared" si="106"/>
        <v>0</v>
      </c>
      <c r="N398" s="131">
        <f t="shared" si="106"/>
        <v>0</v>
      </c>
      <c r="O398" s="131">
        <f t="shared" si="106"/>
        <v>0</v>
      </c>
      <c r="P398" s="131">
        <f t="shared" si="106"/>
        <v>0</v>
      </c>
      <c r="Q398" s="131">
        <f t="shared" si="106"/>
        <v>0</v>
      </c>
      <c r="R398" s="22" t="s">
        <v>521</v>
      </c>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row>
    <row r="399" spans="1:95" ht="15" customHeight="1" outlineLevel="1">
      <c r="A399" s="97"/>
      <c r="B399" s="104" t="s">
        <v>81</v>
      </c>
      <c r="C399" s="138"/>
      <c r="D399" s="131">
        <f t="shared" ref="D399:Q399" si="107">Opening_without_45_48_with_xx*Without_45_48_with_xx_amenity_value</f>
        <v>0</v>
      </c>
      <c r="E399" s="131">
        <f t="shared" si="107"/>
        <v>0</v>
      </c>
      <c r="F399" s="131">
        <f t="shared" si="107"/>
        <v>0</v>
      </c>
      <c r="G399" s="131">
        <f t="shared" si="107"/>
        <v>0</v>
      </c>
      <c r="H399" s="131">
        <f t="shared" si="107"/>
        <v>0</v>
      </c>
      <c r="I399" s="131">
        <f t="shared" si="107"/>
        <v>0</v>
      </c>
      <c r="J399" s="131">
        <f t="shared" si="107"/>
        <v>0</v>
      </c>
      <c r="K399" s="131">
        <f t="shared" si="107"/>
        <v>0</v>
      </c>
      <c r="L399" s="131">
        <f t="shared" si="107"/>
        <v>0</v>
      </c>
      <c r="M399" s="131">
        <f t="shared" si="107"/>
        <v>0</v>
      </c>
      <c r="N399" s="131">
        <f t="shared" si="107"/>
        <v>0</v>
      </c>
      <c r="O399" s="131">
        <f t="shared" si="107"/>
        <v>0</v>
      </c>
      <c r="P399" s="131">
        <f t="shared" si="107"/>
        <v>0</v>
      </c>
      <c r="Q399" s="131">
        <f t="shared" si="107"/>
        <v>0</v>
      </c>
      <c r="R399" s="22" t="s">
        <v>522</v>
      </c>
      <c r="S399" s="97"/>
      <c r="T399" s="97"/>
      <c r="U399" s="97"/>
      <c r="V399" s="97"/>
      <c r="W399" s="97"/>
      <c r="X399" s="97"/>
      <c r="Y399" s="97"/>
      <c r="Z399" s="97"/>
      <c r="AA399" s="97"/>
      <c r="AB399" s="97"/>
      <c r="AC399" s="97"/>
      <c r="AD399" s="97"/>
      <c r="AE399" s="97"/>
      <c r="AF399" s="97"/>
      <c r="AG399" s="97"/>
      <c r="AH399" s="97"/>
      <c r="AI399" s="97"/>
      <c r="AJ399" s="97"/>
      <c r="AK399" s="97"/>
      <c r="AL399" s="97"/>
      <c r="AM399" s="97"/>
      <c r="AN399" s="97"/>
      <c r="AO399" s="97"/>
      <c r="AP399" s="97"/>
      <c r="AQ399" s="97"/>
      <c r="AR399" s="97"/>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c r="CG399" s="97"/>
      <c r="CH399" s="97"/>
      <c r="CI399" s="97"/>
      <c r="CJ399" s="97"/>
      <c r="CK399" s="97"/>
      <c r="CL399" s="97"/>
      <c r="CM399" s="97"/>
      <c r="CN399" s="97"/>
      <c r="CO399" s="97"/>
      <c r="CP399" s="97"/>
      <c r="CQ399" s="97"/>
    </row>
    <row r="400" spans="1:95" ht="15" customHeight="1" outlineLevel="1">
      <c r="A400" s="97"/>
      <c r="B400" s="104" t="s">
        <v>82</v>
      </c>
      <c r="C400" s="138"/>
      <c r="D400" s="131">
        <f t="shared" ref="D400:Q400" si="108">Opening_without_48_51_with_xx*Without_48_51_with_xx_amenity_value</f>
        <v>0</v>
      </c>
      <c r="E400" s="131">
        <f t="shared" si="108"/>
        <v>0</v>
      </c>
      <c r="F400" s="131">
        <f t="shared" si="108"/>
        <v>0</v>
      </c>
      <c r="G400" s="131">
        <f t="shared" si="108"/>
        <v>0</v>
      </c>
      <c r="H400" s="131">
        <f t="shared" si="108"/>
        <v>0</v>
      </c>
      <c r="I400" s="131">
        <f t="shared" si="108"/>
        <v>0</v>
      </c>
      <c r="J400" s="131">
        <f t="shared" si="108"/>
        <v>0</v>
      </c>
      <c r="K400" s="131">
        <f t="shared" si="108"/>
        <v>0</v>
      </c>
      <c r="L400" s="131">
        <f t="shared" si="108"/>
        <v>0</v>
      </c>
      <c r="M400" s="131">
        <f t="shared" si="108"/>
        <v>0</v>
      </c>
      <c r="N400" s="131">
        <f t="shared" si="108"/>
        <v>0</v>
      </c>
      <c r="O400" s="131">
        <f t="shared" si="108"/>
        <v>0</v>
      </c>
      <c r="P400" s="131">
        <f t="shared" si="108"/>
        <v>0</v>
      </c>
      <c r="Q400" s="131">
        <f t="shared" si="108"/>
        <v>0</v>
      </c>
      <c r="R400" s="22" t="s">
        <v>523</v>
      </c>
      <c r="S400" s="97"/>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c r="CG400" s="97"/>
      <c r="CH400" s="97"/>
      <c r="CI400" s="97"/>
      <c r="CJ400" s="97"/>
      <c r="CK400" s="97"/>
      <c r="CL400" s="97"/>
      <c r="CM400" s="97"/>
      <c r="CN400" s="97"/>
      <c r="CO400" s="97"/>
      <c r="CP400" s="97"/>
      <c r="CQ400" s="97"/>
    </row>
    <row r="401" spans="1:95" ht="15" customHeight="1" outlineLevel="1">
      <c r="A401" s="97"/>
      <c r="B401" s="104" t="s">
        <v>83</v>
      </c>
      <c r="C401" s="138"/>
      <c r="D401" s="131">
        <f t="shared" ref="D401:Q401" si="109">Opening_without_51_54_with_xx*Without_51_54_with_xx_amenity_value</f>
        <v>0</v>
      </c>
      <c r="E401" s="131">
        <f t="shared" si="109"/>
        <v>0</v>
      </c>
      <c r="F401" s="131">
        <f t="shared" si="109"/>
        <v>0</v>
      </c>
      <c r="G401" s="131">
        <f t="shared" si="109"/>
        <v>0</v>
      </c>
      <c r="H401" s="131">
        <f t="shared" si="109"/>
        <v>0</v>
      </c>
      <c r="I401" s="131">
        <f t="shared" si="109"/>
        <v>0</v>
      </c>
      <c r="J401" s="131">
        <f t="shared" si="109"/>
        <v>0</v>
      </c>
      <c r="K401" s="131">
        <f t="shared" si="109"/>
        <v>0</v>
      </c>
      <c r="L401" s="131">
        <f t="shared" si="109"/>
        <v>0</v>
      </c>
      <c r="M401" s="131">
        <f t="shared" si="109"/>
        <v>0</v>
      </c>
      <c r="N401" s="131">
        <f t="shared" si="109"/>
        <v>0</v>
      </c>
      <c r="O401" s="131">
        <f t="shared" si="109"/>
        <v>0</v>
      </c>
      <c r="P401" s="131">
        <f t="shared" si="109"/>
        <v>0</v>
      </c>
      <c r="Q401" s="131">
        <f t="shared" si="109"/>
        <v>0</v>
      </c>
      <c r="R401" s="22" t="s">
        <v>524</v>
      </c>
      <c r="S401" s="97"/>
      <c r="T401" s="97"/>
      <c r="U401" s="97"/>
      <c r="V401" s="97"/>
      <c r="W401" s="97"/>
      <c r="X401" s="97"/>
      <c r="Y401" s="97"/>
      <c r="Z401" s="97"/>
      <c r="AA401" s="97"/>
      <c r="AB401" s="97"/>
      <c r="AC401" s="97"/>
      <c r="AD401" s="97"/>
      <c r="AE401" s="97"/>
      <c r="AF401" s="97"/>
      <c r="AG401" s="97"/>
      <c r="AH401" s="97"/>
      <c r="AI401" s="97"/>
      <c r="AJ401" s="97"/>
      <c r="AK401" s="97"/>
      <c r="AL401" s="97"/>
      <c r="AM401" s="97"/>
      <c r="AN401" s="97"/>
      <c r="AO401" s="97"/>
      <c r="AP401" s="97"/>
      <c r="AQ401" s="97"/>
      <c r="AR401" s="97"/>
      <c r="AS401" s="97"/>
      <c r="AT401" s="97"/>
      <c r="AU401" s="97"/>
      <c r="AV401" s="97"/>
      <c r="AW401" s="97"/>
      <c r="AX401" s="97"/>
      <c r="AY401" s="97"/>
      <c r="AZ401" s="97"/>
      <c r="BA401" s="97"/>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c r="CG401" s="97"/>
      <c r="CH401" s="97"/>
      <c r="CI401" s="97"/>
      <c r="CJ401" s="97"/>
      <c r="CK401" s="97"/>
      <c r="CL401" s="97"/>
      <c r="CM401" s="97"/>
      <c r="CN401" s="97"/>
      <c r="CO401" s="97"/>
      <c r="CP401" s="97"/>
      <c r="CQ401" s="97"/>
    </row>
    <row r="402" spans="1:95" ht="15" customHeight="1" outlineLevel="1">
      <c r="A402" s="97"/>
      <c r="B402" s="104" t="s">
        <v>84</v>
      </c>
      <c r="C402" s="138"/>
      <c r="D402" s="131">
        <f t="shared" ref="D402:Q402" si="110">Opening_without_54_57_with_xx*Without_54_57_with_xx_amenity_value</f>
        <v>0</v>
      </c>
      <c r="E402" s="131">
        <f t="shared" si="110"/>
        <v>0</v>
      </c>
      <c r="F402" s="131">
        <f t="shared" si="110"/>
        <v>0</v>
      </c>
      <c r="G402" s="131">
        <f t="shared" si="110"/>
        <v>0</v>
      </c>
      <c r="H402" s="131">
        <f t="shared" si="110"/>
        <v>0</v>
      </c>
      <c r="I402" s="131">
        <f t="shared" si="110"/>
        <v>0</v>
      </c>
      <c r="J402" s="131">
        <f t="shared" si="110"/>
        <v>0</v>
      </c>
      <c r="K402" s="131">
        <f t="shared" si="110"/>
        <v>0</v>
      </c>
      <c r="L402" s="131">
        <f t="shared" si="110"/>
        <v>0</v>
      </c>
      <c r="M402" s="131">
        <f t="shared" si="110"/>
        <v>0</v>
      </c>
      <c r="N402" s="131">
        <f t="shared" si="110"/>
        <v>0</v>
      </c>
      <c r="O402" s="131">
        <f t="shared" si="110"/>
        <v>0</v>
      </c>
      <c r="P402" s="131">
        <f t="shared" si="110"/>
        <v>0</v>
      </c>
      <c r="Q402" s="131">
        <f t="shared" si="110"/>
        <v>0</v>
      </c>
      <c r="R402" s="22" t="s">
        <v>525</v>
      </c>
      <c r="S402" s="97"/>
      <c r="T402" s="97"/>
      <c r="U402" s="97"/>
      <c r="V402" s="97"/>
      <c r="W402" s="97"/>
      <c r="X402" s="97"/>
      <c r="Y402" s="97"/>
      <c r="Z402" s="97"/>
      <c r="AA402" s="97"/>
      <c r="AB402" s="97"/>
      <c r="AC402" s="97"/>
      <c r="AD402" s="97"/>
      <c r="AE402" s="97"/>
      <c r="AF402" s="97"/>
      <c r="AG402" s="97"/>
      <c r="AH402" s="97"/>
      <c r="AI402" s="97"/>
      <c r="AJ402" s="97"/>
      <c r="AK402" s="97"/>
      <c r="AL402" s="97"/>
      <c r="AM402" s="97"/>
      <c r="AN402" s="97"/>
      <c r="AO402" s="97"/>
      <c r="AP402" s="97"/>
      <c r="AQ402" s="97"/>
      <c r="AR402" s="97"/>
      <c r="AS402" s="97"/>
      <c r="AT402" s="97"/>
      <c r="AU402" s="97"/>
      <c r="AV402" s="97"/>
      <c r="AW402" s="97"/>
      <c r="AX402" s="97"/>
      <c r="AY402" s="97"/>
      <c r="AZ402" s="97"/>
      <c r="BA402" s="97"/>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c r="CL402" s="97"/>
      <c r="CM402" s="97"/>
      <c r="CN402" s="97"/>
      <c r="CO402" s="97"/>
      <c r="CP402" s="97"/>
      <c r="CQ402" s="97"/>
    </row>
    <row r="403" spans="1:95" ht="15" customHeight="1" outlineLevel="1">
      <c r="A403" s="97"/>
      <c r="B403" s="104" t="s">
        <v>85</v>
      </c>
      <c r="C403" s="138"/>
      <c r="D403" s="131">
        <f t="shared" ref="D403:Q403" si="111">Opening_without_57_60_with_xx*Without_57_60_with_xx_amenity_value</f>
        <v>0</v>
      </c>
      <c r="E403" s="131">
        <f t="shared" si="111"/>
        <v>0</v>
      </c>
      <c r="F403" s="131">
        <f t="shared" si="111"/>
        <v>0</v>
      </c>
      <c r="G403" s="131">
        <f t="shared" si="111"/>
        <v>0</v>
      </c>
      <c r="H403" s="131">
        <f t="shared" si="111"/>
        <v>0</v>
      </c>
      <c r="I403" s="131">
        <f t="shared" si="111"/>
        <v>0</v>
      </c>
      <c r="J403" s="131">
        <f t="shared" si="111"/>
        <v>0</v>
      </c>
      <c r="K403" s="131">
        <f t="shared" si="111"/>
        <v>0</v>
      </c>
      <c r="L403" s="131">
        <f t="shared" si="111"/>
        <v>0</v>
      </c>
      <c r="M403" s="131">
        <f t="shared" si="111"/>
        <v>0</v>
      </c>
      <c r="N403" s="131">
        <f t="shared" si="111"/>
        <v>0</v>
      </c>
      <c r="O403" s="131">
        <f t="shared" si="111"/>
        <v>0</v>
      </c>
      <c r="P403" s="131">
        <f t="shared" si="111"/>
        <v>0</v>
      </c>
      <c r="Q403" s="131">
        <f t="shared" si="111"/>
        <v>0</v>
      </c>
      <c r="R403" s="22" t="s">
        <v>526</v>
      </c>
      <c r="S403" s="97"/>
      <c r="T403" s="97"/>
      <c r="U403" s="97"/>
      <c r="V403" s="97"/>
      <c r="W403" s="97"/>
      <c r="X403" s="97"/>
      <c r="Y403" s="97"/>
      <c r="Z403" s="97"/>
      <c r="AA403" s="97"/>
      <c r="AB403" s="97"/>
      <c r="AC403" s="97"/>
      <c r="AD403" s="97"/>
      <c r="AE403" s="97"/>
      <c r="AF403" s="97"/>
      <c r="AG403" s="97"/>
      <c r="AH403" s="97"/>
      <c r="AI403" s="97"/>
      <c r="AJ403" s="97"/>
      <c r="AK403" s="97"/>
      <c r="AL403" s="97"/>
      <c r="AM403" s="97"/>
      <c r="AN403" s="97"/>
      <c r="AO403" s="97"/>
      <c r="AP403" s="97"/>
      <c r="AQ403" s="97"/>
      <c r="AR403" s="97"/>
      <c r="AS403" s="97"/>
      <c r="AT403" s="97"/>
      <c r="AU403" s="97"/>
      <c r="AV403" s="97"/>
      <c r="AW403" s="97"/>
      <c r="AX403" s="97"/>
      <c r="AY403" s="97"/>
      <c r="AZ403" s="97"/>
      <c r="BA403" s="97"/>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c r="CG403" s="97"/>
      <c r="CH403" s="97"/>
      <c r="CI403" s="97"/>
      <c r="CJ403" s="97"/>
      <c r="CK403" s="97"/>
      <c r="CL403" s="97"/>
      <c r="CM403" s="97"/>
      <c r="CN403" s="97"/>
      <c r="CO403" s="97"/>
      <c r="CP403" s="97"/>
      <c r="CQ403" s="97"/>
    </row>
    <row r="404" spans="1:95" ht="15" customHeight="1" outlineLevel="1">
      <c r="A404" s="97"/>
      <c r="B404" s="104" t="s">
        <v>86</v>
      </c>
      <c r="C404" s="138"/>
      <c r="D404" s="131">
        <f t="shared" ref="D404:Q404" si="112">Opening_without_60_63_with_xx*Without_60_63_with_xx_amenity_value</f>
        <v>0</v>
      </c>
      <c r="E404" s="131">
        <f t="shared" si="112"/>
        <v>0</v>
      </c>
      <c r="F404" s="131">
        <f t="shared" si="112"/>
        <v>0</v>
      </c>
      <c r="G404" s="131">
        <f t="shared" si="112"/>
        <v>0</v>
      </c>
      <c r="H404" s="131">
        <f t="shared" si="112"/>
        <v>0</v>
      </c>
      <c r="I404" s="131">
        <f t="shared" si="112"/>
        <v>0</v>
      </c>
      <c r="J404" s="131">
        <f t="shared" si="112"/>
        <v>0</v>
      </c>
      <c r="K404" s="131">
        <f t="shared" si="112"/>
        <v>0</v>
      </c>
      <c r="L404" s="131">
        <f t="shared" si="112"/>
        <v>0</v>
      </c>
      <c r="M404" s="131">
        <f t="shared" si="112"/>
        <v>0</v>
      </c>
      <c r="N404" s="131">
        <f t="shared" si="112"/>
        <v>0</v>
      </c>
      <c r="O404" s="131">
        <f t="shared" si="112"/>
        <v>0</v>
      </c>
      <c r="P404" s="131">
        <f t="shared" si="112"/>
        <v>0</v>
      </c>
      <c r="Q404" s="131">
        <f t="shared" si="112"/>
        <v>0</v>
      </c>
      <c r="R404" s="22" t="s">
        <v>527</v>
      </c>
      <c r="S404" s="97"/>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c r="CG404" s="97"/>
      <c r="CH404" s="97"/>
      <c r="CI404" s="97"/>
      <c r="CJ404" s="97"/>
      <c r="CK404" s="97"/>
      <c r="CL404" s="97"/>
      <c r="CM404" s="97"/>
      <c r="CN404" s="97"/>
      <c r="CO404" s="97"/>
      <c r="CP404" s="97"/>
      <c r="CQ404" s="97"/>
    </row>
    <row r="405" spans="1:95" ht="15" customHeight="1" outlineLevel="1">
      <c r="A405" s="97"/>
      <c r="B405" s="104" t="s">
        <v>87</v>
      </c>
      <c r="C405" s="138"/>
      <c r="D405" s="131">
        <f t="shared" ref="D405:Q405" si="113">Opening_without_63_66_with_xx*Without_63_66_with_xx_amenity_value</f>
        <v>0</v>
      </c>
      <c r="E405" s="131">
        <f t="shared" si="113"/>
        <v>0</v>
      </c>
      <c r="F405" s="131">
        <f t="shared" si="113"/>
        <v>0</v>
      </c>
      <c r="G405" s="131">
        <f t="shared" si="113"/>
        <v>0</v>
      </c>
      <c r="H405" s="131">
        <f t="shared" si="113"/>
        <v>0</v>
      </c>
      <c r="I405" s="131">
        <f t="shared" si="113"/>
        <v>0</v>
      </c>
      <c r="J405" s="131">
        <f t="shared" si="113"/>
        <v>0</v>
      </c>
      <c r="K405" s="131">
        <f t="shared" si="113"/>
        <v>0</v>
      </c>
      <c r="L405" s="131">
        <f t="shared" si="113"/>
        <v>0</v>
      </c>
      <c r="M405" s="131">
        <f t="shared" si="113"/>
        <v>0</v>
      </c>
      <c r="N405" s="131">
        <f t="shared" si="113"/>
        <v>0</v>
      </c>
      <c r="O405" s="131">
        <f t="shared" si="113"/>
        <v>0</v>
      </c>
      <c r="P405" s="131">
        <f t="shared" si="113"/>
        <v>0</v>
      </c>
      <c r="Q405" s="131">
        <f t="shared" si="113"/>
        <v>0</v>
      </c>
      <c r="R405" s="22" t="s">
        <v>528</v>
      </c>
      <c r="S405" s="97"/>
      <c r="T405" s="97"/>
      <c r="U405" s="97"/>
      <c r="V405" s="97"/>
      <c r="W405" s="97"/>
      <c r="X405" s="97"/>
      <c r="Y405" s="97"/>
      <c r="Z405" s="97"/>
      <c r="AA405" s="97"/>
      <c r="AB405" s="97"/>
      <c r="AC405" s="97"/>
      <c r="AD405" s="97"/>
      <c r="AE405" s="97"/>
      <c r="AF405" s="97"/>
      <c r="AG405" s="97"/>
      <c r="AH405" s="97"/>
      <c r="AI405" s="97"/>
      <c r="AJ405" s="97"/>
      <c r="AK405" s="97"/>
      <c r="AL405" s="97"/>
      <c r="AM405" s="97"/>
      <c r="AN405" s="97"/>
      <c r="AO405" s="97"/>
      <c r="AP405" s="97"/>
      <c r="AQ405" s="97"/>
      <c r="AR405" s="97"/>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c r="CG405" s="97"/>
      <c r="CH405" s="97"/>
      <c r="CI405" s="97"/>
      <c r="CJ405" s="97"/>
      <c r="CK405" s="97"/>
      <c r="CL405" s="97"/>
      <c r="CM405" s="97"/>
      <c r="CN405" s="97"/>
      <c r="CO405" s="97"/>
      <c r="CP405" s="97"/>
      <c r="CQ405" s="97"/>
    </row>
    <row r="406" spans="1:95" ht="15" customHeight="1" outlineLevel="1">
      <c r="A406" s="97"/>
      <c r="B406" s="104" t="s">
        <v>88</v>
      </c>
      <c r="C406" s="138"/>
      <c r="D406" s="131">
        <f t="shared" ref="D406:Q406" si="114">Opening_without_66_69_with_xx*Without_66_69_with_xx_amenity_value</f>
        <v>0</v>
      </c>
      <c r="E406" s="131">
        <f t="shared" si="114"/>
        <v>0</v>
      </c>
      <c r="F406" s="131">
        <f t="shared" si="114"/>
        <v>0</v>
      </c>
      <c r="G406" s="131">
        <f t="shared" si="114"/>
        <v>0</v>
      </c>
      <c r="H406" s="131">
        <f t="shared" si="114"/>
        <v>0</v>
      </c>
      <c r="I406" s="131">
        <f t="shared" si="114"/>
        <v>0</v>
      </c>
      <c r="J406" s="131">
        <f t="shared" si="114"/>
        <v>0</v>
      </c>
      <c r="K406" s="131">
        <f t="shared" si="114"/>
        <v>0</v>
      </c>
      <c r="L406" s="131">
        <f t="shared" si="114"/>
        <v>0</v>
      </c>
      <c r="M406" s="131">
        <f t="shared" si="114"/>
        <v>0</v>
      </c>
      <c r="N406" s="131">
        <f t="shared" si="114"/>
        <v>0</v>
      </c>
      <c r="O406" s="131">
        <f t="shared" si="114"/>
        <v>0</v>
      </c>
      <c r="P406" s="131">
        <f t="shared" si="114"/>
        <v>0</v>
      </c>
      <c r="Q406" s="131">
        <f t="shared" si="114"/>
        <v>0</v>
      </c>
      <c r="R406" s="22" t="s">
        <v>529</v>
      </c>
      <c r="S406" s="97"/>
      <c r="T406" s="97"/>
      <c r="U406" s="97"/>
      <c r="V406" s="97"/>
      <c r="W406" s="97"/>
      <c r="X406" s="97"/>
      <c r="Y406" s="97"/>
      <c r="Z406" s="97"/>
      <c r="AA406" s="97"/>
      <c r="AB406" s="97"/>
      <c r="AC406" s="97"/>
      <c r="AD406" s="97"/>
      <c r="AE406" s="97"/>
      <c r="AF406" s="97"/>
      <c r="AG406" s="97"/>
      <c r="AH406" s="97"/>
      <c r="AI406" s="97"/>
      <c r="AJ406" s="97"/>
      <c r="AK406" s="97"/>
      <c r="AL406" s="97"/>
      <c r="AM406" s="97"/>
      <c r="AN406" s="97"/>
      <c r="AO406" s="97"/>
      <c r="AP406" s="97"/>
      <c r="AQ406" s="97"/>
      <c r="AR406" s="97"/>
      <c r="AS406" s="97"/>
      <c r="AT406" s="97"/>
      <c r="AU406" s="97"/>
      <c r="AV406" s="97"/>
      <c r="AW406" s="97"/>
      <c r="AX406" s="97"/>
      <c r="AY406" s="97"/>
      <c r="AZ406" s="97"/>
      <c r="BA406" s="97"/>
      <c r="BB406" s="97"/>
      <c r="BC406" s="97"/>
      <c r="BD406" s="97"/>
      <c r="BE406" s="97"/>
      <c r="BF406" s="97"/>
      <c r="BG406" s="97"/>
      <c r="BH406" s="97"/>
      <c r="BI406" s="97"/>
      <c r="BJ406" s="97"/>
      <c r="BK406" s="97"/>
      <c r="BL406" s="97"/>
      <c r="BM406" s="97"/>
      <c r="BN406" s="97"/>
      <c r="BO406" s="97"/>
      <c r="BP406" s="97"/>
      <c r="BQ406" s="97"/>
      <c r="BR406" s="97"/>
      <c r="BS406" s="97"/>
      <c r="BT406" s="97"/>
      <c r="BU406" s="97"/>
      <c r="BV406" s="97"/>
      <c r="BW406" s="97"/>
      <c r="BX406" s="97"/>
      <c r="BY406" s="97"/>
      <c r="BZ406" s="97"/>
      <c r="CA406" s="97"/>
      <c r="CB406" s="97"/>
      <c r="CC406" s="97"/>
      <c r="CD406" s="97"/>
      <c r="CE406" s="97"/>
      <c r="CF406" s="97"/>
      <c r="CG406" s="97"/>
      <c r="CH406" s="97"/>
      <c r="CI406" s="97"/>
      <c r="CJ406" s="97"/>
      <c r="CK406" s="97"/>
      <c r="CL406" s="97"/>
      <c r="CM406" s="97"/>
      <c r="CN406" s="97"/>
      <c r="CO406" s="97"/>
      <c r="CP406" s="97"/>
      <c r="CQ406" s="97"/>
    </row>
    <row r="407" spans="1:95" ht="15" customHeight="1" outlineLevel="1">
      <c r="A407" s="97"/>
      <c r="B407" s="104" t="s">
        <v>89</v>
      </c>
      <c r="C407" s="138"/>
      <c r="D407" s="131">
        <f t="shared" ref="D407:Q407" si="115">Opening_without_69_72_with_xx*Without_69_72_with_xx_amenity_value</f>
        <v>0</v>
      </c>
      <c r="E407" s="131">
        <f t="shared" si="115"/>
        <v>0</v>
      </c>
      <c r="F407" s="131">
        <f t="shared" si="115"/>
        <v>0</v>
      </c>
      <c r="G407" s="131">
        <f t="shared" si="115"/>
        <v>0</v>
      </c>
      <c r="H407" s="131">
        <f t="shared" si="115"/>
        <v>0</v>
      </c>
      <c r="I407" s="131">
        <f t="shared" si="115"/>
        <v>0</v>
      </c>
      <c r="J407" s="131">
        <f t="shared" si="115"/>
        <v>0</v>
      </c>
      <c r="K407" s="131">
        <f t="shared" si="115"/>
        <v>0</v>
      </c>
      <c r="L407" s="131">
        <f t="shared" si="115"/>
        <v>0</v>
      </c>
      <c r="M407" s="131">
        <f t="shared" si="115"/>
        <v>0</v>
      </c>
      <c r="N407" s="131">
        <f t="shared" si="115"/>
        <v>0</v>
      </c>
      <c r="O407" s="131">
        <f t="shared" si="115"/>
        <v>0</v>
      </c>
      <c r="P407" s="131">
        <f t="shared" si="115"/>
        <v>0</v>
      </c>
      <c r="Q407" s="131">
        <f t="shared" si="115"/>
        <v>0</v>
      </c>
      <c r="R407" s="22" t="s">
        <v>530</v>
      </c>
      <c r="S407" s="97"/>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c r="AU407" s="97"/>
      <c r="AV407" s="97"/>
      <c r="AW407" s="97"/>
      <c r="AX407" s="97"/>
      <c r="AY407" s="97"/>
      <c r="AZ407" s="97"/>
      <c r="BA407" s="97"/>
      <c r="BB407" s="97"/>
      <c r="BC407" s="97"/>
      <c r="BD407" s="97"/>
      <c r="BE407" s="97"/>
      <c r="BF407" s="97"/>
      <c r="BG407" s="97"/>
      <c r="BH407" s="97"/>
      <c r="BI407" s="97"/>
      <c r="BJ407" s="97"/>
      <c r="BK407" s="97"/>
      <c r="BL407" s="97"/>
      <c r="BM407" s="97"/>
      <c r="BN407" s="97"/>
      <c r="BO407" s="97"/>
      <c r="BP407" s="97"/>
      <c r="BQ407" s="97"/>
      <c r="BR407" s="97"/>
      <c r="BS407" s="97"/>
      <c r="BT407" s="97"/>
      <c r="BU407" s="97"/>
      <c r="BV407" s="97"/>
      <c r="BW407" s="97"/>
      <c r="BX407" s="97"/>
      <c r="BY407" s="97"/>
      <c r="BZ407" s="97"/>
      <c r="CA407" s="97"/>
      <c r="CB407" s="97"/>
      <c r="CC407" s="97"/>
      <c r="CD407" s="97"/>
      <c r="CE407" s="97"/>
      <c r="CF407" s="97"/>
      <c r="CG407" s="97"/>
      <c r="CH407" s="97"/>
      <c r="CI407" s="97"/>
      <c r="CJ407" s="97"/>
      <c r="CK407" s="97"/>
      <c r="CL407" s="97"/>
      <c r="CM407" s="97"/>
      <c r="CN407" s="97"/>
      <c r="CO407" s="97"/>
      <c r="CP407" s="97"/>
      <c r="CQ407" s="97"/>
    </row>
    <row r="408" spans="1:95" ht="15" customHeight="1" outlineLevel="1">
      <c r="A408" s="97"/>
      <c r="B408" s="104" t="s">
        <v>90</v>
      </c>
      <c r="C408" s="138"/>
      <c r="D408" s="131">
        <f t="shared" ref="D408:Q408" si="116">Opening_without_72_75_with_xx*Without_72_75_with_xx_amenity_value</f>
        <v>0</v>
      </c>
      <c r="E408" s="131">
        <f t="shared" si="116"/>
        <v>0</v>
      </c>
      <c r="F408" s="131">
        <f t="shared" si="116"/>
        <v>0</v>
      </c>
      <c r="G408" s="131">
        <f t="shared" si="116"/>
        <v>0</v>
      </c>
      <c r="H408" s="131">
        <f t="shared" si="116"/>
        <v>0</v>
      </c>
      <c r="I408" s="131">
        <f t="shared" si="116"/>
        <v>0</v>
      </c>
      <c r="J408" s="131">
        <f t="shared" si="116"/>
        <v>0</v>
      </c>
      <c r="K408" s="131">
        <f t="shared" si="116"/>
        <v>0</v>
      </c>
      <c r="L408" s="131">
        <f t="shared" si="116"/>
        <v>0</v>
      </c>
      <c r="M408" s="131">
        <f t="shared" si="116"/>
        <v>0</v>
      </c>
      <c r="N408" s="131">
        <f t="shared" si="116"/>
        <v>0</v>
      </c>
      <c r="O408" s="131">
        <f t="shared" si="116"/>
        <v>0</v>
      </c>
      <c r="P408" s="131">
        <f t="shared" si="116"/>
        <v>0</v>
      </c>
      <c r="Q408" s="131">
        <f t="shared" si="116"/>
        <v>0</v>
      </c>
      <c r="R408" s="22" t="s">
        <v>531</v>
      </c>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7"/>
      <c r="AY408" s="97"/>
      <c r="AZ408" s="97"/>
      <c r="BA408" s="97"/>
      <c r="BB408" s="97"/>
      <c r="BC408" s="97"/>
      <c r="BD408" s="97"/>
      <c r="BE408" s="97"/>
      <c r="BF408" s="97"/>
      <c r="BG408" s="97"/>
      <c r="BH408" s="97"/>
      <c r="BI408" s="97"/>
      <c r="BJ408" s="97"/>
      <c r="BK408" s="97"/>
      <c r="BL408" s="97"/>
      <c r="BM408" s="97"/>
      <c r="BN408" s="97"/>
      <c r="BO408" s="97"/>
      <c r="BP408" s="97"/>
      <c r="BQ408" s="97"/>
      <c r="BR408" s="97"/>
      <c r="BS408" s="97"/>
      <c r="BT408" s="97"/>
      <c r="BU408" s="97"/>
      <c r="BV408" s="97"/>
      <c r="BW408" s="97"/>
      <c r="BX408" s="97"/>
      <c r="BY408" s="97"/>
      <c r="BZ408" s="97"/>
      <c r="CA408" s="97"/>
      <c r="CB408" s="97"/>
      <c r="CC408" s="97"/>
      <c r="CD408" s="97"/>
      <c r="CE408" s="97"/>
      <c r="CF408" s="97"/>
      <c r="CG408" s="97"/>
      <c r="CH408" s="97"/>
      <c r="CI408" s="97"/>
      <c r="CJ408" s="97"/>
      <c r="CK408" s="97"/>
      <c r="CL408" s="97"/>
      <c r="CM408" s="97"/>
      <c r="CN408" s="97"/>
      <c r="CO408" s="97"/>
      <c r="CP408" s="97"/>
      <c r="CQ408" s="97"/>
    </row>
    <row r="409" spans="1:95" ht="15" customHeight="1" outlineLevel="1">
      <c r="A409" s="97"/>
      <c r="B409" s="104" t="s">
        <v>91</v>
      </c>
      <c r="C409" s="138"/>
      <c r="D409" s="131">
        <f t="shared" ref="D409:Q409" si="117">Opening_without_75_78_with_xx*Without_75_78_with_xx_amenity_value</f>
        <v>0</v>
      </c>
      <c r="E409" s="131">
        <f t="shared" si="117"/>
        <v>0</v>
      </c>
      <c r="F409" s="131">
        <f t="shared" si="117"/>
        <v>0</v>
      </c>
      <c r="G409" s="131">
        <f t="shared" si="117"/>
        <v>0</v>
      </c>
      <c r="H409" s="131">
        <f t="shared" si="117"/>
        <v>0</v>
      </c>
      <c r="I409" s="131">
        <f t="shared" si="117"/>
        <v>0</v>
      </c>
      <c r="J409" s="131">
        <f t="shared" si="117"/>
        <v>0</v>
      </c>
      <c r="K409" s="131">
        <f t="shared" si="117"/>
        <v>0</v>
      </c>
      <c r="L409" s="131">
        <f t="shared" si="117"/>
        <v>0</v>
      </c>
      <c r="M409" s="131">
        <f t="shared" si="117"/>
        <v>0</v>
      </c>
      <c r="N409" s="131">
        <f t="shared" si="117"/>
        <v>0</v>
      </c>
      <c r="O409" s="131">
        <f t="shared" si="117"/>
        <v>0</v>
      </c>
      <c r="P409" s="131">
        <f t="shared" si="117"/>
        <v>0</v>
      </c>
      <c r="Q409" s="131">
        <f t="shared" si="117"/>
        <v>0</v>
      </c>
      <c r="R409" s="22" t="s">
        <v>532</v>
      </c>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7"/>
      <c r="AY409" s="97"/>
      <c r="AZ409" s="97"/>
      <c r="BA409" s="97"/>
      <c r="BB409" s="97"/>
      <c r="BC409" s="97"/>
      <c r="BD409" s="97"/>
      <c r="BE409" s="97"/>
      <c r="BF409" s="97"/>
      <c r="BG409" s="97"/>
      <c r="BH409" s="97"/>
      <c r="BI409" s="97"/>
      <c r="BJ409" s="97"/>
      <c r="BK409" s="97"/>
      <c r="BL409" s="97"/>
      <c r="BM409" s="97"/>
      <c r="BN409" s="97"/>
      <c r="BO409" s="97"/>
      <c r="BP409" s="97"/>
      <c r="BQ409" s="97"/>
      <c r="BR409" s="97"/>
      <c r="BS409" s="97"/>
      <c r="BT409" s="97"/>
      <c r="BU409" s="97"/>
      <c r="BV409" s="97"/>
      <c r="BW409" s="97"/>
      <c r="BX409" s="97"/>
      <c r="BY409" s="97"/>
      <c r="BZ409" s="97"/>
      <c r="CA409" s="97"/>
      <c r="CB409" s="97"/>
      <c r="CC409" s="97"/>
      <c r="CD409" s="97"/>
      <c r="CE409" s="97"/>
      <c r="CF409" s="97"/>
      <c r="CG409" s="97"/>
      <c r="CH409" s="97"/>
      <c r="CI409" s="97"/>
      <c r="CJ409" s="97"/>
      <c r="CK409" s="97"/>
      <c r="CL409" s="97"/>
      <c r="CM409" s="97"/>
      <c r="CN409" s="97"/>
      <c r="CO409" s="97"/>
      <c r="CP409" s="97"/>
      <c r="CQ409" s="97"/>
    </row>
    <row r="410" spans="1:95" ht="15" customHeight="1" outlineLevel="1">
      <c r="A410" s="97"/>
      <c r="B410" s="104" t="s">
        <v>92</v>
      </c>
      <c r="C410" s="138"/>
      <c r="D410" s="131">
        <f t="shared" ref="D410:Q410" si="118">Opening_without_78_81_with_xx*Without_78_81_with_xx_amenity_value</f>
        <v>0</v>
      </c>
      <c r="E410" s="131">
        <f t="shared" si="118"/>
        <v>0</v>
      </c>
      <c r="F410" s="131">
        <f t="shared" si="118"/>
        <v>0</v>
      </c>
      <c r="G410" s="131">
        <f t="shared" si="118"/>
        <v>0</v>
      </c>
      <c r="H410" s="131">
        <f t="shared" si="118"/>
        <v>0</v>
      </c>
      <c r="I410" s="131">
        <f t="shared" si="118"/>
        <v>0</v>
      </c>
      <c r="J410" s="131">
        <f t="shared" si="118"/>
        <v>0</v>
      </c>
      <c r="K410" s="131">
        <f t="shared" si="118"/>
        <v>0</v>
      </c>
      <c r="L410" s="131">
        <f t="shared" si="118"/>
        <v>0</v>
      </c>
      <c r="M410" s="131">
        <f t="shared" si="118"/>
        <v>0</v>
      </c>
      <c r="N410" s="131">
        <f t="shared" si="118"/>
        <v>0</v>
      </c>
      <c r="O410" s="131">
        <f t="shared" si="118"/>
        <v>0</v>
      </c>
      <c r="P410" s="131">
        <f t="shared" si="118"/>
        <v>0</v>
      </c>
      <c r="Q410" s="131">
        <f t="shared" si="118"/>
        <v>0</v>
      </c>
      <c r="R410" s="22" t="s">
        <v>533</v>
      </c>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c r="BG410" s="97"/>
      <c r="BH410" s="97"/>
      <c r="BI410" s="97"/>
      <c r="BJ410" s="97"/>
      <c r="BK410" s="97"/>
      <c r="BL410" s="97"/>
      <c r="BM410" s="97"/>
      <c r="BN410" s="97"/>
      <c r="BO410" s="97"/>
      <c r="BP410" s="97"/>
      <c r="BQ410" s="97"/>
      <c r="BR410" s="97"/>
      <c r="BS410" s="97"/>
      <c r="BT410" s="97"/>
      <c r="BU410" s="97"/>
      <c r="BV410" s="97"/>
      <c r="BW410" s="97"/>
      <c r="BX410" s="97"/>
      <c r="BY410" s="97"/>
      <c r="BZ410" s="97"/>
      <c r="CA410" s="97"/>
      <c r="CB410" s="97"/>
      <c r="CC410" s="97"/>
      <c r="CD410" s="97"/>
      <c r="CE410" s="97"/>
      <c r="CF410" s="97"/>
      <c r="CG410" s="97"/>
      <c r="CH410" s="97"/>
      <c r="CI410" s="97"/>
      <c r="CJ410" s="97"/>
      <c r="CK410" s="97"/>
      <c r="CL410" s="97"/>
      <c r="CM410" s="97"/>
      <c r="CN410" s="97"/>
      <c r="CO410" s="97"/>
      <c r="CP410" s="97"/>
      <c r="CQ410" s="97"/>
    </row>
    <row r="411" spans="1:95" ht="15" customHeight="1" outlineLevel="1">
      <c r="A411" s="97"/>
      <c r="B411" s="104" t="s">
        <v>93</v>
      </c>
      <c r="C411" s="139"/>
      <c r="D411" s="131">
        <f t="shared" ref="D411:Q411" si="119">Opening_without_81_with_xx*Without_81_with_xx_amenity_value</f>
        <v>0</v>
      </c>
      <c r="E411" s="131">
        <f t="shared" si="119"/>
        <v>0</v>
      </c>
      <c r="F411" s="131">
        <f t="shared" si="119"/>
        <v>0</v>
      </c>
      <c r="G411" s="131">
        <f t="shared" si="119"/>
        <v>0</v>
      </c>
      <c r="H411" s="131">
        <f t="shared" si="119"/>
        <v>0</v>
      </c>
      <c r="I411" s="131">
        <f t="shared" si="119"/>
        <v>0</v>
      </c>
      <c r="J411" s="131">
        <f t="shared" si="119"/>
        <v>0</v>
      </c>
      <c r="K411" s="131">
        <f t="shared" si="119"/>
        <v>0</v>
      </c>
      <c r="L411" s="131">
        <f t="shared" si="119"/>
        <v>0</v>
      </c>
      <c r="M411" s="131">
        <f t="shared" si="119"/>
        <v>0</v>
      </c>
      <c r="N411" s="131">
        <f t="shared" si="119"/>
        <v>0</v>
      </c>
      <c r="O411" s="131">
        <f t="shared" si="119"/>
        <v>0</v>
      </c>
      <c r="P411" s="131">
        <f t="shared" si="119"/>
        <v>0</v>
      </c>
      <c r="Q411" s="131">
        <f t="shared" si="119"/>
        <v>0</v>
      </c>
      <c r="R411" s="22" t="s">
        <v>534</v>
      </c>
      <c r="S411" s="97"/>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c r="AU411" s="97"/>
      <c r="AV411" s="97"/>
      <c r="AW411" s="97"/>
      <c r="AX411" s="97"/>
      <c r="AY411" s="97"/>
      <c r="AZ411" s="97"/>
      <c r="BA411" s="97"/>
      <c r="BB411" s="97"/>
      <c r="BC411" s="97"/>
      <c r="BD411" s="97"/>
      <c r="BE411" s="97"/>
      <c r="BF411" s="97"/>
      <c r="BG411" s="97"/>
      <c r="BH411" s="97"/>
      <c r="BI411" s="97"/>
      <c r="BJ411" s="97"/>
      <c r="BK411" s="97"/>
      <c r="BL411" s="97"/>
      <c r="BM411" s="97"/>
      <c r="BN411" s="97"/>
      <c r="BO411" s="97"/>
      <c r="BP411" s="97"/>
      <c r="BQ411" s="97"/>
      <c r="BR411" s="97"/>
      <c r="BS411" s="97"/>
      <c r="BT411" s="97"/>
      <c r="BU411" s="97"/>
      <c r="BV411" s="97"/>
      <c r="BW411" s="97"/>
      <c r="BX411" s="97"/>
      <c r="BY411" s="97"/>
      <c r="BZ411" s="97"/>
      <c r="CA411" s="97"/>
      <c r="CB411" s="97"/>
      <c r="CC411" s="97"/>
      <c r="CD411" s="97"/>
      <c r="CE411" s="97"/>
      <c r="CF411" s="97"/>
      <c r="CG411" s="97"/>
      <c r="CH411" s="97"/>
      <c r="CI411" s="97"/>
      <c r="CJ411" s="97"/>
      <c r="CK411" s="97"/>
      <c r="CL411" s="97"/>
      <c r="CM411" s="97"/>
      <c r="CN411" s="97"/>
      <c r="CO411" s="97"/>
      <c r="CP411" s="97"/>
      <c r="CQ411" s="97"/>
    </row>
    <row r="412" spans="1:95" ht="15" customHeight="1" outlineLevel="1">
      <c r="A412" s="97"/>
      <c r="B412" s="134"/>
      <c r="C412" s="134"/>
      <c r="D412" s="134"/>
      <c r="E412" s="134"/>
      <c r="F412" s="134"/>
      <c r="G412" s="134"/>
      <c r="H412" s="134"/>
      <c r="I412" s="134"/>
      <c r="J412" s="134"/>
      <c r="K412" s="134"/>
      <c r="L412" s="134"/>
      <c r="M412" s="134"/>
      <c r="N412" s="134"/>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97"/>
      <c r="AL412" s="97"/>
      <c r="AM412" s="97"/>
      <c r="AN412" s="97"/>
      <c r="AO412" s="97"/>
      <c r="AP412" s="97"/>
      <c r="AQ412" s="97"/>
      <c r="AR412" s="97"/>
      <c r="AS412" s="97"/>
      <c r="AT412" s="97"/>
      <c r="AU412" s="97"/>
      <c r="AV412" s="97"/>
      <c r="AW412" s="97"/>
      <c r="AX412" s="97"/>
      <c r="AY412" s="97"/>
      <c r="AZ412" s="97"/>
      <c r="BA412" s="97"/>
      <c r="BB412" s="97"/>
      <c r="BC412" s="97"/>
      <c r="BD412" s="97"/>
      <c r="BE412" s="97"/>
      <c r="BF412" s="97"/>
      <c r="BG412" s="97"/>
      <c r="BH412" s="97"/>
      <c r="BI412" s="97"/>
      <c r="BJ412" s="97"/>
      <c r="BK412" s="97"/>
      <c r="BL412" s="97"/>
      <c r="BM412" s="97"/>
      <c r="BN412" s="97"/>
      <c r="BO412" s="97"/>
      <c r="BP412" s="97"/>
      <c r="BQ412" s="97"/>
      <c r="BR412" s="97"/>
      <c r="BS412" s="97"/>
      <c r="BT412" s="97"/>
      <c r="BU412" s="97"/>
      <c r="BV412" s="97"/>
      <c r="BW412" s="97"/>
      <c r="BX412" s="97"/>
      <c r="BY412" s="97"/>
      <c r="BZ412" s="97"/>
      <c r="CA412" s="97"/>
      <c r="CB412" s="97"/>
      <c r="CC412" s="97"/>
      <c r="CD412" s="97"/>
      <c r="CE412" s="97"/>
      <c r="CF412" s="97"/>
      <c r="CG412" s="97"/>
      <c r="CH412" s="97"/>
      <c r="CI412" s="97"/>
      <c r="CJ412" s="97"/>
      <c r="CK412" s="97"/>
      <c r="CL412" s="97"/>
      <c r="CM412" s="97"/>
      <c r="CN412" s="97"/>
      <c r="CO412" s="97"/>
      <c r="CP412" s="97"/>
      <c r="CQ412" s="97"/>
    </row>
    <row r="413" spans="1:95" ht="15" customHeight="1" outlineLevel="1">
      <c r="A413" s="97"/>
      <c r="B413" s="142" t="s">
        <v>535</v>
      </c>
      <c r="C413" s="141">
        <f>SUM(Opening_without_45_with_xx_amenity_cost,Opening_without_45_48_with_xx_amenity_cost,Opening_without_48_51_with_xx_amenity_cost,Opening_without_51_54_with_xx_amenity_cost,Opening_without_54_57_with_xx_amenity_cost,Opening_without_57_60_with_xx_amenity_cost,Opening_without_60_63_with_xx_amenity_cost,Opening_without_63_66_with_xx_amenity_cost,Opening_without_66_69_with_xx_amenity_cost,Opening_without_69_72_with_xx_amenity_cost,Opening_without_72_75_with_xx_amenity_cost,Opening_without_75_78_with_xx_amenity_cost,Opening_without_78_81_with_xx_amenity_cost,Opening_without_81_with_xx_amenity_cost)</f>
        <v>0</v>
      </c>
      <c r="D413" s="24" t="s">
        <v>536</v>
      </c>
      <c r="E413" s="134"/>
      <c r="F413" s="134"/>
      <c r="G413" s="134"/>
      <c r="H413" s="134"/>
      <c r="I413" s="134"/>
      <c r="J413" s="134"/>
      <c r="K413" s="134"/>
      <c r="L413" s="134"/>
      <c r="M413" s="134"/>
      <c r="N413" s="134"/>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97"/>
      <c r="AL413" s="97"/>
      <c r="AM413" s="97"/>
      <c r="AN413" s="97"/>
      <c r="AO413" s="97"/>
      <c r="AP413" s="97"/>
      <c r="AQ413" s="97"/>
      <c r="AR413" s="97"/>
      <c r="AS413" s="97"/>
      <c r="AT413" s="97"/>
      <c r="AU413" s="97"/>
      <c r="AV413" s="97"/>
      <c r="AW413" s="97"/>
      <c r="AX413" s="97"/>
      <c r="AY413" s="97"/>
      <c r="AZ413" s="97"/>
      <c r="BA413" s="97"/>
      <c r="BB413" s="97"/>
      <c r="BC413" s="97"/>
      <c r="BD413" s="97"/>
      <c r="BE413" s="97"/>
      <c r="BF413" s="97"/>
      <c r="BG413" s="97"/>
      <c r="BH413" s="97"/>
      <c r="BI413" s="97"/>
      <c r="BJ413" s="97"/>
      <c r="BK413" s="97"/>
      <c r="BL413" s="97"/>
      <c r="BM413" s="97"/>
      <c r="BN413" s="97"/>
      <c r="BO413" s="97"/>
      <c r="BP413" s="97"/>
      <c r="BQ413" s="97"/>
      <c r="BR413" s="97"/>
      <c r="BS413" s="97"/>
      <c r="BT413" s="97"/>
      <c r="BU413" s="97"/>
      <c r="BV413" s="97"/>
      <c r="BW413" s="97"/>
      <c r="BX413" s="97"/>
      <c r="BY413" s="97"/>
      <c r="BZ413" s="97"/>
      <c r="CA413" s="97"/>
      <c r="CB413" s="97"/>
      <c r="CC413" s="97"/>
      <c r="CD413" s="97"/>
      <c r="CE413" s="97"/>
      <c r="CF413" s="97"/>
      <c r="CG413" s="97"/>
      <c r="CH413" s="97"/>
      <c r="CI413" s="97"/>
      <c r="CJ413" s="97"/>
      <c r="CK413" s="97"/>
      <c r="CL413" s="97"/>
      <c r="CM413" s="97"/>
      <c r="CN413" s="97"/>
      <c r="CO413" s="97"/>
      <c r="CP413" s="97"/>
      <c r="CQ413" s="97"/>
    </row>
    <row r="414" spans="1:95" ht="15" customHeight="1" outlineLevel="1">
      <c r="A414" s="97"/>
      <c r="B414" s="134"/>
      <c r="C414" s="134"/>
      <c r="D414" s="134"/>
      <c r="E414" s="134"/>
      <c r="F414" s="134"/>
      <c r="G414" s="134"/>
      <c r="H414" s="134"/>
      <c r="I414" s="134"/>
      <c r="J414" s="134"/>
      <c r="K414" s="134"/>
      <c r="L414" s="134"/>
      <c r="M414" s="134"/>
      <c r="N414" s="134"/>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7"/>
      <c r="AL414" s="97"/>
      <c r="AM414" s="97"/>
      <c r="AN414" s="97"/>
      <c r="AO414" s="97"/>
      <c r="AP414" s="97"/>
      <c r="AQ414" s="97"/>
      <c r="AR414" s="97"/>
      <c r="AS414" s="97"/>
      <c r="AT414" s="97"/>
      <c r="AU414" s="97"/>
      <c r="AV414" s="97"/>
      <c r="AW414" s="97"/>
      <c r="AX414" s="97"/>
      <c r="AY414" s="97"/>
      <c r="AZ414" s="97"/>
      <c r="BA414" s="97"/>
      <c r="BB414" s="97"/>
      <c r="BC414" s="97"/>
      <c r="BD414" s="97"/>
      <c r="BE414" s="97"/>
      <c r="BF414" s="97"/>
      <c r="BG414" s="97"/>
      <c r="BH414" s="97"/>
      <c r="BI414" s="97"/>
      <c r="BJ414" s="97"/>
      <c r="BK414" s="97"/>
      <c r="BL414" s="97"/>
      <c r="BM414" s="97"/>
      <c r="BN414" s="97"/>
      <c r="BO414" s="97"/>
      <c r="BP414" s="97"/>
      <c r="BQ414" s="97"/>
      <c r="BR414" s="97"/>
      <c r="BS414" s="97"/>
      <c r="BT414" s="97"/>
      <c r="BU414" s="97"/>
      <c r="BV414" s="97"/>
      <c r="BW414" s="97"/>
      <c r="BX414" s="97"/>
      <c r="BY414" s="97"/>
      <c r="BZ414" s="97"/>
      <c r="CA414" s="97"/>
      <c r="CB414" s="97"/>
      <c r="CC414" s="97"/>
      <c r="CD414" s="97"/>
      <c r="CE414" s="97"/>
      <c r="CF414" s="97"/>
      <c r="CG414" s="97"/>
      <c r="CH414" s="97"/>
      <c r="CI414" s="97"/>
      <c r="CJ414" s="97"/>
      <c r="CK414" s="97"/>
      <c r="CL414" s="97"/>
      <c r="CM414" s="97"/>
      <c r="CN414" s="97"/>
      <c r="CO414" s="97"/>
      <c r="CP414" s="97"/>
      <c r="CQ414" s="97"/>
    </row>
    <row r="415" spans="1:95" s="5" customFormat="1" ht="15.6" outlineLevel="1">
      <c r="B415" s="5" t="s">
        <v>537</v>
      </c>
    </row>
    <row r="416" spans="1:95" ht="15" customHeight="1" outlineLevel="1">
      <c r="A416" s="97"/>
      <c r="B416" s="134"/>
      <c r="C416" s="134"/>
      <c r="D416" s="134"/>
      <c r="E416" s="134"/>
      <c r="F416" s="134"/>
      <c r="G416" s="134"/>
      <c r="H416" s="134"/>
      <c r="I416" s="134"/>
      <c r="J416" s="134"/>
      <c r="K416" s="134"/>
      <c r="L416" s="134"/>
      <c r="M416" s="134"/>
      <c r="N416" s="134"/>
      <c r="O416" s="97"/>
      <c r="P416" s="97"/>
      <c r="Q416" s="97"/>
      <c r="R416" s="97"/>
      <c r="S416" s="97"/>
      <c r="T416" s="97"/>
      <c r="U416" s="97"/>
      <c r="V416" s="97"/>
      <c r="W416" s="97"/>
      <c r="X416" s="97"/>
      <c r="Y416" s="97"/>
      <c r="Z416" s="97"/>
      <c r="AA416" s="97"/>
      <c r="AB416" s="97"/>
      <c r="AC416" s="97"/>
      <c r="AD416" s="97"/>
      <c r="AE416" s="97"/>
      <c r="AF416" s="97"/>
      <c r="AG416" s="97"/>
      <c r="AH416" s="97"/>
      <c r="AI416" s="97"/>
      <c r="AJ416" s="97"/>
      <c r="AK416" s="97"/>
      <c r="AL416" s="97"/>
      <c r="AM416" s="97"/>
      <c r="AN416" s="97"/>
      <c r="AO416" s="97"/>
      <c r="AP416" s="97"/>
      <c r="AQ416" s="97"/>
      <c r="AR416" s="97"/>
      <c r="AS416" s="97"/>
      <c r="AT416" s="97"/>
      <c r="AU416" s="97"/>
      <c r="AV416" s="97"/>
      <c r="AW416" s="97"/>
      <c r="AX416" s="97"/>
      <c r="AY416" s="97"/>
      <c r="AZ416" s="97"/>
      <c r="BA416" s="97"/>
      <c r="BB416" s="97"/>
      <c r="BC416" s="97"/>
      <c r="BD416" s="97"/>
      <c r="BE416" s="97"/>
      <c r="BF416" s="97"/>
      <c r="BG416" s="97"/>
      <c r="BH416" s="97"/>
      <c r="BI416" s="97"/>
      <c r="BJ416" s="97"/>
      <c r="BK416" s="97"/>
      <c r="BL416" s="97"/>
      <c r="BM416" s="97"/>
      <c r="BN416" s="97"/>
      <c r="BO416" s="97"/>
      <c r="BP416" s="97"/>
      <c r="BQ416" s="97"/>
      <c r="BR416" s="97"/>
      <c r="BS416" s="97"/>
      <c r="BT416" s="97"/>
      <c r="BU416" s="97"/>
      <c r="BV416" s="97"/>
      <c r="BW416" s="97"/>
      <c r="BX416" s="97"/>
      <c r="BY416" s="97"/>
      <c r="BZ416" s="97"/>
      <c r="CA416" s="97"/>
      <c r="CB416" s="97"/>
      <c r="CC416" s="97"/>
      <c r="CD416" s="97"/>
      <c r="CE416" s="97"/>
      <c r="CF416" s="97"/>
      <c r="CG416" s="97"/>
      <c r="CH416" s="97"/>
      <c r="CI416" s="97"/>
      <c r="CJ416" s="97"/>
      <c r="CK416" s="97"/>
      <c r="CL416" s="97"/>
      <c r="CM416" s="97"/>
      <c r="CN416" s="97"/>
      <c r="CO416" s="97"/>
      <c r="CP416" s="97"/>
      <c r="CQ416" s="97"/>
    </row>
    <row r="417" spans="1:95" ht="15" customHeight="1" outlineLevel="1">
      <c r="A417" s="97"/>
      <c r="B417" s="122"/>
      <c r="C417" s="60" t="s">
        <v>79</v>
      </c>
      <c r="D417" s="61" t="s">
        <v>80</v>
      </c>
      <c r="E417" s="104" t="s">
        <v>81</v>
      </c>
      <c r="F417" s="104" t="s">
        <v>82</v>
      </c>
      <c r="G417" s="104" t="s">
        <v>83</v>
      </c>
      <c r="H417" s="104" t="s">
        <v>84</v>
      </c>
      <c r="I417" s="104" t="s">
        <v>85</v>
      </c>
      <c r="J417" s="104" t="s">
        <v>86</v>
      </c>
      <c r="K417" s="104" t="s">
        <v>87</v>
      </c>
      <c r="L417" s="104" t="s">
        <v>88</v>
      </c>
      <c r="M417" s="104" t="s">
        <v>89</v>
      </c>
      <c r="N417" s="104" t="s">
        <v>90</v>
      </c>
      <c r="O417" s="104" t="s">
        <v>91</v>
      </c>
      <c r="P417" s="104" t="s">
        <v>92</v>
      </c>
      <c r="Q417" s="104" t="s">
        <v>93</v>
      </c>
      <c r="R417" s="97"/>
      <c r="S417" s="97"/>
      <c r="T417" s="97"/>
      <c r="U417" s="97"/>
      <c r="V417" s="97"/>
      <c r="W417" s="97"/>
      <c r="X417" s="97"/>
      <c r="Y417" s="97"/>
      <c r="Z417" s="97"/>
      <c r="AA417" s="97"/>
      <c r="AB417" s="97"/>
      <c r="AC417" s="97"/>
      <c r="AD417" s="97"/>
      <c r="AE417" s="97"/>
      <c r="AF417" s="97"/>
      <c r="AG417" s="97"/>
      <c r="AH417" s="97"/>
      <c r="AI417" s="97"/>
      <c r="AJ417" s="97"/>
      <c r="AK417" s="97"/>
      <c r="AL417" s="97"/>
      <c r="AM417" s="97"/>
      <c r="AN417" s="97"/>
      <c r="AO417" s="97"/>
      <c r="AP417" s="97"/>
      <c r="AQ417" s="97"/>
      <c r="AR417" s="97"/>
      <c r="AS417" s="97"/>
      <c r="AT417" s="97"/>
      <c r="AU417" s="97"/>
      <c r="AV417" s="97"/>
      <c r="AW417" s="97"/>
      <c r="AX417" s="97"/>
      <c r="AY417" s="97"/>
      <c r="AZ417" s="97"/>
      <c r="BA417" s="97"/>
      <c r="BB417" s="97"/>
      <c r="BC417" s="97"/>
      <c r="BD417" s="97"/>
      <c r="BE417" s="97"/>
      <c r="BF417" s="97"/>
      <c r="BG417" s="97"/>
      <c r="BH417" s="97"/>
      <c r="BI417" s="97"/>
      <c r="BJ417" s="97"/>
      <c r="BK417" s="97"/>
      <c r="BL417" s="97"/>
      <c r="BM417" s="97"/>
      <c r="BN417" s="97"/>
      <c r="BO417" s="97"/>
      <c r="BP417" s="97"/>
      <c r="BQ417" s="97"/>
      <c r="BR417" s="97"/>
      <c r="BS417" s="97"/>
      <c r="BT417" s="97"/>
      <c r="BU417" s="97"/>
      <c r="BV417" s="97"/>
      <c r="BW417" s="97"/>
      <c r="BX417" s="97"/>
      <c r="BY417" s="97"/>
      <c r="BZ417" s="97"/>
      <c r="CA417" s="97"/>
      <c r="CB417" s="97"/>
      <c r="CC417" s="97"/>
      <c r="CD417" s="97"/>
      <c r="CE417" s="97"/>
      <c r="CF417" s="97"/>
      <c r="CG417" s="97"/>
      <c r="CH417" s="97"/>
      <c r="CI417" s="97"/>
      <c r="CJ417" s="97"/>
      <c r="CK417" s="97"/>
      <c r="CL417" s="97"/>
      <c r="CM417" s="97"/>
      <c r="CN417" s="97"/>
      <c r="CO417" s="97"/>
      <c r="CP417" s="97"/>
      <c r="CQ417" s="97"/>
    </row>
    <row r="418" spans="1:95" ht="15" customHeight="1" outlineLevel="1">
      <c r="A418" s="97"/>
      <c r="B418" s="60" t="s">
        <v>94</v>
      </c>
      <c r="C418" s="130"/>
      <c r="D418" s="135"/>
      <c r="E418" s="129"/>
      <c r="F418" s="129"/>
      <c r="G418" s="129"/>
      <c r="H418" s="129"/>
      <c r="I418" s="129"/>
      <c r="J418" s="129"/>
      <c r="K418" s="129"/>
      <c r="L418" s="129"/>
      <c r="M418" s="129"/>
      <c r="N418" s="129"/>
      <c r="O418" s="129"/>
      <c r="P418" s="129"/>
      <c r="Q418" s="130"/>
      <c r="R418" s="97"/>
      <c r="S418" s="97"/>
      <c r="T418" s="97"/>
      <c r="U418" s="97"/>
      <c r="V418" s="97"/>
      <c r="W418" s="97"/>
      <c r="X418" s="97"/>
      <c r="Y418" s="97"/>
      <c r="Z418" s="97"/>
      <c r="AA418" s="97"/>
      <c r="AB418" s="97"/>
      <c r="AC418" s="97"/>
      <c r="AD418" s="97"/>
      <c r="AE418" s="97"/>
      <c r="AF418" s="97"/>
      <c r="AG418" s="97"/>
      <c r="AH418" s="97"/>
      <c r="AI418" s="97"/>
      <c r="AJ418" s="97"/>
      <c r="AK418" s="97"/>
      <c r="AL418" s="97"/>
      <c r="AM418" s="97"/>
      <c r="AN418" s="97"/>
      <c r="AO418" s="97"/>
      <c r="AP418" s="97"/>
      <c r="AQ418" s="97"/>
      <c r="AR418" s="97"/>
      <c r="AS418" s="97"/>
      <c r="AT418" s="97"/>
      <c r="AU418" s="97"/>
      <c r="AV418" s="97"/>
      <c r="AW418" s="97"/>
      <c r="AX418" s="97"/>
      <c r="AY418" s="97"/>
      <c r="AZ418" s="97"/>
      <c r="BA418" s="97"/>
      <c r="BB418" s="97"/>
      <c r="BC418" s="97"/>
      <c r="BD418" s="97"/>
      <c r="BE418" s="97"/>
      <c r="BF418" s="97"/>
      <c r="BG418" s="97"/>
      <c r="BH418" s="97"/>
      <c r="BI418" s="97"/>
      <c r="BJ418" s="97"/>
      <c r="BK418" s="97"/>
      <c r="BL418" s="97"/>
      <c r="BM418" s="97"/>
      <c r="BN418" s="97"/>
      <c r="BO418" s="97"/>
      <c r="BP418" s="97"/>
      <c r="BQ418" s="97"/>
      <c r="BR418" s="97"/>
      <c r="BS418" s="97"/>
      <c r="BT418" s="97"/>
      <c r="BU418" s="97"/>
      <c r="BV418" s="97"/>
      <c r="BW418" s="97"/>
      <c r="BX418" s="97"/>
      <c r="BY418" s="97"/>
      <c r="BZ418" s="97"/>
      <c r="CA418" s="97"/>
      <c r="CB418" s="97"/>
      <c r="CC418" s="97"/>
      <c r="CD418" s="97"/>
      <c r="CE418" s="97"/>
      <c r="CF418" s="97"/>
      <c r="CG418" s="97"/>
      <c r="CH418" s="97"/>
      <c r="CI418" s="97"/>
      <c r="CJ418" s="97"/>
      <c r="CK418" s="97"/>
      <c r="CL418" s="97"/>
      <c r="CM418" s="97"/>
      <c r="CN418" s="97"/>
      <c r="CO418" s="97"/>
      <c r="CP418" s="97"/>
      <c r="CQ418" s="97"/>
    </row>
    <row r="419" spans="1:95" ht="15" customHeight="1" outlineLevel="1">
      <c r="A419" s="97"/>
      <c r="B419" s="61" t="s">
        <v>80</v>
      </c>
      <c r="C419" s="136"/>
      <c r="D419" s="131">
        <f t="shared" ref="D419:Q419" si="120">Forecast_without_45_with_xx*Without_45_with_xx_amenity_value</f>
        <v>0</v>
      </c>
      <c r="E419" s="131">
        <f t="shared" si="120"/>
        <v>0</v>
      </c>
      <c r="F419" s="131">
        <f t="shared" si="120"/>
        <v>0</v>
      </c>
      <c r="G419" s="131">
        <f t="shared" si="120"/>
        <v>0</v>
      </c>
      <c r="H419" s="131">
        <f t="shared" si="120"/>
        <v>0</v>
      </c>
      <c r="I419" s="131">
        <f t="shared" si="120"/>
        <v>0</v>
      </c>
      <c r="J419" s="131">
        <f t="shared" si="120"/>
        <v>0</v>
      </c>
      <c r="K419" s="131">
        <f t="shared" si="120"/>
        <v>0</v>
      </c>
      <c r="L419" s="131">
        <f t="shared" si="120"/>
        <v>0</v>
      </c>
      <c r="M419" s="131">
        <f t="shared" si="120"/>
        <v>0</v>
      </c>
      <c r="N419" s="131">
        <f t="shared" si="120"/>
        <v>0</v>
      </c>
      <c r="O419" s="131">
        <f t="shared" si="120"/>
        <v>0</v>
      </c>
      <c r="P419" s="131">
        <f t="shared" si="120"/>
        <v>0</v>
      </c>
      <c r="Q419" s="131">
        <f t="shared" si="120"/>
        <v>0</v>
      </c>
      <c r="R419" s="22" t="s">
        <v>538</v>
      </c>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c r="AP419" s="97"/>
      <c r="AQ419" s="97"/>
      <c r="AR419" s="97"/>
      <c r="AS419" s="97"/>
      <c r="AT419" s="97"/>
      <c r="AU419" s="97"/>
      <c r="AV419" s="97"/>
      <c r="AW419" s="97"/>
      <c r="AX419" s="97"/>
      <c r="AY419" s="97"/>
      <c r="AZ419" s="97"/>
      <c r="BA419" s="97"/>
      <c r="BB419" s="97"/>
      <c r="BC419" s="97"/>
      <c r="BD419" s="97"/>
      <c r="BE419" s="97"/>
      <c r="BF419" s="97"/>
      <c r="BG419" s="97"/>
      <c r="BH419" s="97"/>
      <c r="BI419" s="97"/>
      <c r="BJ419" s="97"/>
      <c r="BK419" s="97"/>
      <c r="BL419" s="97"/>
      <c r="BM419" s="97"/>
      <c r="BN419" s="97"/>
      <c r="BO419" s="97"/>
      <c r="BP419" s="97"/>
      <c r="BQ419" s="97"/>
      <c r="BR419" s="97"/>
      <c r="BS419" s="97"/>
      <c r="BT419" s="97"/>
      <c r="BU419" s="97"/>
      <c r="BV419" s="97"/>
      <c r="BW419" s="97"/>
      <c r="BX419" s="97"/>
      <c r="BY419" s="97"/>
      <c r="BZ419" s="97"/>
      <c r="CA419" s="97"/>
      <c r="CB419" s="97"/>
      <c r="CC419" s="97"/>
      <c r="CD419" s="97"/>
      <c r="CE419" s="97"/>
      <c r="CF419" s="97"/>
      <c r="CG419" s="97"/>
      <c r="CH419" s="97"/>
      <c r="CI419" s="97"/>
      <c r="CJ419" s="97"/>
      <c r="CK419" s="97"/>
      <c r="CL419" s="97"/>
      <c r="CM419" s="97"/>
      <c r="CN419" s="97"/>
      <c r="CO419" s="97"/>
      <c r="CP419" s="97"/>
      <c r="CQ419" s="97"/>
    </row>
    <row r="420" spans="1:95" ht="15" customHeight="1" outlineLevel="1">
      <c r="A420" s="97"/>
      <c r="B420" s="104" t="s">
        <v>81</v>
      </c>
      <c r="C420" s="138"/>
      <c r="D420" s="131">
        <f t="shared" ref="D420:Q420" si="121">Forecast_without_45_48_with_xx*Without_45_48_with_xx_amenity_value</f>
        <v>0</v>
      </c>
      <c r="E420" s="131">
        <f t="shared" si="121"/>
        <v>0</v>
      </c>
      <c r="F420" s="131">
        <f t="shared" si="121"/>
        <v>0</v>
      </c>
      <c r="G420" s="131">
        <f t="shared" si="121"/>
        <v>0</v>
      </c>
      <c r="H420" s="131">
        <f t="shared" si="121"/>
        <v>0</v>
      </c>
      <c r="I420" s="131">
        <f t="shared" si="121"/>
        <v>0</v>
      </c>
      <c r="J420" s="131">
        <f t="shared" si="121"/>
        <v>0</v>
      </c>
      <c r="K420" s="131">
        <f t="shared" si="121"/>
        <v>0</v>
      </c>
      <c r="L420" s="131">
        <f t="shared" si="121"/>
        <v>0</v>
      </c>
      <c r="M420" s="131">
        <f t="shared" si="121"/>
        <v>0</v>
      </c>
      <c r="N420" s="131">
        <f t="shared" si="121"/>
        <v>0</v>
      </c>
      <c r="O420" s="131">
        <f t="shared" si="121"/>
        <v>0</v>
      </c>
      <c r="P420" s="131">
        <f t="shared" si="121"/>
        <v>0</v>
      </c>
      <c r="Q420" s="131">
        <f t="shared" si="121"/>
        <v>0</v>
      </c>
      <c r="R420" s="22" t="s">
        <v>539</v>
      </c>
      <c r="S420" s="97"/>
      <c r="T420" s="97"/>
      <c r="U420" s="97"/>
      <c r="V420" s="97"/>
      <c r="W420" s="97"/>
      <c r="X420" s="97"/>
      <c r="Y420" s="97"/>
      <c r="Z420" s="97"/>
      <c r="AA420" s="97"/>
      <c r="AB420" s="97"/>
      <c r="AC420" s="97"/>
      <c r="AD420" s="97"/>
      <c r="AE420" s="97"/>
      <c r="AF420" s="97"/>
      <c r="AG420" s="97"/>
      <c r="AH420" s="97"/>
      <c r="AI420" s="97"/>
      <c r="AJ420" s="97"/>
      <c r="AK420" s="97"/>
      <c r="AL420" s="97"/>
      <c r="AM420" s="97"/>
      <c r="AN420" s="97"/>
      <c r="AO420" s="97"/>
      <c r="AP420" s="97"/>
      <c r="AQ420" s="97"/>
      <c r="AR420" s="97"/>
      <c r="AS420" s="97"/>
      <c r="AT420" s="97"/>
      <c r="AU420" s="97"/>
      <c r="AV420" s="97"/>
      <c r="AW420" s="97"/>
      <c r="AX420" s="97"/>
      <c r="AY420" s="97"/>
      <c r="AZ420" s="97"/>
      <c r="BA420" s="97"/>
      <c r="BB420" s="97"/>
      <c r="BC420" s="97"/>
      <c r="BD420" s="97"/>
      <c r="BE420" s="97"/>
      <c r="BF420" s="97"/>
      <c r="BG420" s="97"/>
      <c r="BH420" s="97"/>
      <c r="BI420" s="97"/>
      <c r="BJ420" s="97"/>
      <c r="BK420" s="97"/>
      <c r="BL420" s="97"/>
      <c r="BM420" s="97"/>
      <c r="BN420" s="97"/>
      <c r="BO420" s="97"/>
      <c r="BP420" s="97"/>
      <c r="BQ420" s="97"/>
      <c r="BR420" s="97"/>
      <c r="BS420" s="97"/>
      <c r="BT420" s="97"/>
      <c r="BU420" s="97"/>
      <c r="BV420" s="97"/>
      <c r="BW420" s="97"/>
      <c r="BX420" s="97"/>
      <c r="BY420" s="97"/>
      <c r="BZ420" s="97"/>
      <c r="CA420" s="97"/>
      <c r="CB420" s="97"/>
      <c r="CC420" s="97"/>
      <c r="CD420" s="97"/>
      <c r="CE420" s="97"/>
      <c r="CF420" s="97"/>
      <c r="CG420" s="97"/>
      <c r="CH420" s="97"/>
      <c r="CI420" s="97"/>
      <c r="CJ420" s="97"/>
      <c r="CK420" s="97"/>
      <c r="CL420" s="97"/>
      <c r="CM420" s="97"/>
      <c r="CN420" s="97"/>
      <c r="CO420" s="97"/>
      <c r="CP420" s="97"/>
      <c r="CQ420" s="97"/>
    </row>
    <row r="421" spans="1:95" ht="15" customHeight="1" outlineLevel="1">
      <c r="A421" s="97"/>
      <c r="B421" s="104" t="s">
        <v>82</v>
      </c>
      <c r="C421" s="138"/>
      <c r="D421" s="131">
        <f t="shared" ref="D421:Q421" si="122">Forecast_without_48_51_with_xx*Without_48_51_with_xx_amenity_value</f>
        <v>0</v>
      </c>
      <c r="E421" s="131">
        <f t="shared" si="122"/>
        <v>0</v>
      </c>
      <c r="F421" s="131">
        <f t="shared" si="122"/>
        <v>0</v>
      </c>
      <c r="G421" s="131">
        <f t="shared" si="122"/>
        <v>0</v>
      </c>
      <c r="H421" s="131">
        <f t="shared" si="122"/>
        <v>0</v>
      </c>
      <c r="I421" s="131">
        <f t="shared" si="122"/>
        <v>0</v>
      </c>
      <c r="J421" s="131">
        <f t="shared" si="122"/>
        <v>0</v>
      </c>
      <c r="K421" s="131">
        <f t="shared" si="122"/>
        <v>0</v>
      </c>
      <c r="L421" s="131">
        <f t="shared" si="122"/>
        <v>0</v>
      </c>
      <c r="M421" s="131">
        <f t="shared" si="122"/>
        <v>0</v>
      </c>
      <c r="N421" s="131">
        <f t="shared" si="122"/>
        <v>0</v>
      </c>
      <c r="O421" s="131">
        <f t="shared" si="122"/>
        <v>0</v>
      </c>
      <c r="P421" s="131">
        <f t="shared" si="122"/>
        <v>0</v>
      </c>
      <c r="Q421" s="131">
        <f t="shared" si="122"/>
        <v>0</v>
      </c>
      <c r="R421" s="22" t="s">
        <v>540</v>
      </c>
      <c r="S421" s="97"/>
      <c r="T421" s="97"/>
      <c r="U421" s="97"/>
      <c r="V421" s="97"/>
      <c r="W421" s="97"/>
      <c r="X421" s="97"/>
      <c r="Y421" s="97"/>
      <c r="Z421" s="97"/>
      <c r="AA421" s="97"/>
      <c r="AB421" s="97"/>
      <c r="AC421" s="97"/>
      <c r="AD421" s="97"/>
      <c r="AE421" s="97"/>
      <c r="AF421" s="97"/>
      <c r="AG421" s="97"/>
      <c r="AH421" s="97"/>
      <c r="AI421" s="97"/>
      <c r="AJ421" s="97"/>
      <c r="AK421" s="97"/>
      <c r="AL421" s="97"/>
      <c r="AM421" s="97"/>
      <c r="AN421" s="97"/>
      <c r="AO421" s="97"/>
      <c r="AP421" s="97"/>
      <c r="AQ421" s="97"/>
      <c r="AR421" s="97"/>
      <c r="AS421" s="97"/>
      <c r="AT421" s="97"/>
      <c r="AU421" s="97"/>
      <c r="AV421" s="97"/>
      <c r="AW421" s="97"/>
      <c r="AX421" s="97"/>
      <c r="AY421" s="97"/>
      <c r="AZ421" s="97"/>
      <c r="BA421" s="97"/>
      <c r="BB421" s="97"/>
      <c r="BC421" s="97"/>
      <c r="BD421" s="97"/>
      <c r="BE421" s="97"/>
      <c r="BF421" s="97"/>
      <c r="BG421" s="97"/>
      <c r="BH421" s="97"/>
      <c r="BI421" s="97"/>
      <c r="BJ421" s="97"/>
      <c r="BK421" s="97"/>
      <c r="BL421" s="97"/>
      <c r="BM421" s="97"/>
      <c r="BN421" s="97"/>
      <c r="BO421" s="97"/>
      <c r="BP421" s="97"/>
      <c r="BQ421" s="97"/>
      <c r="BR421" s="97"/>
      <c r="BS421" s="97"/>
      <c r="BT421" s="97"/>
      <c r="BU421" s="97"/>
      <c r="BV421" s="97"/>
      <c r="BW421" s="97"/>
      <c r="BX421" s="97"/>
      <c r="BY421" s="97"/>
      <c r="BZ421" s="97"/>
      <c r="CA421" s="97"/>
      <c r="CB421" s="97"/>
      <c r="CC421" s="97"/>
      <c r="CD421" s="97"/>
      <c r="CE421" s="97"/>
      <c r="CF421" s="97"/>
      <c r="CG421" s="97"/>
      <c r="CH421" s="97"/>
      <c r="CI421" s="97"/>
      <c r="CJ421" s="97"/>
      <c r="CK421" s="97"/>
      <c r="CL421" s="97"/>
      <c r="CM421" s="97"/>
      <c r="CN421" s="97"/>
      <c r="CO421" s="97"/>
      <c r="CP421" s="97"/>
      <c r="CQ421" s="97"/>
    </row>
    <row r="422" spans="1:95" ht="15" customHeight="1" outlineLevel="1">
      <c r="A422" s="97"/>
      <c r="B422" s="104" t="s">
        <v>83</v>
      </c>
      <c r="C422" s="138"/>
      <c r="D422" s="131">
        <f t="shared" ref="D422:Q422" si="123">Forecast_without_51_54_with_xx*Without_51_54_with_xx_amenity_value</f>
        <v>0</v>
      </c>
      <c r="E422" s="131">
        <f t="shared" si="123"/>
        <v>0</v>
      </c>
      <c r="F422" s="131">
        <f t="shared" si="123"/>
        <v>0</v>
      </c>
      <c r="G422" s="131">
        <f t="shared" si="123"/>
        <v>0</v>
      </c>
      <c r="H422" s="131">
        <f t="shared" si="123"/>
        <v>0</v>
      </c>
      <c r="I422" s="131">
        <f t="shared" si="123"/>
        <v>0</v>
      </c>
      <c r="J422" s="131">
        <f t="shared" si="123"/>
        <v>0</v>
      </c>
      <c r="K422" s="131">
        <f t="shared" si="123"/>
        <v>0</v>
      </c>
      <c r="L422" s="131">
        <f t="shared" si="123"/>
        <v>0</v>
      </c>
      <c r="M422" s="131">
        <f t="shared" si="123"/>
        <v>0</v>
      </c>
      <c r="N422" s="131">
        <f t="shared" si="123"/>
        <v>0</v>
      </c>
      <c r="O422" s="131">
        <f t="shared" si="123"/>
        <v>0</v>
      </c>
      <c r="P422" s="131">
        <f t="shared" si="123"/>
        <v>0</v>
      </c>
      <c r="Q422" s="131">
        <f t="shared" si="123"/>
        <v>0</v>
      </c>
      <c r="R422" s="22" t="s">
        <v>541</v>
      </c>
      <c r="S422" s="97"/>
      <c r="T422" s="97"/>
      <c r="U422" s="97"/>
      <c r="V422" s="97"/>
      <c r="W422" s="97"/>
      <c r="X422" s="97"/>
      <c r="Y422" s="97"/>
      <c r="Z422" s="97"/>
      <c r="AA422" s="97"/>
      <c r="AB422" s="97"/>
      <c r="AC422" s="97"/>
      <c r="AD422" s="97"/>
      <c r="AE422" s="97"/>
      <c r="AF422" s="97"/>
      <c r="AG422" s="97"/>
      <c r="AH422" s="97"/>
      <c r="AI422" s="97"/>
      <c r="AJ422" s="97"/>
      <c r="AK422" s="97"/>
      <c r="AL422" s="97"/>
      <c r="AM422" s="97"/>
      <c r="AN422" s="97"/>
      <c r="AO422" s="97"/>
      <c r="AP422" s="97"/>
      <c r="AQ422" s="97"/>
      <c r="AR422" s="97"/>
      <c r="AS422" s="97"/>
      <c r="AT422" s="97"/>
      <c r="AU422" s="97"/>
      <c r="AV422" s="97"/>
      <c r="AW422" s="97"/>
      <c r="AX422" s="97"/>
      <c r="AY422" s="97"/>
      <c r="AZ422" s="97"/>
      <c r="BA422" s="97"/>
      <c r="BB422" s="97"/>
      <c r="BC422" s="97"/>
      <c r="BD422" s="97"/>
      <c r="BE422" s="97"/>
      <c r="BF422" s="97"/>
      <c r="BG422" s="97"/>
      <c r="BH422" s="97"/>
      <c r="BI422" s="97"/>
      <c r="BJ422" s="97"/>
      <c r="BK422" s="97"/>
      <c r="BL422" s="97"/>
      <c r="BM422" s="97"/>
      <c r="BN422" s="97"/>
      <c r="BO422" s="97"/>
      <c r="BP422" s="97"/>
      <c r="BQ422" s="97"/>
      <c r="BR422" s="97"/>
      <c r="BS422" s="97"/>
      <c r="BT422" s="97"/>
      <c r="BU422" s="97"/>
      <c r="BV422" s="97"/>
      <c r="BW422" s="97"/>
      <c r="BX422" s="97"/>
      <c r="BY422" s="97"/>
      <c r="BZ422" s="97"/>
      <c r="CA422" s="97"/>
      <c r="CB422" s="97"/>
      <c r="CC422" s="97"/>
      <c r="CD422" s="97"/>
      <c r="CE422" s="97"/>
      <c r="CF422" s="97"/>
      <c r="CG422" s="97"/>
      <c r="CH422" s="97"/>
      <c r="CI422" s="97"/>
      <c r="CJ422" s="97"/>
      <c r="CK422" s="97"/>
      <c r="CL422" s="97"/>
      <c r="CM422" s="97"/>
      <c r="CN422" s="97"/>
      <c r="CO422" s="97"/>
      <c r="CP422" s="97"/>
      <c r="CQ422" s="97"/>
    </row>
    <row r="423" spans="1:95" ht="15" customHeight="1" outlineLevel="1">
      <c r="A423" s="97"/>
      <c r="B423" s="104" t="s">
        <v>84</v>
      </c>
      <c r="C423" s="138"/>
      <c r="D423" s="131">
        <f t="shared" ref="D423:Q423" si="124">Forecast_without_54_57_with_xx*Without_54_57_with_xx_amenity_value</f>
        <v>0</v>
      </c>
      <c r="E423" s="131">
        <f t="shared" si="124"/>
        <v>0</v>
      </c>
      <c r="F423" s="131">
        <f t="shared" si="124"/>
        <v>0</v>
      </c>
      <c r="G423" s="131">
        <f t="shared" si="124"/>
        <v>0</v>
      </c>
      <c r="H423" s="131">
        <f t="shared" si="124"/>
        <v>0</v>
      </c>
      <c r="I423" s="131">
        <f t="shared" si="124"/>
        <v>0</v>
      </c>
      <c r="J423" s="131">
        <f t="shared" si="124"/>
        <v>0</v>
      </c>
      <c r="K423" s="131">
        <f t="shared" si="124"/>
        <v>0</v>
      </c>
      <c r="L423" s="131">
        <f t="shared" si="124"/>
        <v>0</v>
      </c>
      <c r="M423" s="131">
        <f t="shared" si="124"/>
        <v>0</v>
      </c>
      <c r="N423" s="131">
        <f t="shared" si="124"/>
        <v>0</v>
      </c>
      <c r="O423" s="131">
        <f t="shared" si="124"/>
        <v>0</v>
      </c>
      <c r="P423" s="131">
        <f t="shared" si="124"/>
        <v>0</v>
      </c>
      <c r="Q423" s="131">
        <f t="shared" si="124"/>
        <v>0</v>
      </c>
      <c r="R423" s="22" t="s">
        <v>542</v>
      </c>
      <c r="S423" s="97"/>
      <c r="T423" s="97"/>
      <c r="U423" s="97"/>
      <c r="V423" s="97"/>
      <c r="W423" s="97"/>
      <c r="X423" s="97"/>
      <c r="Y423" s="97"/>
      <c r="Z423" s="97"/>
      <c r="AA423" s="97"/>
      <c r="AB423" s="97"/>
      <c r="AC423" s="97"/>
      <c r="AD423" s="97"/>
      <c r="AE423" s="97"/>
      <c r="AF423" s="97"/>
      <c r="AG423" s="97"/>
      <c r="AH423" s="97"/>
      <c r="AI423" s="97"/>
      <c r="AJ423" s="97"/>
      <c r="AK423" s="97"/>
      <c r="AL423" s="97"/>
      <c r="AM423" s="97"/>
      <c r="AN423" s="97"/>
      <c r="AO423" s="97"/>
      <c r="AP423" s="97"/>
      <c r="AQ423" s="97"/>
      <c r="AR423" s="97"/>
      <c r="AS423" s="97"/>
      <c r="AT423" s="97"/>
      <c r="AU423" s="97"/>
      <c r="AV423" s="97"/>
      <c r="AW423" s="97"/>
      <c r="AX423" s="97"/>
      <c r="AY423" s="97"/>
      <c r="AZ423" s="97"/>
      <c r="BA423" s="97"/>
      <c r="BB423" s="97"/>
      <c r="BC423" s="97"/>
      <c r="BD423" s="97"/>
      <c r="BE423" s="97"/>
      <c r="BF423" s="97"/>
      <c r="BG423" s="97"/>
      <c r="BH423" s="97"/>
      <c r="BI423" s="97"/>
      <c r="BJ423" s="97"/>
      <c r="BK423" s="97"/>
      <c r="BL423" s="97"/>
      <c r="BM423" s="97"/>
      <c r="BN423" s="97"/>
      <c r="BO423" s="97"/>
      <c r="BP423" s="97"/>
      <c r="BQ423" s="97"/>
      <c r="BR423" s="97"/>
      <c r="BS423" s="97"/>
      <c r="BT423" s="97"/>
      <c r="BU423" s="97"/>
      <c r="BV423" s="97"/>
      <c r="BW423" s="97"/>
      <c r="BX423" s="97"/>
      <c r="BY423" s="97"/>
      <c r="BZ423" s="97"/>
      <c r="CA423" s="97"/>
      <c r="CB423" s="97"/>
      <c r="CC423" s="97"/>
      <c r="CD423" s="97"/>
      <c r="CE423" s="97"/>
      <c r="CF423" s="97"/>
      <c r="CG423" s="97"/>
      <c r="CH423" s="97"/>
      <c r="CI423" s="97"/>
      <c r="CJ423" s="97"/>
      <c r="CK423" s="97"/>
      <c r="CL423" s="97"/>
      <c r="CM423" s="97"/>
      <c r="CN423" s="97"/>
      <c r="CO423" s="97"/>
      <c r="CP423" s="97"/>
      <c r="CQ423" s="97"/>
    </row>
    <row r="424" spans="1:95" ht="15" customHeight="1" outlineLevel="1">
      <c r="A424" s="97"/>
      <c r="B424" s="104" t="s">
        <v>85</v>
      </c>
      <c r="C424" s="138"/>
      <c r="D424" s="131">
        <f t="shared" ref="D424:Q424" si="125">Forecast_without_57_60_with_xx*Without_57_60_with_xx_amenity_value</f>
        <v>0</v>
      </c>
      <c r="E424" s="131">
        <f t="shared" si="125"/>
        <v>0</v>
      </c>
      <c r="F424" s="131">
        <f t="shared" si="125"/>
        <v>0</v>
      </c>
      <c r="G424" s="131">
        <f t="shared" si="125"/>
        <v>0</v>
      </c>
      <c r="H424" s="131">
        <f t="shared" si="125"/>
        <v>0</v>
      </c>
      <c r="I424" s="131">
        <f t="shared" si="125"/>
        <v>0</v>
      </c>
      <c r="J424" s="131">
        <f t="shared" si="125"/>
        <v>0</v>
      </c>
      <c r="K424" s="131">
        <f t="shared" si="125"/>
        <v>0</v>
      </c>
      <c r="L424" s="131">
        <f t="shared" si="125"/>
        <v>0</v>
      </c>
      <c r="M424" s="131">
        <f t="shared" si="125"/>
        <v>0</v>
      </c>
      <c r="N424" s="131">
        <f t="shared" si="125"/>
        <v>0</v>
      </c>
      <c r="O424" s="131">
        <f t="shared" si="125"/>
        <v>0</v>
      </c>
      <c r="P424" s="131">
        <f t="shared" si="125"/>
        <v>0</v>
      </c>
      <c r="Q424" s="131">
        <f t="shared" si="125"/>
        <v>0</v>
      </c>
      <c r="R424" s="22" t="s">
        <v>543</v>
      </c>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L424" s="97"/>
      <c r="BM424" s="97"/>
      <c r="BN424" s="97"/>
      <c r="BO424" s="97"/>
      <c r="BP424" s="97"/>
      <c r="BQ424" s="97"/>
      <c r="BR424" s="97"/>
      <c r="BS424" s="97"/>
      <c r="BT424" s="97"/>
      <c r="BU424" s="97"/>
      <c r="BV424" s="97"/>
      <c r="BW424" s="97"/>
      <c r="BX424" s="97"/>
      <c r="BY424" s="97"/>
      <c r="BZ424" s="97"/>
      <c r="CA424" s="97"/>
      <c r="CB424" s="97"/>
      <c r="CC424" s="97"/>
      <c r="CD424" s="97"/>
      <c r="CE424" s="97"/>
      <c r="CF424" s="97"/>
      <c r="CG424" s="97"/>
      <c r="CH424" s="97"/>
      <c r="CI424" s="97"/>
      <c r="CJ424" s="97"/>
      <c r="CK424" s="97"/>
      <c r="CL424" s="97"/>
      <c r="CM424" s="97"/>
      <c r="CN424" s="97"/>
      <c r="CO424" s="97"/>
      <c r="CP424" s="97"/>
      <c r="CQ424" s="97"/>
    </row>
    <row r="425" spans="1:95" ht="15" customHeight="1" outlineLevel="1">
      <c r="A425" s="97"/>
      <c r="B425" s="104" t="s">
        <v>86</v>
      </c>
      <c r="C425" s="138"/>
      <c r="D425" s="131">
        <f t="shared" ref="D425:Q425" si="126">Forecast_without_60_63_with_xx*Without_60_63_with_xx_amenity_value</f>
        <v>0</v>
      </c>
      <c r="E425" s="131">
        <f t="shared" si="126"/>
        <v>0</v>
      </c>
      <c r="F425" s="131">
        <f t="shared" si="126"/>
        <v>0</v>
      </c>
      <c r="G425" s="131">
        <f t="shared" si="126"/>
        <v>0</v>
      </c>
      <c r="H425" s="131">
        <f t="shared" si="126"/>
        <v>0</v>
      </c>
      <c r="I425" s="131">
        <f t="shared" si="126"/>
        <v>0</v>
      </c>
      <c r="J425" s="131">
        <f t="shared" si="126"/>
        <v>0</v>
      </c>
      <c r="K425" s="131">
        <f t="shared" si="126"/>
        <v>0</v>
      </c>
      <c r="L425" s="131">
        <f t="shared" si="126"/>
        <v>0</v>
      </c>
      <c r="M425" s="131">
        <f t="shared" si="126"/>
        <v>0</v>
      </c>
      <c r="N425" s="131">
        <f t="shared" si="126"/>
        <v>0</v>
      </c>
      <c r="O425" s="131">
        <f t="shared" si="126"/>
        <v>0</v>
      </c>
      <c r="P425" s="131">
        <f t="shared" si="126"/>
        <v>0</v>
      </c>
      <c r="Q425" s="131">
        <f t="shared" si="126"/>
        <v>0</v>
      </c>
      <c r="R425" s="22" t="s">
        <v>544</v>
      </c>
      <c r="S425" s="97"/>
      <c r="T425" s="97"/>
      <c r="U425" s="97"/>
      <c r="V425" s="97"/>
      <c r="W425" s="97"/>
      <c r="X425" s="97"/>
      <c r="Y425" s="97"/>
      <c r="Z425" s="97"/>
      <c r="AA425" s="97"/>
      <c r="AB425" s="97"/>
      <c r="AC425" s="97"/>
      <c r="AD425" s="97"/>
      <c r="AE425" s="97"/>
      <c r="AF425" s="97"/>
      <c r="AG425" s="97"/>
      <c r="AH425" s="97"/>
      <c r="AI425" s="97"/>
      <c r="AJ425" s="97"/>
      <c r="AK425" s="97"/>
      <c r="AL425" s="97"/>
      <c r="AM425" s="97"/>
      <c r="AN425" s="97"/>
      <c r="AO425" s="97"/>
      <c r="AP425" s="97"/>
      <c r="AQ425" s="97"/>
      <c r="AR425" s="97"/>
      <c r="AS425" s="97"/>
      <c r="AT425" s="97"/>
      <c r="AU425" s="97"/>
      <c r="AV425" s="97"/>
      <c r="AW425" s="97"/>
      <c r="AX425" s="97"/>
      <c r="AY425" s="97"/>
      <c r="AZ425" s="97"/>
      <c r="BA425" s="97"/>
      <c r="BB425" s="97"/>
      <c r="BC425" s="97"/>
      <c r="BD425" s="97"/>
      <c r="BE425" s="97"/>
      <c r="BF425" s="97"/>
      <c r="BG425" s="97"/>
      <c r="BH425" s="97"/>
      <c r="BI425" s="97"/>
      <c r="BJ425" s="97"/>
      <c r="BK425" s="97"/>
      <c r="BL425" s="97"/>
      <c r="BM425" s="97"/>
      <c r="BN425" s="97"/>
      <c r="BO425" s="97"/>
      <c r="BP425" s="97"/>
      <c r="BQ425" s="97"/>
      <c r="BR425" s="97"/>
      <c r="BS425" s="97"/>
      <c r="BT425" s="97"/>
      <c r="BU425" s="97"/>
      <c r="BV425" s="97"/>
      <c r="BW425" s="97"/>
      <c r="BX425" s="97"/>
      <c r="BY425" s="97"/>
      <c r="BZ425" s="97"/>
      <c r="CA425" s="97"/>
      <c r="CB425" s="97"/>
      <c r="CC425" s="97"/>
      <c r="CD425" s="97"/>
      <c r="CE425" s="97"/>
      <c r="CF425" s="97"/>
      <c r="CG425" s="97"/>
      <c r="CH425" s="97"/>
      <c r="CI425" s="97"/>
      <c r="CJ425" s="97"/>
      <c r="CK425" s="97"/>
      <c r="CL425" s="97"/>
      <c r="CM425" s="97"/>
      <c r="CN425" s="97"/>
      <c r="CO425" s="97"/>
      <c r="CP425" s="97"/>
      <c r="CQ425" s="97"/>
    </row>
    <row r="426" spans="1:95" ht="15" customHeight="1" outlineLevel="1">
      <c r="A426" s="97"/>
      <c r="B426" s="104" t="s">
        <v>87</v>
      </c>
      <c r="C426" s="138"/>
      <c r="D426" s="131">
        <f t="shared" ref="D426:Q426" si="127">Forecast_without_63_66_with_xx*Without_63_66_with_xx_amenity_value</f>
        <v>0</v>
      </c>
      <c r="E426" s="131">
        <f t="shared" si="127"/>
        <v>0</v>
      </c>
      <c r="F426" s="131">
        <f t="shared" si="127"/>
        <v>0</v>
      </c>
      <c r="G426" s="131">
        <f t="shared" si="127"/>
        <v>0</v>
      </c>
      <c r="H426" s="131">
        <f t="shared" si="127"/>
        <v>0</v>
      </c>
      <c r="I426" s="131">
        <f t="shared" si="127"/>
        <v>0</v>
      </c>
      <c r="J426" s="131">
        <f t="shared" si="127"/>
        <v>0</v>
      </c>
      <c r="K426" s="131">
        <f t="shared" si="127"/>
        <v>0</v>
      </c>
      <c r="L426" s="131">
        <f t="shared" si="127"/>
        <v>0</v>
      </c>
      <c r="M426" s="131">
        <f t="shared" si="127"/>
        <v>0</v>
      </c>
      <c r="N426" s="131">
        <f t="shared" si="127"/>
        <v>0</v>
      </c>
      <c r="O426" s="131">
        <f t="shared" si="127"/>
        <v>0</v>
      </c>
      <c r="P426" s="131">
        <f t="shared" si="127"/>
        <v>0</v>
      </c>
      <c r="Q426" s="131">
        <f t="shared" si="127"/>
        <v>0</v>
      </c>
      <c r="R426" s="22" t="s">
        <v>545</v>
      </c>
      <c r="S426" s="97"/>
      <c r="T426" s="97"/>
      <c r="U426" s="97"/>
      <c r="V426" s="97"/>
      <c r="W426" s="97"/>
      <c r="X426" s="97"/>
      <c r="Y426" s="97"/>
      <c r="Z426" s="97"/>
      <c r="AA426" s="97"/>
      <c r="AB426" s="97"/>
      <c r="AC426" s="97"/>
      <c r="AD426" s="97"/>
      <c r="AE426" s="97"/>
      <c r="AF426" s="97"/>
      <c r="AG426" s="97"/>
      <c r="AH426" s="97"/>
      <c r="AI426" s="97"/>
      <c r="AJ426" s="97"/>
      <c r="AK426" s="97"/>
      <c r="AL426" s="97"/>
      <c r="AM426" s="97"/>
      <c r="AN426" s="97"/>
      <c r="AO426" s="97"/>
      <c r="AP426" s="97"/>
      <c r="AQ426" s="97"/>
      <c r="AR426" s="97"/>
      <c r="AS426" s="97"/>
      <c r="AT426" s="97"/>
      <c r="AU426" s="97"/>
      <c r="AV426" s="97"/>
      <c r="AW426" s="97"/>
      <c r="AX426" s="97"/>
      <c r="AY426" s="97"/>
      <c r="AZ426" s="97"/>
      <c r="BA426" s="97"/>
      <c r="BB426" s="97"/>
      <c r="BC426" s="97"/>
      <c r="BD426" s="97"/>
      <c r="BE426" s="97"/>
      <c r="BF426" s="97"/>
      <c r="BG426" s="97"/>
      <c r="BH426" s="97"/>
      <c r="BI426" s="97"/>
      <c r="BJ426" s="97"/>
      <c r="BK426" s="97"/>
      <c r="BL426" s="97"/>
      <c r="BM426" s="97"/>
      <c r="BN426" s="97"/>
      <c r="BO426" s="97"/>
      <c r="BP426" s="97"/>
      <c r="BQ426" s="97"/>
      <c r="BR426" s="97"/>
      <c r="BS426" s="97"/>
      <c r="BT426" s="97"/>
      <c r="BU426" s="97"/>
      <c r="BV426" s="97"/>
      <c r="BW426" s="97"/>
      <c r="BX426" s="97"/>
      <c r="BY426" s="97"/>
      <c r="BZ426" s="97"/>
      <c r="CA426" s="97"/>
      <c r="CB426" s="97"/>
      <c r="CC426" s="97"/>
      <c r="CD426" s="97"/>
      <c r="CE426" s="97"/>
      <c r="CF426" s="97"/>
      <c r="CG426" s="97"/>
      <c r="CH426" s="97"/>
      <c r="CI426" s="97"/>
      <c r="CJ426" s="97"/>
      <c r="CK426" s="97"/>
      <c r="CL426" s="97"/>
      <c r="CM426" s="97"/>
      <c r="CN426" s="97"/>
      <c r="CO426" s="97"/>
      <c r="CP426" s="97"/>
      <c r="CQ426" s="97"/>
    </row>
    <row r="427" spans="1:95" ht="15" customHeight="1" outlineLevel="1">
      <c r="A427" s="97"/>
      <c r="B427" s="104" t="s">
        <v>88</v>
      </c>
      <c r="C427" s="138"/>
      <c r="D427" s="131">
        <f t="shared" ref="D427:Q427" si="128">Forecast_without_66_69_with_xx*Without_66_69_with_xx_amenity_value</f>
        <v>0</v>
      </c>
      <c r="E427" s="131">
        <f t="shared" si="128"/>
        <v>0</v>
      </c>
      <c r="F427" s="131">
        <f t="shared" si="128"/>
        <v>0</v>
      </c>
      <c r="G427" s="131">
        <f t="shared" si="128"/>
        <v>0</v>
      </c>
      <c r="H427" s="131">
        <f t="shared" si="128"/>
        <v>0</v>
      </c>
      <c r="I427" s="131">
        <f t="shared" si="128"/>
        <v>0</v>
      </c>
      <c r="J427" s="131">
        <f t="shared" si="128"/>
        <v>0</v>
      </c>
      <c r="K427" s="131">
        <f t="shared" si="128"/>
        <v>0</v>
      </c>
      <c r="L427" s="131">
        <f t="shared" si="128"/>
        <v>0</v>
      </c>
      <c r="M427" s="131">
        <f t="shared" si="128"/>
        <v>0</v>
      </c>
      <c r="N427" s="131">
        <f t="shared" si="128"/>
        <v>0</v>
      </c>
      <c r="O427" s="131">
        <f t="shared" si="128"/>
        <v>0</v>
      </c>
      <c r="P427" s="131">
        <f t="shared" si="128"/>
        <v>0</v>
      </c>
      <c r="Q427" s="131">
        <f t="shared" si="128"/>
        <v>0</v>
      </c>
      <c r="R427" s="22" t="s">
        <v>546</v>
      </c>
      <c r="S427" s="97"/>
      <c r="T427" s="97"/>
      <c r="U427" s="97"/>
      <c r="V427" s="97"/>
      <c r="W427" s="97"/>
      <c r="X427" s="97"/>
      <c r="Y427" s="97"/>
      <c r="Z427" s="97"/>
      <c r="AA427" s="97"/>
      <c r="AB427" s="97"/>
      <c r="AC427" s="97"/>
      <c r="AD427" s="97"/>
      <c r="AE427" s="97"/>
      <c r="AF427" s="97"/>
      <c r="AG427" s="97"/>
      <c r="AH427" s="97"/>
      <c r="AI427" s="97"/>
      <c r="AJ427" s="97"/>
      <c r="AK427" s="97"/>
      <c r="AL427" s="97"/>
      <c r="AM427" s="97"/>
      <c r="AN427" s="97"/>
      <c r="AO427" s="97"/>
      <c r="AP427" s="97"/>
      <c r="AQ427" s="97"/>
      <c r="AR427" s="97"/>
      <c r="AS427" s="97"/>
      <c r="AT427" s="97"/>
      <c r="AU427" s="97"/>
      <c r="AV427" s="97"/>
      <c r="AW427" s="97"/>
      <c r="AX427" s="97"/>
      <c r="AY427" s="97"/>
      <c r="AZ427" s="97"/>
      <c r="BA427" s="97"/>
      <c r="BB427" s="97"/>
      <c r="BC427" s="97"/>
      <c r="BD427" s="97"/>
      <c r="BE427" s="97"/>
      <c r="BF427" s="97"/>
      <c r="BG427" s="97"/>
      <c r="BH427" s="97"/>
      <c r="BI427" s="97"/>
      <c r="BJ427" s="97"/>
      <c r="BK427" s="97"/>
      <c r="BL427" s="97"/>
      <c r="BM427" s="97"/>
      <c r="BN427" s="97"/>
      <c r="BO427" s="97"/>
      <c r="BP427" s="97"/>
      <c r="BQ427" s="97"/>
      <c r="BR427" s="97"/>
      <c r="BS427" s="97"/>
      <c r="BT427" s="97"/>
      <c r="BU427" s="97"/>
      <c r="BV427" s="97"/>
      <c r="BW427" s="97"/>
      <c r="BX427" s="97"/>
      <c r="BY427" s="97"/>
      <c r="BZ427" s="97"/>
      <c r="CA427" s="97"/>
      <c r="CB427" s="97"/>
      <c r="CC427" s="97"/>
      <c r="CD427" s="97"/>
      <c r="CE427" s="97"/>
      <c r="CF427" s="97"/>
      <c r="CG427" s="97"/>
      <c r="CH427" s="97"/>
      <c r="CI427" s="97"/>
      <c r="CJ427" s="97"/>
      <c r="CK427" s="97"/>
      <c r="CL427" s="97"/>
      <c r="CM427" s="97"/>
      <c r="CN427" s="97"/>
      <c r="CO427" s="97"/>
      <c r="CP427" s="97"/>
      <c r="CQ427" s="97"/>
    </row>
    <row r="428" spans="1:95" ht="15" customHeight="1" outlineLevel="1">
      <c r="A428" s="97"/>
      <c r="B428" s="104" t="s">
        <v>89</v>
      </c>
      <c r="C428" s="138"/>
      <c r="D428" s="131">
        <f t="shared" ref="D428:Q428" si="129">Forecast_without_69_72_with_xx*Without_69_72_with_xx_amenity_value</f>
        <v>0</v>
      </c>
      <c r="E428" s="131">
        <f t="shared" si="129"/>
        <v>0</v>
      </c>
      <c r="F428" s="131">
        <f t="shared" si="129"/>
        <v>0</v>
      </c>
      <c r="G428" s="131">
        <f t="shared" si="129"/>
        <v>0</v>
      </c>
      <c r="H428" s="131">
        <f t="shared" si="129"/>
        <v>0</v>
      </c>
      <c r="I428" s="131">
        <f t="shared" si="129"/>
        <v>0</v>
      </c>
      <c r="J428" s="131">
        <f t="shared" si="129"/>
        <v>0</v>
      </c>
      <c r="K428" s="131">
        <f t="shared" si="129"/>
        <v>0</v>
      </c>
      <c r="L428" s="131">
        <f t="shared" si="129"/>
        <v>0</v>
      </c>
      <c r="M428" s="131">
        <f t="shared" si="129"/>
        <v>0</v>
      </c>
      <c r="N428" s="131">
        <f t="shared" si="129"/>
        <v>0</v>
      </c>
      <c r="O428" s="131">
        <f t="shared" si="129"/>
        <v>0</v>
      </c>
      <c r="P428" s="131">
        <f t="shared" si="129"/>
        <v>0</v>
      </c>
      <c r="Q428" s="131">
        <f t="shared" si="129"/>
        <v>0</v>
      </c>
      <c r="R428" s="22" t="s">
        <v>547</v>
      </c>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7"/>
      <c r="AY428" s="97"/>
      <c r="AZ428" s="97"/>
      <c r="BA428" s="97"/>
      <c r="BB428" s="97"/>
      <c r="BC428" s="97"/>
      <c r="BD428" s="97"/>
      <c r="BE428" s="97"/>
      <c r="BF428" s="97"/>
      <c r="BG428" s="97"/>
      <c r="BH428" s="97"/>
      <c r="BI428" s="97"/>
      <c r="BJ428" s="97"/>
      <c r="BK428" s="97"/>
      <c r="BL428" s="97"/>
      <c r="BM428" s="97"/>
      <c r="BN428" s="97"/>
      <c r="BO428" s="97"/>
      <c r="BP428" s="97"/>
      <c r="BQ428" s="97"/>
      <c r="BR428" s="97"/>
      <c r="BS428" s="97"/>
      <c r="BT428" s="97"/>
      <c r="BU428" s="97"/>
      <c r="BV428" s="97"/>
      <c r="BW428" s="97"/>
      <c r="BX428" s="97"/>
      <c r="BY428" s="97"/>
      <c r="BZ428" s="97"/>
      <c r="CA428" s="97"/>
      <c r="CB428" s="97"/>
      <c r="CC428" s="97"/>
      <c r="CD428" s="97"/>
      <c r="CE428" s="97"/>
      <c r="CF428" s="97"/>
      <c r="CG428" s="97"/>
      <c r="CH428" s="97"/>
      <c r="CI428" s="97"/>
      <c r="CJ428" s="97"/>
      <c r="CK428" s="97"/>
      <c r="CL428" s="97"/>
      <c r="CM428" s="97"/>
      <c r="CN428" s="97"/>
      <c r="CO428" s="97"/>
      <c r="CP428" s="97"/>
      <c r="CQ428" s="97"/>
    </row>
    <row r="429" spans="1:95" ht="15" customHeight="1" outlineLevel="1">
      <c r="A429" s="97"/>
      <c r="B429" s="104" t="s">
        <v>90</v>
      </c>
      <c r="C429" s="138"/>
      <c r="D429" s="131">
        <f t="shared" ref="D429:Q429" si="130">Forecast_without_72_75_with_xx*Without_72_75_with_xx_amenity_value</f>
        <v>0</v>
      </c>
      <c r="E429" s="131">
        <f t="shared" si="130"/>
        <v>0</v>
      </c>
      <c r="F429" s="131">
        <f t="shared" si="130"/>
        <v>0</v>
      </c>
      <c r="G429" s="131">
        <f t="shared" si="130"/>
        <v>0</v>
      </c>
      <c r="H429" s="131">
        <f t="shared" si="130"/>
        <v>0</v>
      </c>
      <c r="I429" s="131">
        <f t="shared" si="130"/>
        <v>0</v>
      </c>
      <c r="J429" s="131">
        <f t="shared" si="130"/>
        <v>0</v>
      </c>
      <c r="K429" s="131">
        <f t="shared" si="130"/>
        <v>0</v>
      </c>
      <c r="L429" s="131">
        <f t="shared" si="130"/>
        <v>0</v>
      </c>
      <c r="M429" s="131">
        <f t="shared" si="130"/>
        <v>0</v>
      </c>
      <c r="N429" s="131">
        <f t="shared" si="130"/>
        <v>0</v>
      </c>
      <c r="O429" s="131">
        <f t="shared" si="130"/>
        <v>0</v>
      </c>
      <c r="P429" s="131">
        <f t="shared" si="130"/>
        <v>0</v>
      </c>
      <c r="Q429" s="131">
        <f t="shared" si="130"/>
        <v>0</v>
      </c>
      <c r="R429" s="22" t="s">
        <v>548</v>
      </c>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97"/>
      <c r="AY429" s="97"/>
      <c r="AZ429" s="97"/>
      <c r="BA429" s="97"/>
      <c r="BB429" s="97"/>
      <c r="BC429" s="97"/>
      <c r="BD429" s="97"/>
      <c r="BE429" s="97"/>
      <c r="BF429" s="97"/>
      <c r="BG429" s="97"/>
      <c r="BH429" s="97"/>
      <c r="BI429" s="97"/>
      <c r="BJ429" s="97"/>
      <c r="BK429" s="97"/>
      <c r="BL429" s="97"/>
      <c r="BM429" s="97"/>
      <c r="BN429" s="97"/>
      <c r="BO429" s="97"/>
      <c r="BP429" s="97"/>
      <c r="BQ429" s="97"/>
      <c r="BR429" s="97"/>
      <c r="BS429" s="97"/>
      <c r="BT429" s="97"/>
      <c r="BU429" s="97"/>
      <c r="BV429" s="97"/>
      <c r="BW429" s="97"/>
      <c r="BX429" s="97"/>
      <c r="BY429" s="97"/>
      <c r="BZ429" s="97"/>
      <c r="CA429" s="97"/>
      <c r="CB429" s="97"/>
      <c r="CC429" s="97"/>
      <c r="CD429" s="97"/>
      <c r="CE429" s="97"/>
      <c r="CF429" s="97"/>
      <c r="CG429" s="97"/>
      <c r="CH429" s="97"/>
      <c r="CI429" s="97"/>
      <c r="CJ429" s="97"/>
      <c r="CK429" s="97"/>
      <c r="CL429" s="97"/>
      <c r="CM429" s="97"/>
      <c r="CN429" s="97"/>
      <c r="CO429" s="97"/>
      <c r="CP429" s="97"/>
      <c r="CQ429" s="97"/>
    </row>
    <row r="430" spans="1:95" ht="15" customHeight="1" outlineLevel="1">
      <c r="A430" s="97"/>
      <c r="B430" s="104" t="s">
        <v>91</v>
      </c>
      <c r="C430" s="138"/>
      <c r="D430" s="131">
        <f>Forecast_without_75_78_with_xx*Without_75_78_with_xx_amenity_value</f>
        <v>0</v>
      </c>
      <c r="E430" s="131">
        <f t="shared" ref="E430:Q430" si="131">Forecast_without_75_78_with_xx*Without_75_78_with_xx_amenity_value</f>
        <v>0</v>
      </c>
      <c r="F430" s="131">
        <f t="shared" si="131"/>
        <v>0</v>
      </c>
      <c r="G430" s="131">
        <f t="shared" si="131"/>
        <v>0</v>
      </c>
      <c r="H430" s="131">
        <f t="shared" si="131"/>
        <v>0</v>
      </c>
      <c r="I430" s="131">
        <f t="shared" si="131"/>
        <v>0</v>
      </c>
      <c r="J430" s="131">
        <f t="shared" si="131"/>
        <v>0</v>
      </c>
      <c r="K430" s="131">
        <f t="shared" si="131"/>
        <v>0</v>
      </c>
      <c r="L430" s="131">
        <f t="shared" si="131"/>
        <v>0</v>
      </c>
      <c r="M430" s="131">
        <f t="shared" si="131"/>
        <v>0</v>
      </c>
      <c r="N430" s="131">
        <f t="shared" si="131"/>
        <v>0</v>
      </c>
      <c r="O430" s="131">
        <f t="shared" si="131"/>
        <v>0</v>
      </c>
      <c r="P430" s="131">
        <f t="shared" si="131"/>
        <v>0</v>
      </c>
      <c r="Q430" s="131">
        <f t="shared" si="131"/>
        <v>0</v>
      </c>
      <c r="R430" s="22" t="s">
        <v>549</v>
      </c>
      <c r="S430" s="97"/>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7"/>
      <c r="AW430" s="97"/>
      <c r="AX430" s="97"/>
      <c r="AY430" s="97"/>
      <c r="AZ430" s="97"/>
      <c r="BA430" s="97"/>
      <c r="BB430" s="97"/>
      <c r="BC430" s="97"/>
      <c r="BD430" s="97"/>
      <c r="BE430" s="97"/>
      <c r="BF430" s="97"/>
      <c r="BG430" s="97"/>
      <c r="BH430" s="97"/>
      <c r="BI430" s="97"/>
      <c r="BJ430" s="97"/>
      <c r="BK430" s="97"/>
      <c r="BL430" s="97"/>
      <c r="BM430" s="97"/>
      <c r="BN430" s="97"/>
      <c r="BO430" s="97"/>
      <c r="BP430" s="97"/>
      <c r="BQ430" s="97"/>
      <c r="BR430" s="97"/>
      <c r="BS430" s="97"/>
      <c r="BT430" s="97"/>
      <c r="BU430" s="97"/>
      <c r="BV430" s="97"/>
      <c r="BW430" s="97"/>
      <c r="BX430" s="97"/>
      <c r="BY430" s="97"/>
      <c r="BZ430" s="97"/>
      <c r="CA430" s="97"/>
      <c r="CB430" s="97"/>
      <c r="CC430" s="97"/>
      <c r="CD430" s="97"/>
      <c r="CE430" s="97"/>
      <c r="CF430" s="97"/>
      <c r="CG430" s="97"/>
      <c r="CH430" s="97"/>
      <c r="CI430" s="97"/>
      <c r="CJ430" s="97"/>
      <c r="CK430" s="97"/>
      <c r="CL430" s="97"/>
      <c r="CM430" s="97"/>
      <c r="CN430" s="97"/>
      <c r="CO430" s="97"/>
      <c r="CP430" s="97"/>
      <c r="CQ430" s="97"/>
    </row>
    <row r="431" spans="1:95" ht="15" customHeight="1" outlineLevel="1">
      <c r="A431" s="97"/>
      <c r="B431" s="104" t="s">
        <v>92</v>
      </c>
      <c r="C431" s="138"/>
      <c r="D431" s="131">
        <f t="shared" ref="D431:Q431" si="132">Forecast_without_78_81_with_xx*Without_78_81_with_xx_amenity_value</f>
        <v>0</v>
      </c>
      <c r="E431" s="131">
        <f t="shared" si="132"/>
        <v>0</v>
      </c>
      <c r="F431" s="131">
        <f t="shared" si="132"/>
        <v>0</v>
      </c>
      <c r="G431" s="131">
        <f t="shared" si="132"/>
        <v>0</v>
      </c>
      <c r="H431" s="131">
        <f t="shared" si="132"/>
        <v>0</v>
      </c>
      <c r="I431" s="131">
        <f t="shared" si="132"/>
        <v>0</v>
      </c>
      <c r="J431" s="131">
        <f t="shared" si="132"/>
        <v>0</v>
      </c>
      <c r="K431" s="131">
        <f t="shared" si="132"/>
        <v>0</v>
      </c>
      <c r="L431" s="131">
        <f t="shared" si="132"/>
        <v>0</v>
      </c>
      <c r="M431" s="131">
        <f t="shared" si="132"/>
        <v>0</v>
      </c>
      <c r="N431" s="131">
        <f t="shared" si="132"/>
        <v>0</v>
      </c>
      <c r="O431" s="131">
        <f t="shared" si="132"/>
        <v>0</v>
      </c>
      <c r="P431" s="131">
        <f t="shared" si="132"/>
        <v>0</v>
      </c>
      <c r="Q431" s="131">
        <f t="shared" si="132"/>
        <v>0</v>
      </c>
      <c r="R431" s="22" t="s">
        <v>550</v>
      </c>
      <c r="S431" s="97"/>
      <c r="T431" s="97"/>
      <c r="U431" s="97"/>
      <c r="V431" s="97"/>
      <c r="W431" s="97"/>
      <c r="X431" s="97"/>
      <c r="Y431" s="97"/>
      <c r="Z431" s="97"/>
      <c r="AA431" s="97"/>
      <c r="AB431" s="97"/>
      <c r="AC431" s="97"/>
      <c r="AD431" s="97"/>
      <c r="AE431" s="97"/>
      <c r="AF431" s="97"/>
      <c r="AG431" s="97"/>
      <c r="AH431" s="97"/>
      <c r="AI431" s="97"/>
      <c r="AJ431" s="97"/>
      <c r="AK431" s="97"/>
      <c r="AL431" s="97"/>
      <c r="AM431" s="97"/>
      <c r="AN431" s="97"/>
      <c r="AO431" s="97"/>
      <c r="AP431" s="97"/>
      <c r="AQ431" s="97"/>
      <c r="AR431" s="97"/>
      <c r="AS431" s="97"/>
      <c r="AT431" s="97"/>
      <c r="AU431" s="97"/>
      <c r="AV431" s="97"/>
      <c r="AW431" s="97"/>
      <c r="AX431" s="97"/>
      <c r="AY431" s="97"/>
      <c r="AZ431" s="97"/>
      <c r="BA431" s="97"/>
      <c r="BB431" s="97"/>
      <c r="BC431" s="97"/>
      <c r="BD431" s="97"/>
      <c r="BE431" s="97"/>
      <c r="BF431" s="97"/>
      <c r="BG431" s="97"/>
      <c r="BH431" s="97"/>
      <c r="BI431" s="97"/>
      <c r="BJ431" s="97"/>
      <c r="BK431" s="97"/>
      <c r="BL431" s="97"/>
      <c r="BM431" s="97"/>
      <c r="BN431" s="97"/>
      <c r="BO431" s="97"/>
      <c r="BP431" s="97"/>
      <c r="BQ431" s="97"/>
      <c r="BR431" s="97"/>
      <c r="BS431" s="97"/>
      <c r="BT431" s="97"/>
      <c r="BU431" s="97"/>
      <c r="BV431" s="97"/>
      <c r="BW431" s="97"/>
      <c r="BX431" s="97"/>
      <c r="BY431" s="97"/>
      <c r="BZ431" s="97"/>
      <c r="CA431" s="97"/>
      <c r="CB431" s="97"/>
      <c r="CC431" s="97"/>
      <c r="CD431" s="97"/>
      <c r="CE431" s="97"/>
      <c r="CF431" s="97"/>
      <c r="CG431" s="97"/>
      <c r="CH431" s="97"/>
      <c r="CI431" s="97"/>
      <c r="CJ431" s="97"/>
      <c r="CK431" s="97"/>
      <c r="CL431" s="97"/>
      <c r="CM431" s="97"/>
      <c r="CN431" s="97"/>
      <c r="CO431" s="97"/>
      <c r="CP431" s="97"/>
      <c r="CQ431" s="97"/>
    </row>
    <row r="432" spans="1:95" ht="15" customHeight="1" outlineLevel="1">
      <c r="A432" s="97"/>
      <c r="B432" s="104" t="s">
        <v>93</v>
      </c>
      <c r="C432" s="139"/>
      <c r="D432" s="131">
        <f t="shared" ref="D432:Q432" si="133">Forecast_without_81_with_xx*Without_81_with_xx_amenity_value</f>
        <v>0</v>
      </c>
      <c r="E432" s="131">
        <f t="shared" si="133"/>
        <v>0</v>
      </c>
      <c r="F432" s="131">
        <f t="shared" si="133"/>
        <v>0</v>
      </c>
      <c r="G432" s="131">
        <f t="shared" si="133"/>
        <v>0</v>
      </c>
      <c r="H432" s="131">
        <f t="shared" si="133"/>
        <v>0</v>
      </c>
      <c r="I432" s="131">
        <f t="shared" si="133"/>
        <v>0</v>
      </c>
      <c r="J432" s="131">
        <f t="shared" si="133"/>
        <v>0</v>
      </c>
      <c r="K432" s="131">
        <f t="shared" si="133"/>
        <v>0</v>
      </c>
      <c r="L432" s="131">
        <f t="shared" si="133"/>
        <v>0</v>
      </c>
      <c r="M432" s="131">
        <f t="shared" si="133"/>
        <v>0</v>
      </c>
      <c r="N432" s="131">
        <f t="shared" si="133"/>
        <v>0</v>
      </c>
      <c r="O432" s="131">
        <f t="shared" si="133"/>
        <v>0</v>
      </c>
      <c r="P432" s="131">
        <f t="shared" si="133"/>
        <v>0</v>
      </c>
      <c r="Q432" s="131">
        <f t="shared" si="133"/>
        <v>0</v>
      </c>
      <c r="R432" s="22" t="s">
        <v>551</v>
      </c>
      <c r="S432" s="97"/>
      <c r="T432" s="97"/>
      <c r="U432" s="97"/>
      <c r="V432" s="97"/>
      <c r="W432" s="97"/>
      <c r="X432" s="97"/>
      <c r="Y432" s="97"/>
      <c r="Z432" s="97"/>
      <c r="AA432" s="97"/>
      <c r="AB432" s="97"/>
      <c r="AC432" s="97"/>
      <c r="AD432" s="97"/>
      <c r="AE432" s="97"/>
      <c r="AF432" s="97"/>
      <c r="AG432" s="97"/>
      <c r="AH432" s="97"/>
      <c r="AI432" s="97"/>
      <c r="AJ432" s="97"/>
      <c r="AK432" s="97"/>
      <c r="AL432" s="97"/>
      <c r="AM432" s="97"/>
      <c r="AN432" s="97"/>
      <c r="AO432" s="97"/>
      <c r="AP432" s="97"/>
      <c r="AQ432" s="97"/>
      <c r="AR432" s="97"/>
      <c r="AS432" s="97"/>
      <c r="AT432" s="97"/>
      <c r="AU432" s="97"/>
      <c r="AV432" s="97"/>
      <c r="AW432" s="97"/>
      <c r="AX432" s="97"/>
      <c r="AY432" s="97"/>
      <c r="AZ432" s="97"/>
      <c r="BA432" s="97"/>
      <c r="BB432" s="97"/>
      <c r="BC432" s="97"/>
      <c r="BD432" s="97"/>
      <c r="BE432" s="97"/>
      <c r="BF432" s="97"/>
      <c r="BG432" s="97"/>
      <c r="BH432" s="97"/>
      <c r="BI432" s="97"/>
      <c r="BJ432" s="97"/>
      <c r="BK432" s="97"/>
      <c r="BL432" s="97"/>
      <c r="BM432" s="97"/>
      <c r="BN432" s="97"/>
      <c r="BO432" s="97"/>
      <c r="BP432" s="97"/>
      <c r="BQ432" s="97"/>
      <c r="BR432" s="97"/>
      <c r="BS432" s="97"/>
      <c r="BT432" s="97"/>
      <c r="BU432" s="97"/>
      <c r="BV432" s="97"/>
      <c r="BW432" s="97"/>
      <c r="BX432" s="97"/>
      <c r="BY432" s="97"/>
      <c r="BZ432" s="97"/>
      <c r="CA432" s="97"/>
      <c r="CB432" s="97"/>
      <c r="CC432" s="97"/>
      <c r="CD432" s="97"/>
      <c r="CE432" s="97"/>
      <c r="CF432" s="97"/>
      <c r="CG432" s="97"/>
      <c r="CH432" s="97"/>
      <c r="CI432" s="97"/>
      <c r="CJ432" s="97"/>
      <c r="CK432" s="97"/>
      <c r="CL432" s="97"/>
      <c r="CM432" s="97"/>
      <c r="CN432" s="97"/>
      <c r="CO432" s="97"/>
      <c r="CP432" s="97"/>
      <c r="CQ432" s="97"/>
    </row>
    <row r="433" spans="1:95" ht="15" customHeight="1" outlineLevel="1">
      <c r="A433" s="97"/>
      <c r="B433" s="134"/>
      <c r="C433" s="134"/>
      <c r="D433" s="134"/>
      <c r="E433" s="134"/>
      <c r="F433" s="134"/>
      <c r="G433" s="134"/>
      <c r="H433" s="134"/>
      <c r="I433" s="134"/>
      <c r="J433" s="134"/>
      <c r="K433" s="134"/>
      <c r="L433" s="134"/>
      <c r="M433" s="134"/>
      <c r="N433" s="134"/>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c r="AN433" s="97"/>
      <c r="AO433" s="97"/>
      <c r="AP433" s="97"/>
      <c r="AQ433" s="97"/>
      <c r="AR433" s="97"/>
      <c r="AS433" s="97"/>
      <c r="AT433" s="97"/>
      <c r="AU433" s="97"/>
      <c r="AV433" s="97"/>
      <c r="AW433" s="97"/>
      <c r="AX433" s="97"/>
      <c r="AY433" s="97"/>
      <c r="AZ433" s="97"/>
      <c r="BA433" s="97"/>
      <c r="BB433" s="97"/>
      <c r="BC433" s="97"/>
      <c r="BD433" s="97"/>
      <c r="BE433" s="97"/>
      <c r="BF433" s="97"/>
      <c r="BG433" s="97"/>
      <c r="BH433" s="97"/>
      <c r="BI433" s="97"/>
      <c r="BJ433" s="97"/>
      <c r="BK433" s="97"/>
      <c r="BL433" s="97"/>
      <c r="BM433" s="97"/>
      <c r="BN433" s="97"/>
      <c r="BO433" s="97"/>
      <c r="BP433" s="97"/>
      <c r="BQ433" s="97"/>
      <c r="BR433" s="97"/>
      <c r="BS433" s="97"/>
      <c r="BT433" s="97"/>
      <c r="BU433" s="97"/>
      <c r="BV433" s="97"/>
      <c r="BW433" s="97"/>
      <c r="BX433" s="97"/>
      <c r="BY433" s="97"/>
      <c r="BZ433" s="97"/>
      <c r="CA433" s="97"/>
      <c r="CB433" s="97"/>
      <c r="CC433" s="97"/>
      <c r="CD433" s="97"/>
      <c r="CE433" s="97"/>
      <c r="CF433" s="97"/>
      <c r="CG433" s="97"/>
      <c r="CH433" s="97"/>
      <c r="CI433" s="97"/>
      <c r="CJ433" s="97"/>
      <c r="CK433" s="97"/>
      <c r="CL433" s="97"/>
      <c r="CM433" s="97"/>
      <c r="CN433" s="97"/>
      <c r="CO433" s="97"/>
      <c r="CP433" s="97"/>
      <c r="CQ433" s="97"/>
    </row>
    <row r="434" spans="1:95" ht="15" customHeight="1" outlineLevel="1">
      <c r="A434" s="97"/>
      <c r="B434" s="142" t="s">
        <v>552</v>
      </c>
      <c r="C434" s="141">
        <f>SUM(Forecast_without_45_with_xx_amenity_cost,Forecast_without_45_48_with_xx_amenity_cost,Forecast_without_48_51_with_xx_amenity_cost,Forecast_without_51_54_with_xx_amenity_cost,Forecast_without_54_57_with_xx_amenity_cost,Forecast_without_57_60_with_xx_amenity_cost,Forecast_without_60_63_with_xx_amenity_cost,Forecast_without_63_66_with_xx_amenity_cost,Forecast_without_66_69_with_xx_amenity_cost,Forecast_without_69_72_with_xx_amenity_cost,Forecast_without_72_75_with_xx_amenity_cost,Forecast_without_75_78_with_xx_amenity_cost,Forecast_without_78_81_with_xx_amenity_cost,Forecast_without_81_with_xx_amenity_cost,)</f>
        <v>0</v>
      </c>
      <c r="D434" s="24" t="s">
        <v>553</v>
      </c>
      <c r="E434" s="134"/>
      <c r="F434" s="134"/>
      <c r="G434" s="134"/>
      <c r="H434" s="134"/>
      <c r="I434" s="134"/>
      <c r="J434" s="134"/>
      <c r="K434" s="134"/>
      <c r="L434" s="134"/>
      <c r="M434" s="134"/>
      <c r="N434" s="134"/>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c r="CG434" s="97"/>
      <c r="CH434" s="97"/>
      <c r="CI434" s="97"/>
      <c r="CJ434" s="97"/>
      <c r="CK434" s="97"/>
      <c r="CL434" s="97"/>
      <c r="CM434" s="97"/>
      <c r="CN434" s="97"/>
      <c r="CO434" s="97"/>
      <c r="CP434" s="97"/>
      <c r="CQ434" s="97"/>
    </row>
    <row r="435" spans="1:95" ht="15" customHeight="1" outlineLevel="1">
      <c r="A435" s="97"/>
      <c r="B435" s="134"/>
      <c r="C435" s="134"/>
      <c r="D435" s="24"/>
      <c r="E435" s="134"/>
      <c r="F435" s="134"/>
      <c r="G435" s="134"/>
      <c r="H435" s="134"/>
      <c r="I435" s="134"/>
      <c r="J435" s="134"/>
      <c r="K435" s="134"/>
      <c r="L435" s="134"/>
      <c r="M435" s="134"/>
      <c r="N435" s="134"/>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c r="BM435" s="97"/>
      <c r="BN435" s="97"/>
      <c r="BO435" s="97"/>
      <c r="BP435" s="97"/>
      <c r="BQ435" s="97"/>
      <c r="BR435" s="97"/>
      <c r="BS435" s="97"/>
      <c r="BT435" s="97"/>
      <c r="BU435" s="97"/>
      <c r="BV435" s="97"/>
      <c r="BW435" s="97"/>
      <c r="BX435" s="97"/>
      <c r="BY435" s="97"/>
      <c r="BZ435" s="97"/>
      <c r="CA435" s="97"/>
      <c r="CB435" s="97"/>
      <c r="CC435" s="97"/>
      <c r="CD435" s="97"/>
      <c r="CE435" s="97"/>
      <c r="CF435" s="97"/>
      <c r="CG435" s="97"/>
      <c r="CH435" s="97"/>
      <c r="CI435" s="97"/>
      <c r="CJ435" s="97"/>
      <c r="CK435" s="97"/>
      <c r="CL435" s="97"/>
      <c r="CM435" s="97"/>
      <c r="CN435" s="97"/>
      <c r="CO435" s="97"/>
      <c r="CP435" s="97"/>
      <c r="CQ435" s="97"/>
    </row>
    <row r="436" spans="1:95" ht="15" customHeight="1" outlineLevel="1">
      <c r="A436" s="97"/>
      <c r="B436" s="134" t="s">
        <v>554</v>
      </c>
      <c r="C436" s="141">
        <f>Forecast_year_amenity_cost-Opening_year_amenity_cost</f>
        <v>0</v>
      </c>
      <c r="D436" s="24" t="s">
        <v>555</v>
      </c>
      <c r="E436" s="134"/>
      <c r="F436" s="134"/>
      <c r="G436" s="134"/>
      <c r="H436" s="134"/>
      <c r="I436" s="134"/>
      <c r="J436" s="134"/>
      <c r="K436" s="134"/>
      <c r="L436" s="134"/>
      <c r="M436" s="134"/>
      <c r="N436" s="134"/>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7"/>
      <c r="AL436" s="97"/>
      <c r="AM436" s="97"/>
      <c r="AN436" s="97"/>
      <c r="AO436" s="97"/>
      <c r="AP436" s="97"/>
      <c r="AQ436" s="97"/>
      <c r="AR436" s="97"/>
      <c r="AS436" s="97"/>
      <c r="AT436" s="97"/>
      <c r="AU436" s="97"/>
      <c r="AV436" s="97"/>
      <c r="AW436" s="97"/>
      <c r="AX436" s="97"/>
      <c r="AY436" s="97"/>
      <c r="AZ436" s="97"/>
      <c r="BA436" s="97"/>
      <c r="BB436" s="97"/>
      <c r="BC436" s="97"/>
      <c r="BD436" s="97"/>
      <c r="BE436" s="97"/>
      <c r="BF436" s="97"/>
      <c r="BG436" s="97"/>
      <c r="BH436" s="97"/>
      <c r="BI436" s="97"/>
      <c r="BJ436" s="97"/>
      <c r="BK436" s="97"/>
      <c r="BL436" s="97"/>
      <c r="BM436" s="97"/>
      <c r="BN436" s="97"/>
      <c r="BO436" s="97"/>
      <c r="BP436" s="97"/>
      <c r="BQ436" s="97"/>
      <c r="BR436" s="97"/>
      <c r="BS436" s="97"/>
      <c r="BT436" s="97"/>
      <c r="BU436" s="97"/>
      <c r="BV436" s="97"/>
      <c r="BW436" s="97"/>
      <c r="BX436" s="97"/>
      <c r="BY436" s="97"/>
      <c r="BZ436" s="97"/>
      <c r="CA436" s="97"/>
      <c r="CB436" s="97"/>
      <c r="CC436" s="97"/>
      <c r="CD436" s="97"/>
      <c r="CE436" s="97"/>
      <c r="CF436" s="97"/>
      <c r="CG436" s="97"/>
      <c r="CH436" s="97"/>
      <c r="CI436" s="97"/>
      <c r="CJ436" s="97"/>
      <c r="CK436" s="97"/>
      <c r="CL436" s="97"/>
      <c r="CM436" s="97"/>
      <c r="CN436" s="97"/>
      <c r="CO436" s="97"/>
      <c r="CP436" s="97"/>
      <c r="CQ436" s="97"/>
    </row>
    <row r="437" spans="1:95" ht="14.45" outlineLevel="1">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7"/>
      <c r="AL437" s="97"/>
      <c r="AM437" s="97"/>
      <c r="AN437" s="97"/>
      <c r="AO437" s="97"/>
      <c r="AP437" s="97"/>
      <c r="AQ437" s="97"/>
      <c r="AR437" s="97"/>
      <c r="AS437" s="97"/>
      <c r="AT437" s="97"/>
      <c r="AU437" s="97"/>
      <c r="AV437" s="97"/>
      <c r="AW437" s="97"/>
      <c r="AX437" s="97"/>
      <c r="AY437" s="97"/>
      <c r="AZ437" s="97"/>
      <c r="BA437" s="97"/>
      <c r="BB437" s="97"/>
      <c r="BC437" s="97"/>
      <c r="BD437" s="97"/>
      <c r="BE437" s="97"/>
      <c r="BF437" s="97"/>
      <c r="BG437" s="97"/>
      <c r="BH437" s="97"/>
      <c r="BI437" s="97"/>
      <c r="BJ437" s="97"/>
      <c r="BK437" s="97"/>
      <c r="BL437" s="97"/>
      <c r="BM437" s="97"/>
      <c r="BN437" s="97"/>
      <c r="BO437" s="97"/>
      <c r="BP437" s="97"/>
      <c r="BQ437" s="97"/>
      <c r="BR437" s="97"/>
      <c r="BS437" s="97"/>
      <c r="BT437" s="97"/>
      <c r="BU437" s="97"/>
      <c r="BV437" s="97"/>
      <c r="BW437" s="97"/>
      <c r="BX437" s="97"/>
      <c r="BY437" s="97"/>
      <c r="BZ437" s="97"/>
      <c r="CA437" s="97"/>
      <c r="CB437" s="97"/>
      <c r="CC437" s="97"/>
      <c r="CD437" s="97"/>
      <c r="CE437" s="97"/>
      <c r="CF437" s="97"/>
      <c r="CG437" s="97"/>
      <c r="CH437" s="97"/>
      <c r="CI437" s="97"/>
      <c r="CJ437" s="97"/>
      <c r="CK437" s="97"/>
      <c r="CL437" s="97"/>
      <c r="CM437" s="97"/>
      <c r="CN437" s="97"/>
      <c r="CO437" s="97"/>
      <c r="CP437" s="97"/>
      <c r="CQ437" s="97"/>
    </row>
    <row r="438" spans="1:95" s="5" customFormat="1" ht="15.6" outlineLevel="1">
      <c r="B438" s="5" t="s">
        <v>556</v>
      </c>
    </row>
    <row r="439" spans="1:95" ht="15" customHeight="1" outlineLevel="1">
      <c r="A439" s="97"/>
      <c r="B439" s="134"/>
      <c r="C439" s="134"/>
      <c r="D439" s="134"/>
      <c r="E439" s="134"/>
      <c r="F439" s="134"/>
      <c r="G439" s="134"/>
      <c r="H439" s="134"/>
      <c r="I439" s="134"/>
      <c r="J439" s="134"/>
      <c r="K439" s="134"/>
      <c r="L439" s="134"/>
      <c r="M439" s="134"/>
      <c r="N439" s="134"/>
      <c r="O439" s="97"/>
      <c r="P439" s="97"/>
      <c r="Q439" s="97"/>
      <c r="R439" s="97"/>
      <c r="S439" s="97"/>
      <c r="T439" s="97"/>
      <c r="U439" s="97"/>
      <c r="V439" s="97"/>
      <c r="W439" s="97"/>
      <c r="X439" s="97"/>
      <c r="Y439" s="97"/>
      <c r="Z439" s="97"/>
      <c r="AA439" s="97"/>
      <c r="AB439" s="97"/>
      <c r="AC439" s="97"/>
      <c r="AD439" s="97"/>
      <c r="AE439" s="97"/>
      <c r="AF439" s="97"/>
      <c r="AG439" s="97"/>
      <c r="AH439" s="97"/>
      <c r="AI439" s="97"/>
      <c r="AJ439" s="97"/>
      <c r="AK439" s="97"/>
      <c r="AL439" s="97"/>
      <c r="AM439" s="97"/>
      <c r="AN439" s="97"/>
      <c r="AO439" s="97"/>
      <c r="AP439" s="97"/>
      <c r="AQ439" s="97"/>
      <c r="AR439" s="97"/>
      <c r="AS439" s="97"/>
      <c r="AT439" s="97"/>
      <c r="AU439" s="97"/>
      <c r="AV439" s="97"/>
      <c r="AW439" s="97"/>
      <c r="AX439" s="97"/>
      <c r="AY439" s="97"/>
      <c r="AZ439" s="97"/>
      <c r="BA439" s="97"/>
      <c r="BB439" s="97"/>
      <c r="BC439" s="97"/>
      <c r="BD439" s="97"/>
      <c r="BE439" s="97"/>
      <c r="BF439" s="97"/>
      <c r="BG439" s="97"/>
      <c r="BH439" s="97"/>
      <c r="BI439" s="97"/>
      <c r="BJ439" s="97"/>
      <c r="BK439" s="97"/>
      <c r="BL439" s="97"/>
      <c r="BM439" s="97"/>
      <c r="BN439" s="97"/>
      <c r="BO439" s="97"/>
      <c r="BP439" s="97"/>
      <c r="BQ439" s="97"/>
      <c r="BR439" s="97"/>
      <c r="BS439" s="97"/>
      <c r="BT439" s="97"/>
      <c r="BU439" s="97"/>
      <c r="BV439" s="97"/>
      <c r="BW439" s="97"/>
      <c r="BX439" s="97"/>
      <c r="BY439" s="97"/>
      <c r="BZ439" s="97"/>
      <c r="CA439" s="97"/>
      <c r="CB439" s="97"/>
      <c r="CC439" s="97"/>
      <c r="CD439" s="97"/>
      <c r="CE439" s="97"/>
      <c r="CF439" s="97"/>
      <c r="CG439" s="97"/>
      <c r="CH439" s="97"/>
      <c r="CI439" s="97"/>
      <c r="CJ439" s="97"/>
      <c r="CK439" s="97"/>
      <c r="CL439" s="97"/>
      <c r="CM439" s="97"/>
      <c r="CN439" s="97"/>
      <c r="CO439" s="97"/>
      <c r="CP439" s="97"/>
      <c r="CQ439" s="97"/>
    </row>
    <row r="440" spans="1:95" ht="15" customHeight="1" outlineLevel="1">
      <c r="A440" s="97"/>
      <c r="B440" s="122"/>
      <c r="C440" s="60" t="s">
        <v>79</v>
      </c>
      <c r="D440" s="61" t="s">
        <v>80</v>
      </c>
      <c r="E440" s="104" t="s">
        <v>81</v>
      </c>
      <c r="F440" s="104" t="s">
        <v>82</v>
      </c>
      <c r="G440" s="104" t="s">
        <v>83</v>
      </c>
      <c r="H440" s="104" t="s">
        <v>84</v>
      </c>
      <c r="I440" s="104" t="s">
        <v>85</v>
      </c>
      <c r="J440" s="104" t="s">
        <v>86</v>
      </c>
      <c r="K440" s="104" t="s">
        <v>87</v>
      </c>
      <c r="L440" s="104" t="s">
        <v>88</v>
      </c>
      <c r="M440" s="104" t="s">
        <v>89</v>
      </c>
      <c r="N440" s="104" t="s">
        <v>90</v>
      </c>
      <c r="O440" s="104" t="s">
        <v>91</v>
      </c>
      <c r="P440" s="104" t="s">
        <v>92</v>
      </c>
      <c r="Q440" s="104" t="s">
        <v>93</v>
      </c>
      <c r="R440" s="97"/>
      <c r="S440" s="97"/>
      <c r="T440" s="97"/>
      <c r="U440" s="97"/>
      <c r="V440" s="97"/>
      <c r="W440" s="97"/>
      <c r="X440" s="97"/>
      <c r="Y440" s="97"/>
      <c r="Z440" s="97"/>
      <c r="AA440" s="97"/>
      <c r="AB440" s="97"/>
      <c r="AC440" s="97"/>
      <c r="AD440" s="97"/>
      <c r="AE440" s="97"/>
      <c r="AF440" s="97"/>
      <c r="AG440" s="97"/>
      <c r="AH440" s="97"/>
      <c r="AI440" s="97"/>
      <c r="AJ440" s="97"/>
      <c r="AK440" s="97"/>
      <c r="AL440" s="97"/>
      <c r="AM440" s="97"/>
      <c r="AN440" s="97"/>
      <c r="AO440" s="97"/>
      <c r="AP440" s="97"/>
      <c r="AQ440" s="97"/>
      <c r="AR440" s="97"/>
      <c r="AS440" s="97"/>
      <c r="AT440" s="97"/>
      <c r="AU440" s="97"/>
      <c r="AV440" s="97"/>
      <c r="AW440" s="97"/>
      <c r="AX440" s="97"/>
      <c r="AY440" s="97"/>
      <c r="AZ440" s="97"/>
      <c r="BA440" s="97"/>
      <c r="BB440" s="97"/>
      <c r="BC440" s="97"/>
      <c r="BD440" s="97"/>
      <c r="BE440" s="97"/>
      <c r="BF440" s="97"/>
      <c r="BG440" s="97"/>
      <c r="BH440" s="97"/>
      <c r="BI440" s="97"/>
      <c r="BJ440" s="97"/>
      <c r="BK440" s="97"/>
      <c r="BL440" s="97"/>
      <c r="BM440" s="97"/>
      <c r="BN440" s="97"/>
      <c r="BO440" s="97"/>
      <c r="BP440" s="97"/>
      <c r="BQ440" s="97"/>
      <c r="BR440" s="97"/>
      <c r="BS440" s="97"/>
      <c r="BT440" s="97"/>
      <c r="BU440" s="97"/>
      <c r="BV440" s="97"/>
      <c r="BW440" s="97"/>
      <c r="BX440" s="97"/>
      <c r="BY440" s="97"/>
      <c r="BZ440" s="97"/>
      <c r="CA440" s="97"/>
      <c r="CB440" s="97"/>
      <c r="CC440" s="97"/>
      <c r="CD440" s="97"/>
      <c r="CE440" s="97"/>
      <c r="CF440" s="97"/>
      <c r="CG440" s="97"/>
      <c r="CH440" s="97"/>
      <c r="CI440" s="97"/>
      <c r="CJ440" s="97"/>
      <c r="CK440" s="97"/>
      <c r="CL440" s="97"/>
      <c r="CM440" s="97"/>
      <c r="CN440" s="97"/>
      <c r="CO440" s="97"/>
      <c r="CP440" s="97"/>
      <c r="CQ440" s="97"/>
    </row>
    <row r="441" spans="1:95" ht="15" customHeight="1" outlineLevel="1">
      <c r="A441" s="97"/>
      <c r="B441" s="60" t="s">
        <v>94</v>
      </c>
      <c r="C441" s="130"/>
      <c r="D441" s="135"/>
      <c r="E441" s="129"/>
      <c r="F441" s="129"/>
      <c r="G441" s="129"/>
      <c r="H441" s="129"/>
      <c r="I441" s="129"/>
      <c r="J441" s="129"/>
      <c r="K441" s="129"/>
      <c r="L441" s="129"/>
      <c r="M441" s="129"/>
      <c r="N441" s="129"/>
      <c r="O441" s="129"/>
      <c r="P441" s="129"/>
      <c r="Q441" s="130"/>
      <c r="R441" s="97"/>
      <c r="S441" s="97"/>
      <c r="T441" s="97"/>
      <c r="U441" s="97"/>
      <c r="V441" s="97"/>
      <c r="W441" s="97"/>
      <c r="X441" s="97"/>
      <c r="Y441" s="97"/>
      <c r="Z441" s="97"/>
      <c r="AA441" s="97"/>
      <c r="AB441" s="97"/>
      <c r="AC441" s="97"/>
      <c r="AD441" s="97"/>
      <c r="AE441" s="97"/>
      <c r="AF441" s="97"/>
      <c r="AG441" s="97"/>
      <c r="AH441" s="97"/>
      <c r="AI441" s="97"/>
      <c r="AJ441" s="97"/>
      <c r="AK441" s="97"/>
      <c r="AL441" s="97"/>
      <c r="AM441" s="97"/>
      <c r="AN441" s="97"/>
      <c r="AO441" s="97"/>
      <c r="AP441" s="97"/>
      <c r="AQ441" s="97"/>
      <c r="AR441" s="97"/>
      <c r="AS441" s="97"/>
      <c r="AT441" s="97"/>
      <c r="AU441" s="97"/>
      <c r="AV441" s="97"/>
      <c r="AW441" s="97"/>
      <c r="AX441" s="97"/>
      <c r="AY441" s="97"/>
      <c r="AZ441" s="97"/>
      <c r="BA441" s="97"/>
      <c r="BB441" s="97"/>
      <c r="BC441" s="97"/>
      <c r="BD441" s="97"/>
      <c r="BE441" s="97"/>
      <c r="BF441" s="97"/>
      <c r="BG441" s="97"/>
      <c r="BH441" s="97"/>
      <c r="BI441" s="97"/>
      <c r="BJ441" s="97"/>
      <c r="BK441" s="97"/>
      <c r="BL441" s="97"/>
      <c r="BM441" s="97"/>
      <c r="BN441" s="97"/>
      <c r="BO441" s="97"/>
      <c r="BP441" s="97"/>
      <c r="BQ441" s="97"/>
      <c r="BR441" s="97"/>
      <c r="BS441" s="97"/>
      <c r="BT441" s="97"/>
      <c r="BU441" s="97"/>
      <c r="BV441" s="97"/>
      <c r="BW441" s="97"/>
      <c r="BX441" s="97"/>
      <c r="BY441" s="97"/>
      <c r="BZ441" s="97"/>
      <c r="CA441" s="97"/>
      <c r="CB441" s="97"/>
      <c r="CC441" s="97"/>
      <c r="CD441" s="97"/>
      <c r="CE441" s="97"/>
      <c r="CF441" s="97"/>
      <c r="CG441" s="97"/>
      <c r="CH441" s="97"/>
      <c r="CI441" s="97"/>
      <c r="CJ441" s="97"/>
      <c r="CK441" s="97"/>
      <c r="CL441" s="97"/>
      <c r="CM441" s="97"/>
      <c r="CN441" s="97"/>
      <c r="CO441" s="97"/>
      <c r="CP441" s="97"/>
      <c r="CQ441" s="97"/>
    </row>
    <row r="442" spans="1:95" ht="15" customHeight="1" outlineLevel="1">
      <c r="A442" s="97"/>
      <c r="B442" s="61" t="s">
        <v>80</v>
      </c>
      <c r="C442" s="136"/>
      <c r="D442" s="131">
        <f t="shared" ref="D442:Q442" si="134">Opening_without_45_with_xx*Without_45_with_xx_AMI_value</f>
        <v>0</v>
      </c>
      <c r="E442" s="131">
        <f t="shared" si="134"/>
        <v>0</v>
      </c>
      <c r="F442" s="131">
        <f t="shared" si="134"/>
        <v>0</v>
      </c>
      <c r="G442" s="131">
        <f t="shared" si="134"/>
        <v>0</v>
      </c>
      <c r="H442" s="131">
        <f t="shared" si="134"/>
        <v>0</v>
      </c>
      <c r="I442" s="131">
        <f t="shared" si="134"/>
        <v>0</v>
      </c>
      <c r="J442" s="131">
        <f t="shared" si="134"/>
        <v>0</v>
      </c>
      <c r="K442" s="131">
        <f t="shared" si="134"/>
        <v>0</v>
      </c>
      <c r="L442" s="131">
        <f t="shared" si="134"/>
        <v>0</v>
      </c>
      <c r="M442" s="131">
        <f t="shared" si="134"/>
        <v>0</v>
      </c>
      <c r="N442" s="131">
        <f t="shared" si="134"/>
        <v>0</v>
      </c>
      <c r="O442" s="131">
        <f t="shared" si="134"/>
        <v>0</v>
      </c>
      <c r="P442" s="131">
        <f t="shared" si="134"/>
        <v>0</v>
      </c>
      <c r="Q442" s="131">
        <f t="shared" si="134"/>
        <v>0</v>
      </c>
      <c r="R442" s="22" t="s">
        <v>557</v>
      </c>
      <c r="S442" s="97"/>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97"/>
      <c r="AQ442" s="97"/>
      <c r="AR442" s="97"/>
      <c r="AS442" s="97"/>
      <c r="AT442" s="97"/>
      <c r="AU442" s="97"/>
      <c r="AV442" s="97"/>
      <c r="AW442" s="97"/>
      <c r="AX442" s="97"/>
      <c r="AY442" s="97"/>
      <c r="AZ442" s="97"/>
      <c r="BA442" s="97"/>
      <c r="BB442" s="97"/>
      <c r="BC442" s="97"/>
      <c r="BD442" s="97"/>
      <c r="BE442" s="97"/>
      <c r="BF442" s="97"/>
      <c r="BG442" s="97"/>
      <c r="BH442" s="97"/>
      <c r="BI442" s="97"/>
      <c r="BJ442" s="97"/>
      <c r="BK442" s="97"/>
      <c r="BL442" s="97"/>
      <c r="BM442" s="97"/>
      <c r="BN442" s="97"/>
      <c r="BO442" s="97"/>
      <c r="BP442" s="97"/>
      <c r="BQ442" s="97"/>
      <c r="BR442" s="97"/>
      <c r="BS442" s="97"/>
      <c r="BT442" s="97"/>
      <c r="BU442" s="97"/>
      <c r="BV442" s="97"/>
      <c r="BW442" s="97"/>
      <c r="BX442" s="97"/>
      <c r="BY442" s="97"/>
      <c r="BZ442" s="97"/>
      <c r="CA442" s="97"/>
      <c r="CB442" s="97"/>
      <c r="CC442" s="97"/>
      <c r="CD442" s="97"/>
      <c r="CE442" s="97"/>
      <c r="CF442" s="97"/>
      <c r="CG442" s="97"/>
      <c r="CH442" s="97"/>
      <c r="CI442" s="97"/>
      <c r="CJ442" s="97"/>
      <c r="CK442" s="97"/>
      <c r="CL442" s="97"/>
      <c r="CM442" s="97"/>
      <c r="CN442" s="97"/>
      <c r="CO442" s="97"/>
      <c r="CP442" s="97"/>
      <c r="CQ442" s="97"/>
    </row>
    <row r="443" spans="1:95" ht="15" customHeight="1" outlineLevel="1">
      <c r="A443" s="97"/>
      <c r="B443" s="104" t="s">
        <v>81</v>
      </c>
      <c r="C443" s="138"/>
      <c r="D443" s="131">
        <f t="shared" ref="D443:Q443" si="135">Opening_without_45_48_with_xx*Without_45_48_with_xx_AMI_value</f>
        <v>0</v>
      </c>
      <c r="E443" s="131">
        <f t="shared" si="135"/>
        <v>0</v>
      </c>
      <c r="F443" s="131">
        <f t="shared" si="135"/>
        <v>0</v>
      </c>
      <c r="G443" s="131">
        <f t="shared" si="135"/>
        <v>0</v>
      </c>
      <c r="H443" s="131">
        <f t="shared" si="135"/>
        <v>0</v>
      </c>
      <c r="I443" s="131">
        <f t="shared" si="135"/>
        <v>0</v>
      </c>
      <c r="J443" s="131">
        <f t="shared" si="135"/>
        <v>0</v>
      </c>
      <c r="K443" s="131">
        <f t="shared" si="135"/>
        <v>0</v>
      </c>
      <c r="L443" s="131">
        <f t="shared" si="135"/>
        <v>0</v>
      </c>
      <c r="M443" s="131">
        <f t="shared" si="135"/>
        <v>0</v>
      </c>
      <c r="N443" s="131">
        <f t="shared" si="135"/>
        <v>0</v>
      </c>
      <c r="O443" s="131">
        <f t="shared" si="135"/>
        <v>0</v>
      </c>
      <c r="P443" s="131">
        <f t="shared" si="135"/>
        <v>0</v>
      </c>
      <c r="Q443" s="131">
        <f t="shared" si="135"/>
        <v>0</v>
      </c>
      <c r="R443" s="22" t="s">
        <v>558</v>
      </c>
      <c r="S443" s="97"/>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7"/>
      <c r="AW443" s="97"/>
      <c r="AX443" s="97"/>
      <c r="AY443" s="97"/>
      <c r="AZ443" s="97"/>
      <c r="BA443" s="97"/>
      <c r="BB443" s="97"/>
      <c r="BC443" s="97"/>
      <c r="BD443" s="97"/>
      <c r="BE443" s="97"/>
      <c r="BF443" s="97"/>
      <c r="BG443" s="97"/>
      <c r="BH443" s="97"/>
      <c r="BI443" s="97"/>
      <c r="BJ443" s="97"/>
      <c r="BK443" s="97"/>
      <c r="BL443" s="97"/>
      <c r="BM443" s="97"/>
      <c r="BN443" s="97"/>
      <c r="BO443" s="97"/>
      <c r="BP443" s="97"/>
      <c r="BQ443" s="97"/>
      <c r="BR443" s="97"/>
      <c r="BS443" s="97"/>
      <c r="BT443" s="97"/>
      <c r="BU443" s="97"/>
      <c r="BV443" s="97"/>
      <c r="BW443" s="97"/>
      <c r="BX443" s="97"/>
      <c r="BY443" s="97"/>
      <c r="BZ443" s="97"/>
      <c r="CA443" s="97"/>
      <c r="CB443" s="97"/>
      <c r="CC443" s="97"/>
      <c r="CD443" s="97"/>
      <c r="CE443" s="97"/>
      <c r="CF443" s="97"/>
      <c r="CG443" s="97"/>
      <c r="CH443" s="97"/>
      <c r="CI443" s="97"/>
      <c r="CJ443" s="97"/>
      <c r="CK443" s="97"/>
      <c r="CL443" s="97"/>
      <c r="CM443" s="97"/>
      <c r="CN443" s="97"/>
      <c r="CO443" s="97"/>
      <c r="CP443" s="97"/>
      <c r="CQ443" s="97"/>
    </row>
    <row r="444" spans="1:95" ht="15" customHeight="1" outlineLevel="1">
      <c r="A444" s="97"/>
      <c r="B444" s="104" t="s">
        <v>82</v>
      </c>
      <c r="C444" s="138"/>
      <c r="D444" s="131">
        <f t="shared" ref="D444:Q444" si="136">Opening_without_48_51_with_xx*Without_48_51_with_xx_AMI_value</f>
        <v>0</v>
      </c>
      <c r="E444" s="131">
        <f t="shared" si="136"/>
        <v>0</v>
      </c>
      <c r="F444" s="131">
        <f t="shared" si="136"/>
        <v>0</v>
      </c>
      <c r="G444" s="131">
        <f t="shared" si="136"/>
        <v>0</v>
      </c>
      <c r="H444" s="131">
        <f t="shared" si="136"/>
        <v>0</v>
      </c>
      <c r="I444" s="131">
        <f t="shared" si="136"/>
        <v>0</v>
      </c>
      <c r="J444" s="131">
        <f t="shared" si="136"/>
        <v>0</v>
      </c>
      <c r="K444" s="131">
        <f t="shared" si="136"/>
        <v>0</v>
      </c>
      <c r="L444" s="131">
        <f t="shared" si="136"/>
        <v>0</v>
      </c>
      <c r="M444" s="131">
        <f t="shared" si="136"/>
        <v>0</v>
      </c>
      <c r="N444" s="131">
        <f t="shared" si="136"/>
        <v>0</v>
      </c>
      <c r="O444" s="131">
        <f t="shared" si="136"/>
        <v>0</v>
      </c>
      <c r="P444" s="131">
        <f t="shared" si="136"/>
        <v>0</v>
      </c>
      <c r="Q444" s="131">
        <f t="shared" si="136"/>
        <v>0</v>
      </c>
      <c r="R444" s="22" t="s">
        <v>559</v>
      </c>
      <c r="S444" s="97"/>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c r="AU444" s="97"/>
      <c r="AV444" s="97"/>
      <c r="AW444" s="97"/>
      <c r="AX444" s="97"/>
      <c r="AY444" s="97"/>
      <c r="AZ444" s="97"/>
      <c r="BA444" s="97"/>
      <c r="BB444" s="97"/>
      <c r="BC444" s="97"/>
      <c r="BD444" s="97"/>
      <c r="BE444" s="97"/>
      <c r="BF444" s="97"/>
      <c r="BG444" s="97"/>
      <c r="BH444" s="97"/>
      <c r="BI444" s="97"/>
      <c r="BJ444" s="97"/>
      <c r="BK444" s="97"/>
      <c r="BL444" s="97"/>
      <c r="BM444" s="97"/>
      <c r="BN444" s="97"/>
      <c r="BO444" s="97"/>
      <c r="BP444" s="97"/>
      <c r="BQ444" s="97"/>
      <c r="BR444" s="97"/>
      <c r="BS444" s="97"/>
      <c r="BT444" s="97"/>
      <c r="BU444" s="97"/>
      <c r="BV444" s="97"/>
      <c r="BW444" s="97"/>
      <c r="BX444" s="97"/>
      <c r="BY444" s="97"/>
      <c r="BZ444" s="97"/>
      <c r="CA444" s="97"/>
      <c r="CB444" s="97"/>
      <c r="CC444" s="97"/>
      <c r="CD444" s="97"/>
      <c r="CE444" s="97"/>
      <c r="CF444" s="97"/>
      <c r="CG444" s="97"/>
      <c r="CH444" s="97"/>
      <c r="CI444" s="97"/>
      <c r="CJ444" s="97"/>
      <c r="CK444" s="97"/>
      <c r="CL444" s="97"/>
      <c r="CM444" s="97"/>
      <c r="CN444" s="97"/>
      <c r="CO444" s="97"/>
      <c r="CP444" s="97"/>
      <c r="CQ444" s="97"/>
    </row>
    <row r="445" spans="1:95" ht="15" customHeight="1" outlineLevel="1">
      <c r="A445" s="97"/>
      <c r="B445" s="104" t="s">
        <v>83</v>
      </c>
      <c r="C445" s="138"/>
      <c r="D445" s="131">
        <f>Opening_without_51_54_with_xx*Without_51_54_with_xx_AMI_value</f>
        <v>0</v>
      </c>
      <c r="E445" s="131">
        <f t="shared" ref="E445:Q445" si="137">Opening_without_51_54_with_xx*Without_51_54_with_xx_AMI_value</f>
        <v>0</v>
      </c>
      <c r="F445" s="131">
        <f t="shared" si="137"/>
        <v>0</v>
      </c>
      <c r="G445" s="131">
        <f t="shared" si="137"/>
        <v>0</v>
      </c>
      <c r="H445" s="131">
        <f t="shared" si="137"/>
        <v>0</v>
      </c>
      <c r="I445" s="131">
        <f t="shared" si="137"/>
        <v>0</v>
      </c>
      <c r="J445" s="131">
        <f t="shared" si="137"/>
        <v>0</v>
      </c>
      <c r="K445" s="131">
        <f t="shared" si="137"/>
        <v>0</v>
      </c>
      <c r="L445" s="131">
        <f t="shared" si="137"/>
        <v>0</v>
      </c>
      <c r="M445" s="131">
        <f t="shared" si="137"/>
        <v>0</v>
      </c>
      <c r="N445" s="131">
        <f t="shared" si="137"/>
        <v>0</v>
      </c>
      <c r="O445" s="131">
        <f t="shared" si="137"/>
        <v>0</v>
      </c>
      <c r="P445" s="131">
        <f t="shared" si="137"/>
        <v>0</v>
      </c>
      <c r="Q445" s="131">
        <f t="shared" si="137"/>
        <v>0</v>
      </c>
      <c r="R445" s="22" t="s">
        <v>560</v>
      </c>
      <c r="S445" s="97"/>
      <c r="T445" s="97"/>
      <c r="U445" s="97"/>
      <c r="V445" s="97"/>
      <c r="W445" s="97"/>
      <c r="X445" s="97"/>
      <c r="Y445" s="97"/>
      <c r="Z445" s="97"/>
      <c r="AA445" s="97"/>
      <c r="AB445" s="97"/>
      <c r="AC445" s="97"/>
      <c r="AD445" s="97"/>
      <c r="AE445" s="97"/>
      <c r="AF445" s="97"/>
      <c r="AG445" s="97"/>
      <c r="AH445" s="97"/>
      <c r="AI445" s="97"/>
      <c r="AJ445" s="97"/>
      <c r="AK445" s="97"/>
      <c r="AL445" s="97"/>
      <c r="AM445" s="97"/>
      <c r="AN445" s="97"/>
      <c r="AO445" s="97"/>
      <c r="AP445" s="97"/>
      <c r="AQ445" s="97"/>
      <c r="AR445" s="97"/>
      <c r="AS445" s="97"/>
      <c r="AT445" s="97"/>
      <c r="AU445" s="97"/>
      <c r="AV445" s="97"/>
      <c r="AW445" s="97"/>
      <c r="AX445" s="97"/>
      <c r="AY445" s="97"/>
      <c r="AZ445" s="97"/>
      <c r="BA445" s="97"/>
      <c r="BB445" s="97"/>
      <c r="BC445" s="97"/>
      <c r="BD445" s="97"/>
      <c r="BE445" s="97"/>
      <c r="BF445" s="97"/>
      <c r="BG445" s="97"/>
      <c r="BH445" s="97"/>
      <c r="BI445" s="97"/>
      <c r="BJ445" s="97"/>
      <c r="BK445" s="97"/>
      <c r="BL445" s="97"/>
      <c r="BM445" s="97"/>
      <c r="BN445" s="97"/>
      <c r="BO445" s="97"/>
      <c r="BP445" s="97"/>
      <c r="BQ445" s="97"/>
      <c r="BR445" s="97"/>
      <c r="BS445" s="97"/>
      <c r="BT445" s="97"/>
      <c r="BU445" s="97"/>
      <c r="BV445" s="97"/>
      <c r="BW445" s="97"/>
      <c r="BX445" s="97"/>
      <c r="BY445" s="97"/>
      <c r="BZ445" s="97"/>
      <c r="CA445" s="97"/>
      <c r="CB445" s="97"/>
      <c r="CC445" s="97"/>
      <c r="CD445" s="97"/>
      <c r="CE445" s="97"/>
      <c r="CF445" s="97"/>
      <c r="CG445" s="97"/>
      <c r="CH445" s="97"/>
      <c r="CI445" s="97"/>
      <c r="CJ445" s="97"/>
      <c r="CK445" s="97"/>
      <c r="CL445" s="97"/>
      <c r="CM445" s="97"/>
      <c r="CN445" s="97"/>
      <c r="CO445" s="97"/>
      <c r="CP445" s="97"/>
      <c r="CQ445" s="97"/>
    </row>
    <row r="446" spans="1:95" ht="15" customHeight="1" outlineLevel="1">
      <c r="A446" s="97"/>
      <c r="B446" s="104" t="s">
        <v>84</v>
      </c>
      <c r="C446" s="138"/>
      <c r="D446" s="131">
        <f t="shared" ref="D446:Q446" si="138">Opening_without_54_57_with_xx*Without_54_57_with_xx_AMI_value</f>
        <v>0</v>
      </c>
      <c r="E446" s="131">
        <f t="shared" si="138"/>
        <v>0</v>
      </c>
      <c r="F446" s="131">
        <f t="shared" si="138"/>
        <v>0</v>
      </c>
      <c r="G446" s="131">
        <f t="shared" si="138"/>
        <v>0</v>
      </c>
      <c r="H446" s="131">
        <f t="shared" si="138"/>
        <v>0</v>
      </c>
      <c r="I446" s="131">
        <f t="shared" si="138"/>
        <v>0</v>
      </c>
      <c r="J446" s="131">
        <f t="shared" si="138"/>
        <v>0</v>
      </c>
      <c r="K446" s="131">
        <f t="shared" si="138"/>
        <v>0</v>
      </c>
      <c r="L446" s="131">
        <f t="shared" si="138"/>
        <v>0</v>
      </c>
      <c r="M446" s="131">
        <f t="shared" si="138"/>
        <v>0</v>
      </c>
      <c r="N446" s="131">
        <f t="shared" si="138"/>
        <v>0</v>
      </c>
      <c r="O446" s="131">
        <f t="shared" si="138"/>
        <v>0</v>
      </c>
      <c r="P446" s="131">
        <f t="shared" si="138"/>
        <v>0</v>
      </c>
      <c r="Q446" s="131">
        <f t="shared" si="138"/>
        <v>0</v>
      </c>
      <c r="R446" s="22" t="s">
        <v>561</v>
      </c>
      <c r="S446" s="97"/>
      <c r="T446" s="97"/>
      <c r="U446" s="97"/>
      <c r="V446" s="97"/>
      <c r="W446" s="97"/>
      <c r="X446" s="97"/>
      <c r="Y446" s="97"/>
      <c r="Z446" s="97"/>
      <c r="AA446" s="97"/>
      <c r="AB446" s="97"/>
      <c r="AC446" s="97"/>
      <c r="AD446" s="97"/>
      <c r="AE446" s="97"/>
      <c r="AF446" s="97"/>
      <c r="AG446" s="97"/>
      <c r="AH446" s="97"/>
      <c r="AI446" s="97"/>
      <c r="AJ446" s="97"/>
      <c r="AK446" s="97"/>
      <c r="AL446" s="97"/>
      <c r="AM446" s="97"/>
      <c r="AN446" s="97"/>
      <c r="AO446" s="97"/>
      <c r="AP446" s="97"/>
      <c r="AQ446" s="97"/>
      <c r="AR446" s="97"/>
      <c r="AS446" s="97"/>
      <c r="AT446" s="97"/>
      <c r="AU446" s="97"/>
      <c r="AV446" s="97"/>
      <c r="AW446" s="97"/>
      <c r="AX446" s="97"/>
      <c r="AY446" s="97"/>
      <c r="AZ446" s="97"/>
      <c r="BA446" s="97"/>
      <c r="BB446" s="97"/>
      <c r="BC446" s="97"/>
      <c r="BD446" s="97"/>
      <c r="BE446" s="97"/>
      <c r="BF446" s="97"/>
      <c r="BG446" s="97"/>
      <c r="BH446" s="97"/>
      <c r="BI446" s="97"/>
      <c r="BJ446" s="97"/>
      <c r="BK446" s="97"/>
      <c r="BL446" s="97"/>
      <c r="BM446" s="97"/>
      <c r="BN446" s="97"/>
      <c r="BO446" s="97"/>
      <c r="BP446" s="97"/>
      <c r="BQ446" s="97"/>
      <c r="BR446" s="97"/>
      <c r="BS446" s="97"/>
      <c r="BT446" s="97"/>
      <c r="BU446" s="97"/>
      <c r="BV446" s="97"/>
      <c r="BW446" s="97"/>
      <c r="BX446" s="97"/>
      <c r="BY446" s="97"/>
      <c r="BZ446" s="97"/>
      <c r="CA446" s="97"/>
      <c r="CB446" s="97"/>
      <c r="CC446" s="97"/>
      <c r="CD446" s="97"/>
      <c r="CE446" s="97"/>
      <c r="CF446" s="97"/>
      <c r="CG446" s="97"/>
      <c r="CH446" s="97"/>
      <c r="CI446" s="97"/>
      <c r="CJ446" s="97"/>
      <c r="CK446" s="97"/>
      <c r="CL446" s="97"/>
      <c r="CM446" s="97"/>
      <c r="CN446" s="97"/>
      <c r="CO446" s="97"/>
      <c r="CP446" s="97"/>
      <c r="CQ446" s="97"/>
    </row>
    <row r="447" spans="1:95" ht="15" customHeight="1" outlineLevel="1">
      <c r="A447" s="97"/>
      <c r="B447" s="104" t="s">
        <v>85</v>
      </c>
      <c r="C447" s="138"/>
      <c r="D447" s="131">
        <f t="shared" ref="D447:Q447" si="139">Opening_without_57_60_with_xx*Without_57_60_with_xx_AMI_value</f>
        <v>0</v>
      </c>
      <c r="E447" s="131">
        <f t="shared" si="139"/>
        <v>0</v>
      </c>
      <c r="F447" s="131">
        <f t="shared" si="139"/>
        <v>0</v>
      </c>
      <c r="G447" s="131">
        <f t="shared" si="139"/>
        <v>0</v>
      </c>
      <c r="H447" s="131">
        <f t="shared" si="139"/>
        <v>0</v>
      </c>
      <c r="I447" s="131">
        <f t="shared" si="139"/>
        <v>0</v>
      </c>
      <c r="J447" s="131">
        <f t="shared" si="139"/>
        <v>0</v>
      </c>
      <c r="K447" s="131">
        <f t="shared" si="139"/>
        <v>0</v>
      </c>
      <c r="L447" s="131">
        <f t="shared" si="139"/>
        <v>0</v>
      </c>
      <c r="M447" s="131">
        <f t="shared" si="139"/>
        <v>0</v>
      </c>
      <c r="N447" s="131">
        <f t="shared" si="139"/>
        <v>0</v>
      </c>
      <c r="O447" s="131">
        <f t="shared" si="139"/>
        <v>0</v>
      </c>
      <c r="P447" s="131">
        <f t="shared" si="139"/>
        <v>0</v>
      </c>
      <c r="Q447" s="131">
        <f t="shared" si="139"/>
        <v>0</v>
      </c>
      <c r="R447" s="22" t="s">
        <v>562</v>
      </c>
      <c r="S447" s="97"/>
      <c r="T447" s="97"/>
      <c r="U447" s="97"/>
      <c r="V447" s="97"/>
      <c r="W447" s="97"/>
      <c r="X447" s="97"/>
      <c r="Y447" s="97"/>
      <c r="Z447" s="97"/>
      <c r="AA447" s="97"/>
      <c r="AB447" s="97"/>
      <c r="AC447" s="97"/>
      <c r="AD447" s="97"/>
      <c r="AE447" s="97"/>
      <c r="AF447" s="97"/>
      <c r="AG447" s="97"/>
      <c r="AH447" s="97"/>
      <c r="AI447" s="97"/>
      <c r="AJ447" s="97"/>
      <c r="AK447" s="97"/>
      <c r="AL447" s="97"/>
      <c r="AM447" s="97"/>
      <c r="AN447" s="97"/>
      <c r="AO447" s="97"/>
      <c r="AP447" s="97"/>
      <c r="AQ447" s="97"/>
      <c r="AR447" s="97"/>
      <c r="AS447" s="97"/>
      <c r="AT447" s="97"/>
      <c r="AU447" s="97"/>
      <c r="AV447" s="97"/>
      <c r="AW447" s="97"/>
      <c r="AX447" s="97"/>
      <c r="AY447" s="97"/>
      <c r="AZ447" s="97"/>
      <c r="BA447" s="97"/>
      <c r="BB447" s="97"/>
      <c r="BC447" s="97"/>
      <c r="BD447" s="97"/>
      <c r="BE447" s="97"/>
      <c r="BF447" s="97"/>
      <c r="BG447" s="97"/>
      <c r="BH447" s="97"/>
      <c r="BI447" s="97"/>
      <c r="BJ447" s="97"/>
      <c r="BK447" s="97"/>
      <c r="BL447" s="97"/>
      <c r="BM447" s="97"/>
      <c r="BN447" s="97"/>
      <c r="BO447" s="97"/>
      <c r="BP447" s="97"/>
      <c r="BQ447" s="97"/>
      <c r="BR447" s="97"/>
      <c r="BS447" s="97"/>
      <c r="BT447" s="97"/>
      <c r="BU447" s="97"/>
      <c r="BV447" s="97"/>
      <c r="BW447" s="97"/>
      <c r="BX447" s="97"/>
      <c r="BY447" s="97"/>
      <c r="BZ447" s="97"/>
      <c r="CA447" s="97"/>
      <c r="CB447" s="97"/>
      <c r="CC447" s="97"/>
      <c r="CD447" s="97"/>
      <c r="CE447" s="97"/>
      <c r="CF447" s="97"/>
      <c r="CG447" s="97"/>
      <c r="CH447" s="97"/>
      <c r="CI447" s="97"/>
      <c r="CJ447" s="97"/>
      <c r="CK447" s="97"/>
      <c r="CL447" s="97"/>
      <c r="CM447" s="97"/>
      <c r="CN447" s="97"/>
      <c r="CO447" s="97"/>
      <c r="CP447" s="97"/>
      <c r="CQ447" s="97"/>
    </row>
    <row r="448" spans="1:95" ht="15" customHeight="1" outlineLevel="1">
      <c r="A448" s="97"/>
      <c r="B448" s="104" t="s">
        <v>86</v>
      </c>
      <c r="C448" s="138"/>
      <c r="D448" s="131">
        <f t="shared" ref="D448:Q448" si="140">Opening_without_60_63_with_xx*Without_60_63_with_xx_AMI_value</f>
        <v>0</v>
      </c>
      <c r="E448" s="131">
        <f t="shared" si="140"/>
        <v>0</v>
      </c>
      <c r="F448" s="131">
        <f t="shared" si="140"/>
        <v>0</v>
      </c>
      <c r="G448" s="131">
        <f t="shared" si="140"/>
        <v>0</v>
      </c>
      <c r="H448" s="131">
        <f t="shared" si="140"/>
        <v>0</v>
      </c>
      <c r="I448" s="131">
        <f t="shared" si="140"/>
        <v>0</v>
      </c>
      <c r="J448" s="131">
        <f t="shared" si="140"/>
        <v>0</v>
      </c>
      <c r="K448" s="131">
        <f t="shared" si="140"/>
        <v>0</v>
      </c>
      <c r="L448" s="131">
        <f t="shared" si="140"/>
        <v>0</v>
      </c>
      <c r="M448" s="131">
        <f t="shared" si="140"/>
        <v>0</v>
      </c>
      <c r="N448" s="131">
        <f t="shared" si="140"/>
        <v>0</v>
      </c>
      <c r="O448" s="131">
        <f t="shared" si="140"/>
        <v>0</v>
      </c>
      <c r="P448" s="131">
        <f t="shared" si="140"/>
        <v>0</v>
      </c>
      <c r="Q448" s="131">
        <f t="shared" si="140"/>
        <v>0</v>
      </c>
      <c r="R448" s="22" t="s">
        <v>563</v>
      </c>
      <c r="S448" s="97"/>
      <c r="T448" s="97"/>
      <c r="U448" s="97"/>
      <c r="V448" s="97"/>
      <c r="W448" s="97"/>
      <c r="X448" s="97"/>
      <c r="Y448" s="97"/>
      <c r="Z448" s="97"/>
      <c r="AA448" s="97"/>
      <c r="AB448" s="97"/>
      <c r="AC448" s="97"/>
      <c r="AD448" s="97"/>
      <c r="AE448" s="97"/>
      <c r="AF448" s="97"/>
      <c r="AG448" s="97"/>
      <c r="AH448" s="97"/>
      <c r="AI448" s="97"/>
      <c r="AJ448" s="97"/>
      <c r="AK448" s="97"/>
      <c r="AL448" s="97"/>
      <c r="AM448" s="97"/>
      <c r="AN448" s="97"/>
      <c r="AO448" s="97"/>
      <c r="AP448" s="97"/>
      <c r="AQ448" s="97"/>
      <c r="AR448" s="97"/>
      <c r="AS448" s="97"/>
      <c r="AT448" s="97"/>
      <c r="AU448" s="97"/>
      <c r="AV448" s="97"/>
      <c r="AW448" s="97"/>
      <c r="AX448" s="97"/>
      <c r="AY448" s="97"/>
      <c r="AZ448" s="97"/>
      <c r="BA448" s="97"/>
      <c r="BB448" s="97"/>
      <c r="BC448" s="97"/>
      <c r="BD448" s="97"/>
      <c r="BE448" s="97"/>
      <c r="BF448" s="97"/>
      <c r="BG448" s="97"/>
      <c r="BH448" s="97"/>
      <c r="BI448" s="97"/>
      <c r="BJ448" s="97"/>
      <c r="BK448" s="97"/>
      <c r="BL448" s="97"/>
      <c r="BM448" s="97"/>
      <c r="BN448" s="97"/>
      <c r="BO448" s="97"/>
      <c r="BP448" s="97"/>
      <c r="BQ448" s="97"/>
      <c r="BR448" s="97"/>
      <c r="BS448" s="97"/>
      <c r="BT448" s="97"/>
      <c r="BU448" s="97"/>
      <c r="BV448" s="97"/>
      <c r="BW448" s="97"/>
      <c r="BX448" s="97"/>
      <c r="BY448" s="97"/>
      <c r="BZ448" s="97"/>
      <c r="CA448" s="97"/>
      <c r="CB448" s="97"/>
      <c r="CC448" s="97"/>
      <c r="CD448" s="97"/>
      <c r="CE448" s="97"/>
      <c r="CF448" s="97"/>
      <c r="CG448" s="97"/>
      <c r="CH448" s="97"/>
      <c r="CI448" s="97"/>
      <c r="CJ448" s="97"/>
      <c r="CK448" s="97"/>
      <c r="CL448" s="97"/>
      <c r="CM448" s="97"/>
      <c r="CN448" s="97"/>
      <c r="CO448" s="97"/>
      <c r="CP448" s="97"/>
      <c r="CQ448" s="97"/>
    </row>
    <row r="449" spans="1:95" ht="15" customHeight="1" outlineLevel="1">
      <c r="A449" s="97"/>
      <c r="B449" s="104" t="s">
        <v>87</v>
      </c>
      <c r="C449" s="138"/>
      <c r="D449" s="131">
        <f t="shared" ref="D449:Q449" si="141">Opening_without_63_66_with_xx*Without_63_66_with_xx_AMI_value</f>
        <v>0</v>
      </c>
      <c r="E449" s="131">
        <f t="shared" si="141"/>
        <v>0</v>
      </c>
      <c r="F449" s="131">
        <f t="shared" si="141"/>
        <v>0</v>
      </c>
      <c r="G449" s="131">
        <f t="shared" si="141"/>
        <v>0</v>
      </c>
      <c r="H449" s="131">
        <f t="shared" si="141"/>
        <v>0</v>
      </c>
      <c r="I449" s="131">
        <f t="shared" si="141"/>
        <v>0</v>
      </c>
      <c r="J449" s="131">
        <f t="shared" si="141"/>
        <v>0</v>
      </c>
      <c r="K449" s="131">
        <f t="shared" si="141"/>
        <v>0</v>
      </c>
      <c r="L449" s="131">
        <f t="shared" si="141"/>
        <v>0</v>
      </c>
      <c r="M449" s="131">
        <f t="shared" si="141"/>
        <v>0</v>
      </c>
      <c r="N449" s="131">
        <f t="shared" si="141"/>
        <v>0</v>
      </c>
      <c r="O449" s="131">
        <f t="shared" si="141"/>
        <v>0</v>
      </c>
      <c r="P449" s="131">
        <f t="shared" si="141"/>
        <v>0</v>
      </c>
      <c r="Q449" s="131">
        <f t="shared" si="141"/>
        <v>0</v>
      </c>
      <c r="R449" s="22" t="s">
        <v>564</v>
      </c>
      <c r="S449" s="97"/>
      <c r="T449" s="97"/>
      <c r="U449" s="97"/>
      <c r="V449" s="97"/>
      <c r="W449" s="97"/>
      <c r="X449" s="97"/>
      <c r="Y449" s="97"/>
      <c r="Z449" s="97"/>
      <c r="AA449" s="97"/>
      <c r="AB449" s="97"/>
      <c r="AC449" s="97"/>
      <c r="AD449" s="97"/>
      <c r="AE449" s="97"/>
      <c r="AF449" s="97"/>
      <c r="AG449" s="97"/>
      <c r="AH449" s="97"/>
      <c r="AI449" s="97"/>
      <c r="AJ449" s="97"/>
      <c r="AK449" s="97"/>
      <c r="AL449" s="97"/>
      <c r="AM449" s="97"/>
      <c r="AN449" s="97"/>
      <c r="AO449" s="97"/>
      <c r="AP449" s="97"/>
      <c r="AQ449" s="97"/>
      <c r="AR449" s="97"/>
      <c r="AS449" s="97"/>
      <c r="AT449" s="97"/>
      <c r="AU449" s="97"/>
      <c r="AV449" s="97"/>
      <c r="AW449" s="97"/>
      <c r="AX449" s="97"/>
      <c r="AY449" s="97"/>
      <c r="AZ449" s="97"/>
      <c r="BA449" s="97"/>
      <c r="BB449" s="97"/>
      <c r="BC449" s="97"/>
      <c r="BD449" s="97"/>
      <c r="BE449" s="97"/>
      <c r="BF449" s="97"/>
      <c r="BG449" s="97"/>
      <c r="BH449" s="97"/>
      <c r="BI449" s="97"/>
      <c r="BJ449" s="97"/>
      <c r="BK449" s="97"/>
      <c r="BL449" s="97"/>
      <c r="BM449" s="97"/>
      <c r="BN449" s="97"/>
      <c r="BO449" s="97"/>
      <c r="BP449" s="97"/>
      <c r="BQ449" s="97"/>
      <c r="BR449" s="97"/>
      <c r="BS449" s="97"/>
      <c r="BT449" s="97"/>
      <c r="BU449" s="97"/>
      <c r="BV449" s="97"/>
      <c r="BW449" s="97"/>
      <c r="BX449" s="97"/>
      <c r="BY449" s="97"/>
      <c r="BZ449" s="97"/>
      <c r="CA449" s="97"/>
      <c r="CB449" s="97"/>
      <c r="CC449" s="97"/>
      <c r="CD449" s="97"/>
      <c r="CE449" s="97"/>
      <c r="CF449" s="97"/>
      <c r="CG449" s="97"/>
      <c r="CH449" s="97"/>
      <c r="CI449" s="97"/>
      <c r="CJ449" s="97"/>
      <c r="CK449" s="97"/>
      <c r="CL449" s="97"/>
      <c r="CM449" s="97"/>
      <c r="CN449" s="97"/>
      <c r="CO449" s="97"/>
      <c r="CP449" s="97"/>
      <c r="CQ449" s="97"/>
    </row>
    <row r="450" spans="1:95" ht="15" customHeight="1" outlineLevel="1">
      <c r="A450" s="97"/>
      <c r="B450" s="104" t="s">
        <v>88</v>
      </c>
      <c r="C450" s="138"/>
      <c r="D450" s="131">
        <f t="shared" ref="D450:Q450" si="142">Opening_without_66_69_with_xx*Without_66_69_with_xx_AMI_value</f>
        <v>0</v>
      </c>
      <c r="E450" s="131">
        <f t="shared" si="142"/>
        <v>0</v>
      </c>
      <c r="F450" s="131">
        <f t="shared" si="142"/>
        <v>0</v>
      </c>
      <c r="G450" s="131">
        <f t="shared" si="142"/>
        <v>0</v>
      </c>
      <c r="H450" s="131">
        <f t="shared" si="142"/>
        <v>0</v>
      </c>
      <c r="I450" s="131">
        <f t="shared" si="142"/>
        <v>0</v>
      </c>
      <c r="J450" s="131">
        <f t="shared" si="142"/>
        <v>0</v>
      </c>
      <c r="K450" s="131">
        <f t="shared" si="142"/>
        <v>0</v>
      </c>
      <c r="L450" s="131">
        <f t="shared" si="142"/>
        <v>0</v>
      </c>
      <c r="M450" s="131">
        <f t="shared" si="142"/>
        <v>0</v>
      </c>
      <c r="N450" s="131">
        <f t="shared" si="142"/>
        <v>0</v>
      </c>
      <c r="O450" s="131">
        <f t="shared" si="142"/>
        <v>0</v>
      </c>
      <c r="P450" s="131">
        <f t="shared" si="142"/>
        <v>0</v>
      </c>
      <c r="Q450" s="131">
        <f t="shared" si="142"/>
        <v>0</v>
      </c>
      <c r="R450" s="22" t="s">
        <v>565</v>
      </c>
      <c r="S450" s="97"/>
      <c r="T450" s="97"/>
      <c r="U450" s="97"/>
      <c r="V450" s="97"/>
      <c r="W450" s="97"/>
      <c r="X450" s="97"/>
      <c r="Y450" s="97"/>
      <c r="Z450" s="97"/>
      <c r="AA450" s="97"/>
      <c r="AB450" s="97"/>
      <c r="AC450" s="97"/>
      <c r="AD450" s="97"/>
      <c r="AE450" s="97"/>
      <c r="AF450" s="97"/>
      <c r="AG450" s="97"/>
      <c r="AH450" s="97"/>
      <c r="AI450" s="97"/>
      <c r="AJ450" s="97"/>
      <c r="AK450" s="97"/>
      <c r="AL450" s="97"/>
      <c r="AM450" s="97"/>
      <c r="AN450" s="97"/>
      <c r="AO450" s="97"/>
      <c r="AP450" s="97"/>
      <c r="AQ450" s="97"/>
      <c r="AR450" s="97"/>
      <c r="AS450" s="97"/>
      <c r="AT450" s="97"/>
      <c r="AU450" s="97"/>
      <c r="AV450" s="97"/>
      <c r="AW450" s="97"/>
      <c r="AX450" s="97"/>
      <c r="AY450" s="97"/>
      <c r="AZ450" s="97"/>
      <c r="BA450" s="97"/>
      <c r="BB450" s="97"/>
      <c r="BC450" s="97"/>
      <c r="BD450" s="97"/>
      <c r="BE450" s="97"/>
      <c r="BF450" s="97"/>
      <c r="BG450" s="97"/>
      <c r="BH450" s="97"/>
      <c r="BI450" s="97"/>
      <c r="BJ450" s="97"/>
      <c r="BK450" s="97"/>
      <c r="BL450" s="97"/>
      <c r="BM450" s="97"/>
      <c r="BN450" s="97"/>
      <c r="BO450" s="97"/>
      <c r="BP450" s="97"/>
      <c r="BQ450" s="97"/>
      <c r="BR450" s="97"/>
      <c r="BS450" s="97"/>
      <c r="BT450" s="97"/>
      <c r="BU450" s="97"/>
      <c r="BV450" s="97"/>
      <c r="BW450" s="97"/>
      <c r="BX450" s="97"/>
      <c r="BY450" s="97"/>
      <c r="BZ450" s="97"/>
      <c r="CA450" s="97"/>
      <c r="CB450" s="97"/>
      <c r="CC450" s="97"/>
      <c r="CD450" s="97"/>
      <c r="CE450" s="97"/>
      <c r="CF450" s="97"/>
      <c r="CG450" s="97"/>
      <c r="CH450" s="97"/>
      <c r="CI450" s="97"/>
      <c r="CJ450" s="97"/>
      <c r="CK450" s="97"/>
      <c r="CL450" s="97"/>
      <c r="CM450" s="97"/>
      <c r="CN450" s="97"/>
      <c r="CO450" s="97"/>
      <c r="CP450" s="97"/>
      <c r="CQ450" s="97"/>
    </row>
    <row r="451" spans="1:95" ht="15" customHeight="1" outlineLevel="1">
      <c r="A451" s="97"/>
      <c r="B451" s="104" t="s">
        <v>89</v>
      </c>
      <c r="C451" s="138"/>
      <c r="D451" s="131">
        <f t="shared" ref="D451:Q451" si="143">Opening_without_69_72_with_xx*Without_69_72_with_xx_AMI_value</f>
        <v>0</v>
      </c>
      <c r="E451" s="131">
        <f t="shared" si="143"/>
        <v>0</v>
      </c>
      <c r="F451" s="131">
        <f t="shared" si="143"/>
        <v>0</v>
      </c>
      <c r="G451" s="131">
        <f t="shared" si="143"/>
        <v>0</v>
      </c>
      <c r="H451" s="131">
        <f t="shared" si="143"/>
        <v>0</v>
      </c>
      <c r="I451" s="131">
        <f t="shared" si="143"/>
        <v>0</v>
      </c>
      <c r="J451" s="131">
        <f t="shared" si="143"/>
        <v>0</v>
      </c>
      <c r="K451" s="131">
        <f t="shared" si="143"/>
        <v>0</v>
      </c>
      <c r="L451" s="131">
        <f t="shared" si="143"/>
        <v>0</v>
      </c>
      <c r="M451" s="131">
        <f t="shared" si="143"/>
        <v>0</v>
      </c>
      <c r="N451" s="131">
        <f t="shared" si="143"/>
        <v>0</v>
      </c>
      <c r="O451" s="131">
        <f t="shared" si="143"/>
        <v>0</v>
      </c>
      <c r="P451" s="131">
        <f t="shared" si="143"/>
        <v>0</v>
      </c>
      <c r="Q451" s="131">
        <f t="shared" si="143"/>
        <v>0</v>
      </c>
      <c r="R451" s="22" t="s">
        <v>566</v>
      </c>
      <c r="S451" s="97"/>
      <c r="T451" s="97"/>
      <c r="U451" s="97"/>
      <c r="V451" s="97"/>
      <c r="W451" s="97"/>
      <c r="X451" s="97"/>
      <c r="Y451" s="97"/>
      <c r="Z451" s="97"/>
      <c r="AA451" s="97"/>
      <c r="AB451" s="97"/>
      <c r="AC451" s="97"/>
      <c r="AD451" s="97"/>
      <c r="AE451" s="97"/>
      <c r="AF451" s="97"/>
      <c r="AG451" s="97"/>
      <c r="AH451" s="97"/>
      <c r="AI451" s="97"/>
      <c r="AJ451" s="97"/>
      <c r="AK451" s="97"/>
      <c r="AL451" s="97"/>
      <c r="AM451" s="97"/>
      <c r="AN451" s="97"/>
      <c r="AO451" s="97"/>
      <c r="AP451" s="97"/>
      <c r="AQ451" s="97"/>
      <c r="AR451" s="97"/>
      <c r="AS451" s="97"/>
      <c r="AT451" s="97"/>
      <c r="AU451" s="97"/>
      <c r="AV451" s="97"/>
      <c r="AW451" s="97"/>
      <c r="AX451" s="97"/>
      <c r="AY451" s="97"/>
      <c r="AZ451" s="97"/>
      <c r="BA451" s="97"/>
      <c r="BB451" s="97"/>
      <c r="BC451" s="97"/>
      <c r="BD451" s="97"/>
      <c r="BE451" s="97"/>
      <c r="BF451" s="97"/>
      <c r="BG451" s="97"/>
      <c r="BH451" s="97"/>
      <c r="BI451" s="97"/>
      <c r="BJ451" s="97"/>
      <c r="BK451" s="97"/>
      <c r="BL451" s="97"/>
      <c r="BM451" s="97"/>
      <c r="BN451" s="97"/>
      <c r="BO451" s="97"/>
      <c r="BP451" s="97"/>
      <c r="BQ451" s="97"/>
      <c r="BR451" s="97"/>
      <c r="BS451" s="97"/>
      <c r="BT451" s="97"/>
      <c r="BU451" s="97"/>
      <c r="BV451" s="97"/>
      <c r="BW451" s="97"/>
      <c r="BX451" s="97"/>
      <c r="BY451" s="97"/>
      <c r="BZ451" s="97"/>
      <c r="CA451" s="97"/>
      <c r="CB451" s="97"/>
      <c r="CC451" s="97"/>
      <c r="CD451" s="97"/>
      <c r="CE451" s="97"/>
      <c r="CF451" s="97"/>
      <c r="CG451" s="97"/>
      <c r="CH451" s="97"/>
      <c r="CI451" s="97"/>
      <c r="CJ451" s="97"/>
      <c r="CK451" s="97"/>
      <c r="CL451" s="97"/>
      <c r="CM451" s="97"/>
      <c r="CN451" s="97"/>
      <c r="CO451" s="97"/>
      <c r="CP451" s="97"/>
      <c r="CQ451" s="97"/>
    </row>
    <row r="452" spans="1:95" ht="15" customHeight="1" outlineLevel="1">
      <c r="A452" s="97"/>
      <c r="B452" s="104" t="s">
        <v>90</v>
      </c>
      <c r="C452" s="138"/>
      <c r="D452" s="131">
        <f t="shared" ref="D452:Q452" si="144">Opening_without_72_75_with_xx*Without_72_75_with_xx_AMI_value</f>
        <v>0</v>
      </c>
      <c r="E452" s="131">
        <f t="shared" si="144"/>
        <v>0</v>
      </c>
      <c r="F452" s="131">
        <f t="shared" si="144"/>
        <v>0</v>
      </c>
      <c r="G452" s="131">
        <f t="shared" si="144"/>
        <v>0</v>
      </c>
      <c r="H452" s="131">
        <f t="shared" si="144"/>
        <v>0</v>
      </c>
      <c r="I452" s="131">
        <f t="shared" si="144"/>
        <v>0</v>
      </c>
      <c r="J452" s="131">
        <f t="shared" si="144"/>
        <v>0</v>
      </c>
      <c r="K452" s="131">
        <f t="shared" si="144"/>
        <v>0</v>
      </c>
      <c r="L452" s="131">
        <f t="shared" si="144"/>
        <v>0</v>
      </c>
      <c r="M452" s="131">
        <f t="shared" si="144"/>
        <v>0</v>
      </c>
      <c r="N452" s="131">
        <f t="shared" si="144"/>
        <v>0</v>
      </c>
      <c r="O452" s="131">
        <f t="shared" si="144"/>
        <v>0</v>
      </c>
      <c r="P452" s="131">
        <f t="shared" si="144"/>
        <v>0</v>
      </c>
      <c r="Q452" s="131">
        <f t="shared" si="144"/>
        <v>0</v>
      </c>
      <c r="R452" s="22" t="s">
        <v>567</v>
      </c>
      <c r="S452" s="97"/>
      <c r="T452" s="97"/>
      <c r="U452" s="97"/>
      <c r="V452" s="97"/>
      <c r="W452" s="97"/>
      <c r="X452" s="97"/>
      <c r="Y452" s="97"/>
      <c r="Z452" s="97"/>
      <c r="AA452" s="97"/>
      <c r="AB452" s="97"/>
      <c r="AC452" s="97"/>
      <c r="AD452" s="97"/>
      <c r="AE452" s="97"/>
      <c r="AF452" s="97"/>
      <c r="AG452" s="97"/>
      <c r="AH452" s="97"/>
      <c r="AI452" s="97"/>
      <c r="AJ452" s="97"/>
      <c r="AK452" s="97"/>
      <c r="AL452" s="97"/>
      <c r="AM452" s="97"/>
      <c r="AN452" s="97"/>
      <c r="AO452" s="97"/>
      <c r="AP452" s="97"/>
      <c r="AQ452" s="97"/>
      <c r="AR452" s="97"/>
      <c r="AS452" s="97"/>
      <c r="AT452" s="97"/>
      <c r="AU452" s="97"/>
      <c r="AV452" s="97"/>
      <c r="AW452" s="97"/>
      <c r="AX452" s="97"/>
      <c r="AY452" s="97"/>
      <c r="AZ452" s="97"/>
      <c r="BA452" s="97"/>
      <c r="BB452" s="97"/>
      <c r="BC452" s="97"/>
      <c r="BD452" s="97"/>
      <c r="BE452" s="97"/>
      <c r="BF452" s="97"/>
      <c r="BG452" s="97"/>
      <c r="BH452" s="97"/>
      <c r="BI452" s="97"/>
      <c r="BJ452" s="97"/>
      <c r="BK452" s="97"/>
      <c r="BL452" s="97"/>
      <c r="BM452" s="97"/>
      <c r="BN452" s="97"/>
      <c r="BO452" s="97"/>
      <c r="BP452" s="97"/>
      <c r="BQ452" s="97"/>
      <c r="BR452" s="97"/>
      <c r="BS452" s="97"/>
      <c r="BT452" s="97"/>
      <c r="BU452" s="97"/>
      <c r="BV452" s="97"/>
      <c r="BW452" s="97"/>
      <c r="BX452" s="97"/>
      <c r="BY452" s="97"/>
      <c r="BZ452" s="97"/>
      <c r="CA452" s="97"/>
      <c r="CB452" s="97"/>
      <c r="CC452" s="97"/>
      <c r="CD452" s="97"/>
      <c r="CE452" s="97"/>
      <c r="CF452" s="97"/>
      <c r="CG452" s="97"/>
      <c r="CH452" s="97"/>
      <c r="CI452" s="97"/>
      <c r="CJ452" s="97"/>
      <c r="CK452" s="97"/>
      <c r="CL452" s="97"/>
      <c r="CM452" s="97"/>
      <c r="CN452" s="97"/>
      <c r="CO452" s="97"/>
      <c r="CP452" s="97"/>
      <c r="CQ452" s="97"/>
    </row>
    <row r="453" spans="1:95" ht="15" customHeight="1" outlineLevel="1">
      <c r="A453" s="97"/>
      <c r="B453" s="104" t="s">
        <v>91</v>
      </c>
      <c r="C453" s="138"/>
      <c r="D453" s="131">
        <f t="shared" ref="D453:Q453" si="145">Opening_without_75_78_with_xx*Without_75_78_with_xx_AMI_value</f>
        <v>0</v>
      </c>
      <c r="E453" s="131">
        <f t="shared" si="145"/>
        <v>0</v>
      </c>
      <c r="F453" s="131">
        <f t="shared" si="145"/>
        <v>0</v>
      </c>
      <c r="G453" s="131">
        <f t="shared" si="145"/>
        <v>0</v>
      </c>
      <c r="H453" s="131">
        <f t="shared" si="145"/>
        <v>0</v>
      </c>
      <c r="I453" s="131">
        <f t="shared" si="145"/>
        <v>0</v>
      </c>
      <c r="J453" s="131">
        <f t="shared" si="145"/>
        <v>0</v>
      </c>
      <c r="K453" s="131">
        <f t="shared" si="145"/>
        <v>0</v>
      </c>
      <c r="L453" s="131">
        <f t="shared" si="145"/>
        <v>0</v>
      </c>
      <c r="M453" s="131">
        <f t="shared" si="145"/>
        <v>0</v>
      </c>
      <c r="N453" s="131">
        <f t="shared" si="145"/>
        <v>0</v>
      </c>
      <c r="O453" s="131">
        <f t="shared" si="145"/>
        <v>0</v>
      </c>
      <c r="P453" s="131">
        <f t="shared" si="145"/>
        <v>0</v>
      </c>
      <c r="Q453" s="131">
        <f t="shared" si="145"/>
        <v>0</v>
      </c>
      <c r="R453" s="22" t="s">
        <v>568</v>
      </c>
      <c r="S453" s="97"/>
      <c r="T453" s="97"/>
      <c r="U453" s="97"/>
      <c r="V453" s="97"/>
      <c r="W453" s="97"/>
      <c r="X453" s="97"/>
      <c r="Y453" s="97"/>
      <c r="Z453" s="97"/>
      <c r="AA453" s="97"/>
      <c r="AB453" s="97"/>
      <c r="AC453" s="97"/>
      <c r="AD453" s="97"/>
      <c r="AE453" s="97"/>
      <c r="AF453" s="97"/>
      <c r="AG453" s="97"/>
      <c r="AH453" s="97"/>
      <c r="AI453" s="97"/>
      <c r="AJ453" s="97"/>
      <c r="AK453" s="97"/>
      <c r="AL453" s="97"/>
      <c r="AM453" s="97"/>
      <c r="AN453" s="97"/>
      <c r="AO453" s="97"/>
      <c r="AP453" s="97"/>
      <c r="AQ453" s="97"/>
      <c r="AR453" s="97"/>
      <c r="AS453" s="97"/>
      <c r="AT453" s="97"/>
      <c r="AU453" s="97"/>
      <c r="AV453" s="97"/>
      <c r="AW453" s="97"/>
      <c r="AX453" s="97"/>
      <c r="AY453" s="97"/>
      <c r="AZ453" s="97"/>
      <c r="BA453" s="97"/>
      <c r="BB453" s="97"/>
      <c r="BC453" s="97"/>
      <c r="BD453" s="97"/>
      <c r="BE453" s="97"/>
      <c r="BF453" s="97"/>
      <c r="BG453" s="97"/>
      <c r="BH453" s="97"/>
      <c r="BI453" s="97"/>
      <c r="BJ453" s="97"/>
      <c r="BK453" s="97"/>
      <c r="BL453" s="97"/>
      <c r="BM453" s="97"/>
      <c r="BN453" s="97"/>
      <c r="BO453" s="97"/>
      <c r="BP453" s="97"/>
      <c r="BQ453" s="97"/>
      <c r="BR453" s="97"/>
      <c r="BS453" s="97"/>
      <c r="BT453" s="97"/>
      <c r="BU453" s="97"/>
      <c r="BV453" s="97"/>
      <c r="BW453" s="97"/>
      <c r="BX453" s="97"/>
      <c r="BY453" s="97"/>
      <c r="BZ453" s="97"/>
      <c r="CA453" s="97"/>
      <c r="CB453" s="97"/>
      <c r="CC453" s="97"/>
      <c r="CD453" s="97"/>
      <c r="CE453" s="97"/>
      <c r="CF453" s="97"/>
      <c r="CG453" s="97"/>
      <c r="CH453" s="97"/>
      <c r="CI453" s="97"/>
      <c r="CJ453" s="97"/>
      <c r="CK453" s="97"/>
      <c r="CL453" s="97"/>
      <c r="CM453" s="97"/>
      <c r="CN453" s="97"/>
      <c r="CO453" s="97"/>
      <c r="CP453" s="97"/>
      <c r="CQ453" s="97"/>
    </row>
    <row r="454" spans="1:95" ht="15" customHeight="1" outlineLevel="1">
      <c r="A454" s="97"/>
      <c r="B454" s="104" t="s">
        <v>92</v>
      </c>
      <c r="C454" s="138"/>
      <c r="D454" s="131">
        <f t="shared" ref="D454:Q454" si="146">Opening_without_78_81_with_xx*Without_78_81_with_xx_AMI_value</f>
        <v>0</v>
      </c>
      <c r="E454" s="131">
        <f t="shared" si="146"/>
        <v>0</v>
      </c>
      <c r="F454" s="131">
        <f t="shared" si="146"/>
        <v>0</v>
      </c>
      <c r="G454" s="131">
        <f t="shared" si="146"/>
        <v>0</v>
      </c>
      <c r="H454" s="131">
        <f t="shared" si="146"/>
        <v>0</v>
      </c>
      <c r="I454" s="131">
        <f t="shared" si="146"/>
        <v>0</v>
      </c>
      <c r="J454" s="131">
        <f t="shared" si="146"/>
        <v>0</v>
      </c>
      <c r="K454" s="131">
        <f t="shared" si="146"/>
        <v>0</v>
      </c>
      <c r="L454" s="131">
        <f t="shared" si="146"/>
        <v>0</v>
      </c>
      <c r="M454" s="131">
        <f t="shared" si="146"/>
        <v>0</v>
      </c>
      <c r="N454" s="131">
        <f t="shared" si="146"/>
        <v>0</v>
      </c>
      <c r="O454" s="131">
        <f t="shared" si="146"/>
        <v>0</v>
      </c>
      <c r="P454" s="131">
        <f t="shared" si="146"/>
        <v>0</v>
      </c>
      <c r="Q454" s="131">
        <f t="shared" si="146"/>
        <v>0</v>
      </c>
      <c r="R454" s="22" t="s">
        <v>569</v>
      </c>
      <c r="S454" s="97"/>
      <c r="T454" s="97"/>
      <c r="U454" s="97"/>
      <c r="V454" s="97"/>
      <c r="W454" s="97"/>
      <c r="X454" s="97"/>
      <c r="Y454" s="97"/>
      <c r="Z454" s="97"/>
      <c r="AA454" s="97"/>
      <c r="AB454" s="97"/>
      <c r="AC454" s="97"/>
      <c r="AD454" s="97"/>
      <c r="AE454" s="97"/>
      <c r="AF454" s="97"/>
      <c r="AG454" s="97"/>
      <c r="AH454" s="97"/>
      <c r="AI454" s="97"/>
      <c r="AJ454" s="97"/>
      <c r="AK454" s="97"/>
      <c r="AL454" s="97"/>
      <c r="AM454" s="97"/>
      <c r="AN454" s="97"/>
      <c r="AO454" s="97"/>
      <c r="AP454" s="97"/>
      <c r="AQ454" s="97"/>
      <c r="AR454" s="97"/>
      <c r="AS454" s="97"/>
      <c r="AT454" s="97"/>
      <c r="AU454" s="97"/>
      <c r="AV454" s="97"/>
      <c r="AW454" s="97"/>
      <c r="AX454" s="97"/>
      <c r="AY454" s="97"/>
      <c r="AZ454" s="97"/>
      <c r="BA454" s="97"/>
      <c r="BB454" s="97"/>
      <c r="BC454" s="97"/>
      <c r="BD454" s="97"/>
      <c r="BE454" s="97"/>
      <c r="BF454" s="97"/>
      <c r="BG454" s="97"/>
      <c r="BH454" s="97"/>
      <c r="BI454" s="97"/>
      <c r="BJ454" s="97"/>
      <c r="BK454" s="97"/>
      <c r="BL454" s="97"/>
      <c r="BM454" s="97"/>
      <c r="BN454" s="97"/>
      <c r="BO454" s="97"/>
      <c r="BP454" s="97"/>
      <c r="BQ454" s="97"/>
      <c r="BR454" s="97"/>
      <c r="BS454" s="97"/>
      <c r="BT454" s="97"/>
      <c r="BU454" s="97"/>
      <c r="BV454" s="97"/>
      <c r="BW454" s="97"/>
      <c r="BX454" s="97"/>
      <c r="BY454" s="97"/>
      <c r="BZ454" s="97"/>
      <c r="CA454" s="97"/>
      <c r="CB454" s="97"/>
      <c r="CC454" s="97"/>
      <c r="CD454" s="97"/>
      <c r="CE454" s="97"/>
      <c r="CF454" s="97"/>
      <c r="CG454" s="97"/>
      <c r="CH454" s="97"/>
      <c r="CI454" s="97"/>
      <c r="CJ454" s="97"/>
      <c r="CK454" s="97"/>
      <c r="CL454" s="97"/>
      <c r="CM454" s="97"/>
      <c r="CN454" s="97"/>
      <c r="CO454" s="97"/>
      <c r="CP454" s="97"/>
      <c r="CQ454" s="97"/>
    </row>
    <row r="455" spans="1:95" ht="15" customHeight="1" outlineLevel="1">
      <c r="A455" s="97"/>
      <c r="B455" s="104" t="s">
        <v>93</v>
      </c>
      <c r="C455" s="139"/>
      <c r="D455" s="131">
        <f t="shared" ref="D455:Q455" si="147">Opening_without_81_with_xx*Without_81_with_xx_AMI_value</f>
        <v>0</v>
      </c>
      <c r="E455" s="131">
        <f t="shared" si="147"/>
        <v>0</v>
      </c>
      <c r="F455" s="131">
        <f t="shared" si="147"/>
        <v>0</v>
      </c>
      <c r="G455" s="131">
        <f t="shared" si="147"/>
        <v>0</v>
      </c>
      <c r="H455" s="131">
        <f t="shared" si="147"/>
        <v>0</v>
      </c>
      <c r="I455" s="131">
        <f t="shared" si="147"/>
        <v>0</v>
      </c>
      <c r="J455" s="131">
        <f t="shared" si="147"/>
        <v>0</v>
      </c>
      <c r="K455" s="131">
        <f t="shared" si="147"/>
        <v>0</v>
      </c>
      <c r="L455" s="131">
        <f t="shared" si="147"/>
        <v>0</v>
      </c>
      <c r="M455" s="131">
        <f t="shared" si="147"/>
        <v>0</v>
      </c>
      <c r="N455" s="131">
        <f t="shared" si="147"/>
        <v>0</v>
      </c>
      <c r="O455" s="131">
        <f t="shared" si="147"/>
        <v>0</v>
      </c>
      <c r="P455" s="131">
        <f t="shared" si="147"/>
        <v>0</v>
      </c>
      <c r="Q455" s="131">
        <f t="shared" si="147"/>
        <v>0</v>
      </c>
      <c r="R455" s="22" t="s">
        <v>570</v>
      </c>
      <c r="S455" s="97"/>
      <c r="T455" s="97"/>
      <c r="U455" s="97"/>
      <c r="V455" s="97"/>
      <c r="W455" s="97"/>
      <c r="X455" s="97"/>
      <c r="Y455" s="97"/>
      <c r="Z455" s="97"/>
      <c r="AA455" s="97"/>
      <c r="AB455" s="97"/>
      <c r="AC455" s="97"/>
      <c r="AD455" s="97"/>
      <c r="AE455" s="97"/>
      <c r="AF455" s="97"/>
      <c r="AG455" s="97"/>
      <c r="AH455" s="97"/>
      <c r="AI455" s="97"/>
      <c r="AJ455" s="97"/>
      <c r="AK455" s="97"/>
      <c r="AL455" s="97"/>
      <c r="AM455" s="97"/>
      <c r="AN455" s="97"/>
      <c r="AO455" s="97"/>
      <c r="AP455" s="97"/>
      <c r="AQ455" s="97"/>
      <c r="AR455" s="97"/>
      <c r="AS455" s="97"/>
      <c r="AT455" s="97"/>
      <c r="AU455" s="97"/>
      <c r="AV455" s="97"/>
      <c r="AW455" s="97"/>
      <c r="AX455" s="97"/>
      <c r="AY455" s="97"/>
      <c r="AZ455" s="97"/>
      <c r="BA455" s="97"/>
      <c r="BB455" s="97"/>
      <c r="BC455" s="97"/>
      <c r="BD455" s="97"/>
      <c r="BE455" s="97"/>
      <c r="BF455" s="97"/>
      <c r="BG455" s="97"/>
      <c r="BH455" s="97"/>
      <c r="BI455" s="97"/>
      <c r="BJ455" s="97"/>
      <c r="BK455" s="97"/>
      <c r="BL455" s="97"/>
      <c r="BM455" s="97"/>
      <c r="BN455" s="97"/>
      <c r="BO455" s="97"/>
      <c r="BP455" s="97"/>
      <c r="BQ455" s="97"/>
      <c r="BR455" s="97"/>
      <c r="BS455" s="97"/>
      <c r="BT455" s="97"/>
      <c r="BU455" s="97"/>
      <c r="BV455" s="97"/>
      <c r="BW455" s="97"/>
      <c r="BX455" s="97"/>
      <c r="BY455" s="97"/>
      <c r="BZ455" s="97"/>
      <c r="CA455" s="97"/>
      <c r="CB455" s="97"/>
      <c r="CC455" s="97"/>
      <c r="CD455" s="97"/>
      <c r="CE455" s="97"/>
      <c r="CF455" s="97"/>
      <c r="CG455" s="97"/>
      <c r="CH455" s="97"/>
      <c r="CI455" s="97"/>
      <c r="CJ455" s="97"/>
      <c r="CK455" s="97"/>
      <c r="CL455" s="97"/>
      <c r="CM455" s="97"/>
      <c r="CN455" s="97"/>
      <c r="CO455" s="97"/>
      <c r="CP455" s="97"/>
      <c r="CQ455" s="97"/>
    </row>
    <row r="456" spans="1:95" ht="15" customHeight="1" outlineLevel="1">
      <c r="A456" s="97"/>
      <c r="B456" s="134"/>
      <c r="C456" s="134"/>
      <c r="D456" s="134"/>
      <c r="E456" s="134"/>
      <c r="F456" s="134"/>
      <c r="G456" s="134"/>
      <c r="H456" s="134"/>
      <c r="I456" s="134"/>
      <c r="J456" s="134"/>
      <c r="K456" s="134"/>
      <c r="L456" s="134"/>
      <c r="M456" s="134"/>
      <c r="N456" s="134"/>
      <c r="O456" s="97"/>
      <c r="P456" s="97"/>
      <c r="Q456" s="97"/>
      <c r="R456" s="97"/>
      <c r="S456" s="97"/>
      <c r="T456" s="97"/>
      <c r="U456" s="97"/>
      <c r="V456" s="97"/>
      <c r="W456" s="97"/>
      <c r="X456" s="97"/>
      <c r="Y456" s="97"/>
      <c r="Z456" s="97"/>
      <c r="AA456" s="97"/>
      <c r="AB456" s="97"/>
      <c r="AC456" s="97"/>
      <c r="AD456" s="97"/>
      <c r="AE456" s="97"/>
      <c r="AF456" s="97"/>
      <c r="AG456" s="97"/>
      <c r="AH456" s="97"/>
      <c r="AI456" s="97"/>
      <c r="AJ456" s="97"/>
      <c r="AK456" s="97"/>
      <c r="AL456" s="97"/>
      <c r="AM456" s="97"/>
      <c r="AN456" s="97"/>
      <c r="AO456" s="97"/>
      <c r="AP456" s="97"/>
      <c r="AQ456" s="97"/>
      <c r="AR456" s="97"/>
      <c r="AS456" s="97"/>
      <c r="AT456" s="97"/>
      <c r="AU456" s="97"/>
      <c r="AV456" s="97"/>
      <c r="AW456" s="97"/>
      <c r="AX456" s="97"/>
      <c r="AY456" s="97"/>
      <c r="AZ456" s="97"/>
      <c r="BA456" s="97"/>
      <c r="BB456" s="97"/>
      <c r="BC456" s="97"/>
      <c r="BD456" s="97"/>
      <c r="BE456" s="97"/>
      <c r="BF456" s="97"/>
      <c r="BG456" s="97"/>
      <c r="BH456" s="97"/>
      <c r="BI456" s="97"/>
      <c r="BJ456" s="97"/>
      <c r="BK456" s="97"/>
      <c r="BL456" s="97"/>
      <c r="BM456" s="97"/>
      <c r="BN456" s="97"/>
      <c r="BO456" s="97"/>
      <c r="BP456" s="97"/>
      <c r="BQ456" s="97"/>
      <c r="BR456" s="97"/>
      <c r="BS456" s="97"/>
      <c r="BT456" s="97"/>
      <c r="BU456" s="97"/>
      <c r="BV456" s="97"/>
      <c r="BW456" s="97"/>
      <c r="BX456" s="97"/>
      <c r="BY456" s="97"/>
      <c r="BZ456" s="97"/>
      <c r="CA456" s="97"/>
      <c r="CB456" s="97"/>
      <c r="CC456" s="97"/>
      <c r="CD456" s="97"/>
      <c r="CE456" s="97"/>
      <c r="CF456" s="97"/>
      <c r="CG456" s="97"/>
      <c r="CH456" s="97"/>
      <c r="CI456" s="97"/>
      <c r="CJ456" s="97"/>
      <c r="CK456" s="97"/>
      <c r="CL456" s="97"/>
      <c r="CM456" s="97"/>
      <c r="CN456" s="97"/>
      <c r="CO456" s="97"/>
      <c r="CP456" s="97"/>
      <c r="CQ456" s="97"/>
    </row>
    <row r="457" spans="1:95" ht="15" customHeight="1" outlineLevel="1">
      <c r="A457" s="97"/>
      <c r="B457" s="142" t="s">
        <v>571</v>
      </c>
      <c r="C457" s="141">
        <f>SUM(Opening_without_45_with_xx_AMI_cost,Opening_without_45_48_with_xx_AMI_cost,Opening_without_48_51_with_xx_AMI_cost,Opening_without_51_54_with_xx_AMI_cost,Opening_without_54_57_with_xx_AMI_cost,Opening_without_57_60_with_xx_AMI_cost,Opening_without_60_63_with_xx_AMI_cost,Opening_without_63_66_with_xx_AMI_cost,Opening_without_66_69_with_xx_AMI_cost,Opening_without_69_72_with_xx_AMI_cost,Opening_without_72_75_with_xx_AMI_cost,Opening_without_75_78_with_xx_AMI_cost,Opening_without_78_81_with_xx_AMI_cost,Opening_without_81_with_xx_AMI_cost)</f>
        <v>0</v>
      </c>
      <c r="D457" s="24" t="s">
        <v>572</v>
      </c>
      <c r="E457" s="134"/>
      <c r="F457" s="134"/>
      <c r="G457" s="134"/>
      <c r="H457" s="134"/>
      <c r="I457" s="134"/>
      <c r="J457" s="134"/>
      <c r="K457" s="134"/>
      <c r="L457" s="134"/>
      <c r="M457" s="134"/>
      <c r="N457" s="134"/>
      <c r="O457" s="97"/>
      <c r="P457" s="97"/>
      <c r="Q457" s="97"/>
      <c r="R457" s="97"/>
      <c r="S457" s="97"/>
      <c r="T457" s="97"/>
      <c r="U457" s="97"/>
      <c r="V457" s="97"/>
      <c r="W457" s="97"/>
      <c r="X457" s="97"/>
      <c r="Y457" s="97"/>
      <c r="Z457" s="97"/>
      <c r="AA457" s="97"/>
      <c r="AB457" s="97"/>
      <c r="AC457" s="97"/>
      <c r="AD457" s="97"/>
      <c r="AE457" s="97"/>
      <c r="AF457" s="97"/>
      <c r="AG457" s="97"/>
      <c r="AH457" s="97"/>
      <c r="AI457" s="97"/>
      <c r="AJ457" s="97"/>
      <c r="AK457" s="97"/>
      <c r="AL457" s="97"/>
      <c r="AM457" s="97"/>
      <c r="AN457" s="97"/>
      <c r="AO457" s="97"/>
      <c r="AP457" s="97"/>
      <c r="AQ457" s="97"/>
      <c r="AR457" s="97"/>
      <c r="AS457" s="97"/>
      <c r="AT457" s="97"/>
      <c r="AU457" s="97"/>
      <c r="AV457" s="97"/>
      <c r="AW457" s="97"/>
      <c r="AX457" s="97"/>
      <c r="AY457" s="97"/>
      <c r="AZ457" s="97"/>
      <c r="BA457" s="97"/>
      <c r="BB457" s="97"/>
      <c r="BC457" s="97"/>
      <c r="BD457" s="97"/>
      <c r="BE457" s="97"/>
      <c r="BF457" s="97"/>
      <c r="BG457" s="97"/>
      <c r="BH457" s="97"/>
      <c r="BI457" s="97"/>
      <c r="BJ457" s="97"/>
      <c r="BK457" s="97"/>
      <c r="BL457" s="97"/>
      <c r="BM457" s="97"/>
      <c r="BN457" s="97"/>
      <c r="BO457" s="97"/>
      <c r="BP457" s="97"/>
      <c r="BQ457" s="97"/>
      <c r="BR457" s="97"/>
      <c r="BS457" s="97"/>
      <c r="BT457" s="97"/>
      <c r="BU457" s="97"/>
      <c r="BV457" s="97"/>
      <c r="BW457" s="97"/>
      <c r="BX457" s="97"/>
      <c r="BY457" s="97"/>
      <c r="BZ457" s="97"/>
      <c r="CA457" s="97"/>
      <c r="CB457" s="97"/>
      <c r="CC457" s="97"/>
      <c r="CD457" s="97"/>
      <c r="CE457" s="97"/>
      <c r="CF457" s="97"/>
      <c r="CG457" s="97"/>
      <c r="CH457" s="97"/>
      <c r="CI457" s="97"/>
      <c r="CJ457" s="97"/>
      <c r="CK457" s="97"/>
      <c r="CL457" s="97"/>
      <c r="CM457" s="97"/>
      <c r="CN457" s="97"/>
      <c r="CO457" s="97"/>
      <c r="CP457" s="97"/>
      <c r="CQ457" s="97"/>
    </row>
    <row r="458" spans="1:95" ht="15" customHeight="1" outlineLevel="1">
      <c r="A458" s="97"/>
      <c r="B458" s="134"/>
      <c r="C458" s="134"/>
      <c r="D458" s="134"/>
      <c r="E458" s="134"/>
      <c r="F458" s="134"/>
      <c r="G458" s="134"/>
      <c r="H458" s="134"/>
      <c r="I458" s="134"/>
      <c r="J458" s="134"/>
      <c r="K458" s="134"/>
      <c r="L458" s="134"/>
      <c r="M458" s="134"/>
      <c r="N458" s="134"/>
      <c r="O458" s="97"/>
      <c r="P458" s="97"/>
      <c r="Q458" s="97"/>
      <c r="R458" s="97"/>
      <c r="S458" s="97"/>
      <c r="T458" s="97"/>
      <c r="U458" s="97"/>
      <c r="V458" s="97"/>
      <c r="W458" s="97"/>
      <c r="X458" s="97"/>
      <c r="Y458" s="97"/>
      <c r="Z458" s="97"/>
      <c r="AA458" s="97"/>
      <c r="AB458" s="97"/>
      <c r="AC458" s="97"/>
      <c r="AD458" s="97"/>
      <c r="AE458" s="97"/>
      <c r="AF458" s="97"/>
      <c r="AG458" s="97"/>
      <c r="AH458" s="97"/>
      <c r="AI458" s="97"/>
      <c r="AJ458" s="97"/>
      <c r="AK458" s="97"/>
      <c r="AL458" s="97"/>
      <c r="AM458" s="97"/>
      <c r="AN458" s="97"/>
      <c r="AO458" s="97"/>
      <c r="AP458" s="97"/>
      <c r="AQ458" s="97"/>
      <c r="AR458" s="97"/>
      <c r="AS458" s="97"/>
      <c r="AT458" s="97"/>
      <c r="AU458" s="97"/>
      <c r="AV458" s="97"/>
      <c r="AW458" s="97"/>
      <c r="AX458" s="97"/>
      <c r="AY458" s="97"/>
      <c r="AZ458" s="97"/>
      <c r="BA458" s="97"/>
      <c r="BB458" s="97"/>
      <c r="BC458" s="97"/>
      <c r="BD458" s="97"/>
      <c r="BE458" s="97"/>
      <c r="BF458" s="97"/>
      <c r="BG458" s="97"/>
      <c r="BH458" s="97"/>
      <c r="BI458" s="97"/>
      <c r="BJ458" s="97"/>
      <c r="BK458" s="97"/>
      <c r="BL458" s="97"/>
      <c r="BM458" s="97"/>
      <c r="BN458" s="97"/>
      <c r="BO458" s="97"/>
      <c r="BP458" s="97"/>
      <c r="BQ458" s="97"/>
      <c r="BR458" s="97"/>
      <c r="BS458" s="97"/>
      <c r="BT458" s="97"/>
      <c r="BU458" s="97"/>
      <c r="BV458" s="97"/>
      <c r="BW458" s="97"/>
      <c r="BX458" s="97"/>
      <c r="BY458" s="97"/>
      <c r="BZ458" s="97"/>
      <c r="CA458" s="97"/>
      <c r="CB458" s="97"/>
      <c r="CC458" s="97"/>
      <c r="CD458" s="97"/>
      <c r="CE458" s="97"/>
      <c r="CF458" s="97"/>
      <c r="CG458" s="97"/>
      <c r="CH458" s="97"/>
      <c r="CI458" s="97"/>
      <c r="CJ458" s="97"/>
      <c r="CK458" s="97"/>
      <c r="CL458" s="97"/>
      <c r="CM458" s="97"/>
      <c r="CN458" s="97"/>
      <c r="CO458" s="97"/>
      <c r="CP458" s="97"/>
      <c r="CQ458" s="97"/>
    </row>
    <row r="459" spans="1:95" s="5" customFormat="1" ht="15.6" outlineLevel="1">
      <c r="B459" s="5" t="s">
        <v>573</v>
      </c>
    </row>
    <row r="460" spans="1:95" ht="15" customHeight="1" outlineLevel="1">
      <c r="A460" s="97"/>
      <c r="B460" s="134"/>
      <c r="C460" s="134"/>
      <c r="D460" s="134"/>
      <c r="E460" s="134"/>
      <c r="F460" s="134"/>
      <c r="G460" s="134"/>
      <c r="H460" s="134"/>
      <c r="I460" s="134"/>
      <c r="J460" s="134"/>
      <c r="K460" s="134"/>
      <c r="L460" s="134"/>
      <c r="M460" s="134"/>
      <c r="N460" s="134"/>
      <c r="O460" s="97"/>
      <c r="P460" s="97"/>
      <c r="Q460" s="97"/>
      <c r="R460" s="97"/>
      <c r="S460" s="97"/>
      <c r="T460" s="97"/>
      <c r="U460" s="97"/>
      <c r="V460" s="97"/>
      <c r="W460" s="97"/>
      <c r="X460" s="97"/>
      <c r="Y460" s="97"/>
      <c r="Z460" s="97"/>
      <c r="AA460" s="97"/>
      <c r="AB460" s="97"/>
      <c r="AC460" s="97"/>
      <c r="AD460" s="97"/>
      <c r="AE460" s="97"/>
      <c r="AF460" s="97"/>
      <c r="AG460" s="97"/>
      <c r="AH460" s="97"/>
      <c r="AI460" s="97"/>
      <c r="AJ460" s="97"/>
      <c r="AK460" s="97"/>
      <c r="AL460" s="97"/>
      <c r="AM460" s="97"/>
      <c r="AN460" s="97"/>
      <c r="AO460" s="97"/>
      <c r="AP460" s="97"/>
      <c r="AQ460" s="97"/>
      <c r="AR460" s="97"/>
      <c r="AS460" s="97"/>
      <c r="AT460" s="97"/>
      <c r="AU460" s="97"/>
      <c r="AV460" s="97"/>
      <c r="AW460" s="97"/>
      <c r="AX460" s="97"/>
      <c r="AY460" s="97"/>
      <c r="AZ460" s="97"/>
      <c r="BA460" s="97"/>
      <c r="BB460" s="97"/>
      <c r="BC460" s="97"/>
      <c r="BD460" s="97"/>
      <c r="BE460" s="97"/>
      <c r="BF460" s="97"/>
      <c r="BG460" s="97"/>
      <c r="BH460" s="97"/>
      <c r="BI460" s="97"/>
      <c r="BJ460" s="97"/>
      <c r="BK460" s="97"/>
      <c r="BL460" s="97"/>
      <c r="BM460" s="97"/>
      <c r="BN460" s="97"/>
      <c r="BO460" s="97"/>
      <c r="BP460" s="97"/>
      <c r="BQ460" s="97"/>
      <c r="BR460" s="97"/>
      <c r="BS460" s="97"/>
      <c r="BT460" s="97"/>
      <c r="BU460" s="97"/>
      <c r="BV460" s="97"/>
      <c r="BW460" s="97"/>
      <c r="BX460" s="97"/>
      <c r="BY460" s="97"/>
      <c r="BZ460" s="97"/>
      <c r="CA460" s="97"/>
      <c r="CB460" s="97"/>
      <c r="CC460" s="97"/>
      <c r="CD460" s="97"/>
      <c r="CE460" s="97"/>
      <c r="CF460" s="97"/>
      <c r="CG460" s="97"/>
      <c r="CH460" s="97"/>
      <c r="CI460" s="97"/>
      <c r="CJ460" s="97"/>
      <c r="CK460" s="97"/>
      <c r="CL460" s="97"/>
      <c r="CM460" s="97"/>
      <c r="CN460" s="97"/>
      <c r="CO460" s="97"/>
      <c r="CP460" s="97"/>
      <c r="CQ460" s="97"/>
    </row>
    <row r="461" spans="1:95" ht="15" customHeight="1" outlineLevel="1">
      <c r="A461" s="97"/>
      <c r="B461" s="122"/>
      <c r="C461" s="60" t="s">
        <v>79</v>
      </c>
      <c r="D461" s="61" t="s">
        <v>80</v>
      </c>
      <c r="E461" s="104" t="s">
        <v>81</v>
      </c>
      <c r="F461" s="104" t="s">
        <v>82</v>
      </c>
      <c r="G461" s="104" t="s">
        <v>83</v>
      </c>
      <c r="H461" s="104" t="s">
        <v>84</v>
      </c>
      <c r="I461" s="104" t="s">
        <v>85</v>
      </c>
      <c r="J461" s="104" t="s">
        <v>86</v>
      </c>
      <c r="K461" s="104" t="s">
        <v>87</v>
      </c>
      <c r="L461" s="104" t="s">
        <v>88</v>
      </c>
      <c r="M461" s="104" t="s">
        <v>89</v>
      </c>
      <c r="N461" s="104" t="s">
        <v>90</v>
      </c>
      <c r="O461" s="104" t="s">
        <v>91</v>
      </c>
      <c r="P461" s="104" t="s">
        <v>92</v>
      </c>
      <c r="Q461" s="104" t="s">
        <v>93</v>
      </c>
      <c r="R461" s="97"/>
      <c r="S461" s="97"/>
      <c r="T461" s="97"/>
      <c r="U461" s="97"/>
      <c r="V461" s="97"/>
      <c r="W461" s="97"/>
      <c r="X461" s="97"/>
      <c r="Y461" s="97"/>
      <c r="Z461" s="97"/>
      <c r="AA461" s="97"/>
      <c r="AB461" s="97"/>
      <c r="AC461" s="97"/>
      <c r="AD461" s="97"/>
      <c r="AE461" s="97"/>
      <c r="AF461" s="97"/>
      <c r="AG461" s="97"/>
      <c r="AH461" s="97"/>
      <c r="AI461" s="97"/>
      <c r="AJ461" s="97"/>
      <c r="AK461" s="97"/>
      <c r="AL461" s="97"/>
      <c r="AM461" s="97"/>
      <c r="AN461" s="97"/>
      <c r="AO461" s="97"/>
      <c r="AP461" s="97"/>
      <c r="AQ461" s="97"/>
      <c r="AR461" s="97"/>
      <c r="AS461" s="97"/>
      <c r="AT461" s="97"/>
      <c r="AU461" s="97"/>
      <c r="AV461" s="97"/>
      <c r="AW461" s="97"/>
      <c r="AX461" s="97"/>
      <c r="AY461" s="97"/>
      <c r="AZ461" s="97"/>
      <c r="BA461" s="97"/>
      <c r="BB461" s="97"/>
      <c r="BC461" s="97"/>
      <c r="BD461" s="97"/>
      <c r="BE461" s="97"/>
      <c r="BF461" s="97"/>
      <c r="BG461" s="97"/>
      <c r="BH461" s="97"/>
      <c r="BI461" s="97"/>
      <c r="BJ461" s="97"/>
      <c r="BK461" s="97"/>
      <c r="BL461" s="97"/>
      <c r="BM461" s="97"/>
      <c r="BN461" s="97"/>
      <c r="BO461" s="97"/>
      <c r="BP461" s="97"/>
      <c r="BQ461" s="97"/>
      <c r="BR461" s="97"/>
      <c r="BS461" s="97"/>
      <c r="BT461" s="97"/>
      <c r="BU461" s="97"/>
      <c r="BV461" s="97"/>
      <c r="BW461" s="97"/>
      <c r="BX461" s="97"/>
      <c r="BY461" s="97"/>
      <c r="BZ461" s="97"/>
      <c r="CA461" s="97"/>
      <c r="CB461" s="97"/>
      <c r="CC461" s="97"/>
      <c r="CD461" s="97"/>
      <c r="CE461" s="97"/>
      <c r="CF461" s="97"/>
      <c r="CG461" s="97"/>
      <c r="CH461" s="97"/>
      <c r="CI461" s="97"/>
      <c r="CJ461" s="97"/>
      <c r="CK461" s="97"/>
      <c r="CL461" s="97"/>
      <c r="CM461" s="97"/>
      <c r="CN461" s="97"/>
      <c r="CO461" s="97"/>
      <c r="CP461" s="97"/>
      <c r="CQ461" s="97"/>
    </row>
    <row r="462" spans="1:95" ht="15" customHeight="1" outlineLevel="1">
      <c r="A462" s="97"/>
      <c r="B462" s="60" t="s">
        <v>94</v>
      </c>
      <c r="C462" s="130"/>
      <c r="D462" s="135"/>
      <c r="E462" s="129"/>
      <c r="F462" s="129"/>
      <c r="G462" s="129"/>
      <c r="H462" s="129"/>
      <c r="I462" s="129"/>
      <c r="J462" s="129"/>
      <c r="K462" s="129"/>
      <c r="L462" s="129"/>
      <c r="M462" s="129"/>
      <c r="N462" s="129"/>
      <c r="O462" s="129"/>
      <c r="P462" s="129"/>
      <c r="Q462" s="130"/>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7"/>
      <c r="AW462" s="97"/>
      <c r="AX462" s="97"/>
      <c r="AY462" s="97"/>
      <c r="AZ462" s="97"/>
      <c r="BA462" s="97"/>
      <c r="BB462" s="97"/>
      <c r="BC462" s="97"/>
      <c r="BD462" s="97"/>
      <c r="BE462" s="97"/>
      <c r="BF462" s="97"/>
      <c r="BG462" s="97"/>
      <c r="BH462" s="97"/>
      <c r="BI462" s="97"/>
      <c r="BJ462" s="97"/>
      <c r="BK462" s="97"/>
      <c r="BL462" s="97"/>
      <c r="BM462" s="97"/>
      <c r="BN462" s="97"/>
      <c r="BO462" s="97"/>
      <c r="BP462" s="97"/>
      <c r="BQ462" s="97"/>
      <c r="BR462" s="97"/>
      <c r="BS462" s="97"/>
      <c r="BT462" s="97"/>
      <c r="BU462" s="97"/>
      <c r="BV462" s="97"/>
      <c r="BW462" s="97"/>
      <c r="BX462" s="97"/>
      <c r="BY462" s="97"/>
      <c r="BZ462" s="97"/>
      <c r="CA462" s="97"/>
      <c r="CB462" s="97"/>
      <c r="CC462" s="97"/>
      <c r="CD462" s="97"/>
      <c r="CE462" s="97"/>
      <c r="CF462" s="97"/>
      <c r="CG462" s="97"/>
      <c r="CH462" s="97"/>
      <c r="CI462" s="97"/>
      <c r="CJ462" s="97"/>
      <c r="CK462" s="97"/>
      <c r="CL462" s="97"/>
      <c r="CM462" s="97"/>
      <c r="CN462" s="97"/>
      <c r="CO462" s="97"/>
      <c r="CP462" s="97"/>
      <c r="CQ462" s="97"/>
    </row>
    <row r="463" spans="1:95" ht="15" customHeight="1" outlineLevel="1">
      <c r="A463" s="97"/>
      <c r="B463" s="61" t="s">
        <v>80</v>
      </c>
      <c r="C463" s="136"/>
      <c r="D463" s="131">
        <f t="shared" ref="D463:Q463" si="148">Forecast_without_45_with_xx*Without_45_with_xx_AMI_value</f>
        <v>0</v>
      </c>
      <c r="E463" s="131">
        <f t="shared" si="148"/>
        <v>0</v>
      </c>
      <c r="F463" s="131">
        <f t="shared" si="148"/>
        <v>0</v>
      </c>
      <c r="G463" s="131">
        <f t="shared" si="148"/>
        <v>0</v>
      </c>
      <c r="H463" s="131">
        <f t="shared" si="148"/>
        <v>0</v>
      </c>
      <c r="I463" s="131">
        <f t="shared" si="148"/>
        <v>0</v>
      </c>
      <c r="J463" s="131">
        <f t="shared" si="148"/>
        <v>0</v>
      </c>
      <c r="K463" s="131">
        <f t="shared" si="148"/>
        <v>0</v>
      </c>
      <c r="L463" s="131">
        <f>Forecast_without_45_with_xx*Without_45_with_xx_AMI_value</f>
        <v>0</v>
      </c>
      <c r="M463" s="131">
        <f t="shared" si="148"/>
        <v>0</v>
      </c>
      <c r="N463" s="131">
        <f t="shared" si="148"/>
        <v>0</v>
      </c>
      <c r="O463" s="131">
        <f t="shared" si="148"/>
        <v>0</v>
      </c>
      <c r="P463" s="131">
        <f t="shared" si="148"/>
        <v>0</v>
      </c>
      <c r="Q463" s="131">
        <f t="shared" si="148"/>
        <v>0</v>
      </c>
      <c r="R463" s="22" t="s">
        <v>574</v>
      </c>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7"/>
      <c r="AY463" s="97"/>
      <c r="AZ463" s="97"/>
      <c r="BA463" s="97"/>
      <c r="BB463" s="97"/>
      <c r="BC463" s="97"/>
      <c r="BD463" s="97"/>
      <c r="BE463" s="97"/>
      <c r="BF463" s="97"/>
      <c r="BG463" s="97"/>
      <c r="BH463" s="97"/>
      <c r="BI463" s="97"/>
      <c r="BJ463" s="97"/>
      <c r="BK463" s="97"/>
      <c r="BL463" s="97"/>
      <c r="BM463" s="97"/>
      <c r="BN463" s="97"/>
      <c r="BO463" s="97"/>
      <c r="BP463" s="97"/>
      <c r="BQ463" s="97"/>
      <c r="BR463" s="97"/>
      <c r="BS463" s="97"/>
      <c r="BT463" s="97"/>
      <c r="BU463" s="97"/>
      <c r="BV463" s="97"/>
      <c r="BW463" s="97"/>
      <c r="BX463" s="97"/>
      <c r="BY463" s="97"/>
      <c r="BZ463" s="97"/>
      <c r="CA463" s="97"/>
      <c r="CB463" s="97"/>
      <c r="CC463" s="97"/>
      <c r="CD463" s="97"/>
      <c r="CE463" s="97"/>
      <c r="CF463" s="97"/>
      <c r="CG463" s="97"/>
      <c r="CH463" s="97"/>
      <c r="CI463" s="97"/>
      <c r="CJ463" s="97"/>
      <c r="CK463" s="97"/>
      <c r="CL463" s="97"/>
      <c r="CM463" s="97"/>
      <c r="CN463" s="97"/>
      <c r="CO463" s="97"/>
      <c r="CP463" s="97"/>
      <c r="CQ463" s="97"/>
    </row>
    <row r="464" spans="1:95" ht="15" customHeight="1" outlineLevel="1">
      <c r="A464" s="97"/>
      <c r="B464" s="104" t="s">
        <v>81</v>
      </c>
      <c r="C464" s="138"/>
      <c r="D464" s="131">
        <f t="shared" ref="D464:Q464" si="149">Forecast_without_45_48_with_xx*Without_45_48_with_xx_AMI_value</f>
        <v>0</v>
      </c>
      <c r="E464" s="131">
        <f t="shared" si="149"/>
        <v>0</v>
      </c>
      <c r="F464" s="131">
        <f t="shared" si="149"/>
        <v>0</v>
      </c>
      <c r="G464" s="131">
        <f t="shared" si="149"/>
        <v>0</v>
      </c>
      <c r="H464" s="131">
        <f t="shared" si="149"/>
        <v>0</v>
      </c>
      <c r="I464" s="131">
        <f t="shared" si="149"/>
        <v>0</v>
      </c>
      <c r="J464" s="131">
        <f t="shared" si="149"/>
        <v>0</v>
      </c>
      <c r="K464" s="131">
        <f t="shared" si="149"/>
        <v>0</v>
      </c>
      <c r="L464" s="131">
        <f t="shared" si="149"/>
        <v>0</v>
      </c>
      <c r="M464" s="131">
        <f t="shared" si="149"/>
        <v>0</v>
      </c>
      <c r="N464" s="131">
        <f t="shared" si="149"/>
        <v>0</v>
      </c>
      <c r="O464" s="131">
        <f t="shared" si="149"/>
        <v>0</v>
      </c>
      <c r="P464" s="131">
        <f t="shared" si="149"/>
        <v>0</v>
      </c>
      <c r="Q464" s="131">
        <f t="shared" si="149"/>
        <v>0</v>
      </c>
      <c r="R464" s="22" t="s">
        <v>575</v>
      </c>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7"/>
      <c r="AY464" s="97"/>
      <c r="AZ464" s="97"/>
      <c r="BA464" s="97"/>
      <c r="BB464" s="97"/>
      <c r="BC464" s="97"/>
      <c r="BD464" s="97"/>
      <c r="BE464" s="97"/>
      <c r="BF464" s="97"/>
      <c r="BG464" s="97"/>
      <c r="BH464" s="97"/>
      <c r="BI464" s="97"/>
      <c r="BJ464" s="97"/>
      <c r="BK464" s="97"/>
      <c r="BL464" s="97"/>
      <c r="BM464" s="97"/>
      <c r="BN464" s="97"/>
      <c r="BO464" s="97"/>
      <c r="BP464" s="97"/>
      <c r="BQ464" s="97"/>
      <c r="BR464" s="97"/>
      <c r="BS464" s="97"/>
      <c r="BT464" s="97"/>
      <c r="BU464" s="97"/>
      <c r="BV464" s="97"/>
      <c r="BW464" s="97"/>
      <c r="BX464" s="97"/>
      <c r="BY464" s="97"/>
      <c r="BZ464" s="97"/>
      <c r="CA464" s="97"/>
      <c r="CB464" s="97"/>
      <c r="CC464" s="97"/>
      <c r="CD464" s="97"/>
      <c r="CE464" s="97"/>
      <c r="CF464" s="97"/>
      <c r="CG464" s="97"/>
      <c r="CH464" s="97"/>
      <c r="CI464" s="97"/>
      <c r="CJ464" s="97"/>
      <c r="CK464" s="97"/>
      <c r="CL464" s="97"/>
      <c r="CM464" s="97"/>
      <c r="CN464" s="97"/>
      <c r="CO464" s="97"/>
      <c r="CP464" s="97"/>
      <c r="CQ464" s="97"/>
    </row>
    <row r="465" spans="1:95" ht="15" customHeight="1" outlineLevel="1">
      <c r="A465" s="97"/>
      <c r="B465" s="104" t="s">
        <v>82</v>
      </c>
      <c r="C465" s="138"/>
      <c r="D465" s="131">
        <f t="shared" ref="D465:Q465" si="150">Forecast_without_48_51_with_xx*Without_48_51_with_xx_AMI_value</f>
        <v>0</v>
      </c>
      <c r="E465" s="131">
        <f t="shared" si="150"/>
        <v>0</v>
      </c>
      <c r="F465" s="131">
        <f t="shared" si="150"/>
        <v>0</v>
      </c>
      <c r="G465" s="131">
        <f t="shared" si="150"/>
        <v>0</v>
      </c>
      <c r="H465" s="131">
        <f t="shared" si="150"/>
        <v>0</v>
      </c>
      <c r="I465" s="131">
        <f t="shared" si="150"/>
        <v>0</v>
      </c>
      <c r="J465" s="131">
        <f t="shared" si="150"/>
        <v>0</v>
      </c>
      <c r="K465" s="131">
        <f t="shared" si="150"/>
        <v>0</v>
      </c>
      <c r="L465" s="131">
        <f t="shared" si="150"/>
        <v>0</v>
      </c>
      <c r="M465" s="131">
        <f t="shared" si="150"/>
        <v>0</v>
      </c>
      <c r="N465" s="131">
        <f t="shared" si="150"/>
        <v>0</v>
      </c>
      <c r="O465" s="131">
        <f t="shared" si="150"/>
        <v>0</v>
      </c>
      <c r="P465" s="131">
        <f t="shared" si="150"/>
        <v>0</v>
      </c>
      <c r="Q465" s="131">
        <f t="shared" si="150"/>
        <v>0</v>
      </c>
      <c r="R465" s="22" t="s">
        <v>576</v>
      </c>
      <c r="S465" s="97"/>
      <c r="T465" s="97"/>
      <c r="U465" s="97"/>
      <c r="V465" s="97"/>
      <c r="W465" s="97"/>
      <c r="X465" s="97"/>
      <c r="Y465" s="97"/>
      <c r="Z465" s="97"/>
      <c r="AA465" s="97"/>
      <c r="AB465" s="97"/>
      <c r="AC465" s="97"/>
      <c r="AD465" s="97"/>
      <c r="AE465" s="97"/>
      <c r="AF465" s="97"/>
      <c r="AG465" s="97"/>
      <c r="AH465" s="97"/>
      <c r="AI465" s="97"/>
      <c r="AJ465" s="97"/>
      <c r="AK465" s="97"/>
      <c r="AL465" s="97"/>
      <c r="AM465" s="97"/>
      <c r="AN465" s="97"/>
      <c r="AO465" s="97"/>
      <c r="AP465" s="97"/>
      <c r="AQ465" s="97"/>
      <c r="AR465" s="97"/>
      <c r="AS465" s="97"/>
      <c r="AT465" s="97"/>
      <c r="AU465" s="97"/>
      <c r="AV465" s="97"/>
      <c r="AW465" s="97"/>
      <c r="AX465" s="97"/>
      <c r="AY465" s="97"/>
      <c r="AZ465" s="97"/>
      <c r="BA465" s="97"/>
      <c r="BB465" s="97"/>
      <c r="BC465" s="97"/>
      <c r="BD465" s="97"/>
      <c r="BE465" s="97"/>
      <c r="BF465" s="97"/>
      <c r="BG465" s="97"/>
      <c r="BH465" s="97"/>
      <c r="BI465" s="97"/>
      <c r="BJ465" s="97"/>
      <c r="BK465" s="97"/>
      <c r="BL465" s="97"/>
      <c r="BM465" s="97"/>
      <c r="BN465" s="97"/>
      <c r="BO465" s="97"/>
      <c r="BP465" s="97"/>
      <c r="BQ465" s="97"/>
      <c r="BR465" s="97"/>
      <c r="BS465" s="97"/>
      <c r="BT465" s="97"/>
      <c r="BU465" s="97"/>
      <c r="BV465" s="97"/>
      <c r="BW465" s="97"/>
      <c r="BX465" s="97"/>
      <c r="BY465" s="97"/>
      <c r="BZ465" s="97"/>
      <c r="CA465" s="97"/>
      <c r="CB465" s="97"/>
      <c r="CC465" s="97"/>
      <c r="CD465" s="97"/>
      <c r="CE465" s="97"/>
      <c r="CF465" s="97"/>
      <c r="CG465" s="97"/>
      <c r="CH465" s="97"/>
      <c r="CI465" s="97"/>
      <c r="CJ465" s="97"/>
      <c r="CK465" s="97"/>
      <c r="CL465" s="97"/>
      <c r="CM465" s="97"/>
      <c r="CN465" s="97"/>
      <c r="CO465" s="97"/>
      <c r="CP465" s="97"/>
      <c r="CQ465" s="97"/>
    </row>
    <row r="466" spans="1:95" ht="15" customHeight="1" outlineLevel="1">
      <c r="A466" s="97"/>
      <c r="B466" s="104" t="s">
        <v>83</v>
      </c>
      <c r="C466" s="138"/>
      <c r="D466" s="131">
        <f t="shared" ref="D466:Q466" si="151">Forecast_without_51_54_with_xx*Without_51_54_with_xx_AMI_value</f>
        <v>0</v>
      </c>
      <c r="E466" s="131">
        <f t="shared" si="151"/>
        <v>0</v>
      </c>
      <c r="F466" s="131">
        <f t="shared" si="151"/>
        <v>0</v>
      </c>
      <c r="G466" s="131">
        <f t="shared" si="151"/>
        <v>0</v>
      </c>
      <c r="H466" s="131">
        <f t="shared" si="151"/>
        <v>0</v>
      </c>
      <c r="I466" s="131">
        <f t="shared" si="151"/>
        <v>0</v>
      </c>
      <c r="J466" s="131">
        <f t="shared" si="151"/>
        <v>0</v>
      </c>
      <c r="K466" s="131">
        <f t="shared" si="151"/>
        <v>0</v>
      </c>
      <c r="L466" s="131">
        <f t="shared" si="151"/>
        <v>0</v>
      </c>
      <c r="M466" s="131">
        <f t="shared" si="151"/>
        <v>0</v>
      </c>
      <c r="N466" s="131">
        <f t="shared" si="151"/>
        <v>0</v>
      </c>
      <c r="O466" s="131">
        <f t="shared" si="151"/>
        <v>0</v>
      </c>
      <c r="P466" s="131">
        <f t="shared" si="151"/>
        <v>0</v>
      </c>
      <c r="Q466" s="131">
        <f t="shared" si="151"/>
        <v>0</v>
      </c>
      <c r="R466" s="22" t="s">
        <v>577</v>
      </c>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L466" s="97"/>
      <c r="BM466" s="97"/>
      <c r="BN466" s="97"/>
      <c r="BO466" s="97"/>
      <c r="BP466" s="97"/>
      <c r="BQ466" s="97"/>
      <c r="BR466" s="97"/>
      <c r="BS466" s="97"/>
      <c r="BT466" s="97"/>
      <c r="BU466" s="97"/>
      <c r="BV466" s="97"/>
      <c r="BW466" s="97"/>
      <c r="BX466" s="97"/>
      <c r="BY466" s="97"/>
      <c r="BZ466" s="97"/>
      <c r="CA466" s="97"/>
      <c r="CB466" s="97"/>
      <c r="CC466" s="97"/>
      <c r="CD466" s="97"/>
      <c r="CE466" s="97"/>
      <c r="CF466" s="97"/>
      <c r="CG466" s="97"/>
      <c r="CH466" s="97"/>
      <c r="CI466" s="97"/>
      <c r="CJ466" s="97"/>
      <c r="CK466" s="97"/>
      <c r="CL466" s="97"/>
      <c r="CM466" s="97"/>
      <c r="CN466" s="97"/>
      <c r="CO466" s="97"/>
      <c r="CP466" s="97"/>
      <c r="CQ466" s="97"/>
    </row>
    <row r="467" spans="1:95" ht="15" customHeight="1" outlineLevel="1">
      <c r="A467" s="97"/>
      <c r="B467" s="104" t="s">
        <v>84</v>
      </c>
      <c r="C467" s="138"/>
      <c r="D467" s="131">
        <f t="shared" ref="D467:Q467" si="152">Forecast_without_54_57_with_xx*Without_54_57_with_xx_AMI_value</f>
        <v>0</v>
      </c>
      <c r="E467" s="131">
        <f t="shared" si="152"/>
        <v>0</v>
      </c>
      <c r="F467" s="131">
        <f t="shared" si="152"/>
        <v>0</v>
      </c>
      <c r="G467" s="131">
        <f t="shared" si="152"/>
        <v>0</v>
      </c>
      <c r="H467" s="131">
        <f t="shared" si="152"/>
        <v>0</v>
      </c>
      <c r="I467" s="131">
        <f t="shared" si="152"/>
        <v>0</v>
      </c>
      <c r="J467" s="131">
        <f t="shared" si="152"/>
        <v>0</v>
      </c>
      <c r="K467" s="131">
        <f t="shared" si="152"/>
        <v>0</v>
      </c>
      <c r="L467" s="131">
        <f t="shared" si="152"/>
        <v>0</v>
      </c>
      <c r="M467" s="131">
        <f t="shared" si="152"/>
        <v>0</v>
      </c>
      <c r="N467" s="131">
        <f t="shared" si="152"/>
        <v>0</v>
      </c>
      <c r="O467" s="131">
        <f t="shared" si="152"/>
        <v>0</v>
      </c>
      <c r="P467" s="131">
        <f t="shared" si="152"/>
        <v>0</v>
      </c>
      <c r="Q467" s="131">
        <f t="shared" si="152"/>
        <v>0</v>
      </c>
      <c r="R467" s="22" t="s">
        <v>578</v>
      </c>
      <c r="S467" s="97"/>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c r="AU467" s="97"/>
      <c r="AV467" s="97"/>
      <c r="AW467" s="97"/>
      <c r="AX467" s="97"/>
      <c r="AY467" s="97"/>
      <c r="AZ467" s="97"/>
      <c r="BA467" s="97"/>
      <c r="BB467" s="97"/>
      <c r="BC467" s="97"/>
      <c r="BD467" s="97"/>
      <c r="BE467" s="97"/>
      <c r="BF467" s="97"/>
      <c r="BG467" s="97"/>
      <c r="BH467" s="97"/>
      <c r="BI467" s="97"/>
      <c r="BJ467" s="97"/>
      <c r="BK467" s="97"/>
      <c r="BL467" s="97"/>
      <c r="BM467" s="97"/>
      <c r="BN467" s="97"/>
      <c r="BO467" s="97"/>
      <c r="BP467" s="97"/>
      <c r="BQ467" s="97"/>
      <c r="BR467" s="97"/>
      <c r="BS467" s="97"/>
      <c r="BT467" s="97"/>
      <c r="BU467" s="97"/>
      <c r="BV467" s="97"/>
      <c r="BW467" s="97"/>
      <c r="BX467" s="97"/>
      <c r="BY467" s="97"/>
      <c r="BZ467" s="97"/>
      <c r="CA467" s="97"/>
      <c r="CB467" s="97"/>
      <c r="CC467" s="97"/>
      <c r="CD467" s="97"/>
      <c r="CE467" s="97"/>
      <c r="CF467" s="97"/>
      <c r="CG467" s="97"/>
      <c r="CH467" s="97"/>
      <c r="CI467" s="97"/>
      <c r="CJ467" s="97"/>
      <c r="CK467" s="97"/>
      <c r="CL467" s="97"/>
      <c r="CM467" s="97"/>
      <c r="CN467" s="97"/>
      <c r="CO467" s="97"/>
      <c r="CP467" s="97"/>
      <c r="CQ467" s="97"/>
    </row>
    <row r="468" spans="1:95" ht="15" customHeight="1" outlineLevel="1">
      <c r="A468" s="97"/>
      <c r="B468" s="104" t="s">
        <v>85</v>
      </c>
      <c r="C468" s="138"/>
      <c r="D468" s="131">
        <f t="shared" ref="D468:Q468" si="153">Forecast_without_57_60_with_xx*Without_57_60_with_xx_AMI_value</f>
        <v>0</v>
      </c>
      <c r="E468" s="131">
        <f t="shared" si="153"/>
        <v>0</v>
      </c>
      <c r="F468" s="131">
        <f t="shared" si="153"/>
        <v>0</v>
      </c>
      <c r="G468" s="131">
        <f t="shared" si="153"/>
        <v>0</v>
      </c>
      <c r="H468" s="131">
        <f t="shared" si="153"/>
        <v>0</v>
      </c>
      <c r="I468" s="131">
        <f t="shared" si="153"/>
        <v>0</v>
      </c>
      <c r="J468" s="131">
        <f t="shared" si="153"/>
        <v>0</v>
      </c>
      <c r="K468" s="131">
        <f t="shared" si="153"/>
        <v>0</v>
      </c>
      <c r="L468" s="131">
        <f t="shared" si="153"/>
        <v>0</v>
      </c>
      <c r="M468" s="131">
        <f t="shared" si="153"/>
        <v>0</v>
      </c>
      <c r="N468" s="131">
        <f t="shared" si="153"/>
        <v>0</v>
      </c>
      <c r="O468" s="131">
        <f t="shared" si="153"/>
        <v>0</v>
      </c>
      <c r="P468" s="131">
        <f t="shared" si="153"/>
        <v>0</v>
      </c>
      <c r="Q468" s="131">
        <f t="shared" si="153"/>
        <v>0</v>
      </c>
      <c r="R468" s="22" t="s">
        <v>579</v>
      </c>
      <c r="S468" s="97"/>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7"/>
      <c r="AR468" s="97"/>
      <c r="AS468" s="97"/>
      <c r="AT468" s="97"/>
      <c r="AU468" s="97"/>
      <c r="AV468" s="97"/>
      <c r="AW468" s="97"/>
      <c r="AX468" s="97"/>
      <c r="AY468" s="97"/>
      <c r="AZ468" s="97"/>
      <c r="BA468" s="97"/>
      <c r="BB468" s="97"/>
      <c r="BC468" s="97"/>
      <c r="BD468" s="97"/>
      <c r="BE468" s="97"/>
      <c r="BF468" s="97"/>
      <c r="BG468" s="97"/>
      <c r="BH468" s="97"/>
      <c r="BI468" s="97"/>
      <c r="BJ468" s="97"/>
      <c r="BK468" s="97"/>
      <c r="BL468" s="97"/>
      <c r="BM468" s="97"/>
      <c r="BN468" s="97"/>
      <c r="BO468" s="97"/>
      <c r="BP468" s="97"/>
      <c r="BQ468" s="97"/>
      <c r="BR468" s="97"/>
      <c r="BS468" s="97"/>
      <c r="BT468" s="97"/>
      <c r="BU468" s="97"/>
      <c r="BV468" s="97"/>
      <c r="BW468" s="97"/>
      <c r="BX468" s="97"/>
      <c r="BY468" s="97"/>
      <c r="BZ468" s="97"/>
      <c r="CA468" s="97"/>
      <c r="CB468" s="97"/>
      <c r="CC468" s="97"/>
      <c r="CD468" s="97"/>
      <c r="CE468" s="97"/>
      <c r="CF468" s="97"/>
      <c r="CG468" s="97"/>
      <c r="CH468" s="97"/>
      <c r="CI468" s="97"/>
      <c r="CJ468" s="97"/>
      <c r="CK468" s="97"/>
      <c r="CL468" s="97"/>
      <c r="CM468" s="97"/>
      <c r="CN468" s="97"/>
      <c r="CO468" s="97"/>
      <c r="CP468" s="97"/>
      <c r="CQ468" s="97"/>
    </row>
    <row r="469" spans="1:95" ht="15" customHeight="1" outlineLevel="1">
      <c r="A469" s="97"/>
      <c r="B469" s="104" t="s">
        <v>86</v>
      </c>
      <c r="C469" s="138"/>
      <c r="D469" s="131">
        <f t="shared" ref="D469:Q469" si="154">Forecast_without_60_63_with_xx*Without_60_63_with_xx_AMI_value</f>
        <v>0</v>
      </c>
      <c r="E469" s="131">
        <f t="shared" si="154"/>
        <v>0</v>
      </c>
      <c r="F469" s="131">
        <f t="shared" si="154"/>
        <v>0</v>
      </c>
      <c r="G469" s="131">
        <f t="shared" si="154"/>
        <v>0</v>
      </c>
      <c r="H469" s="131">
        <f t="shared" si="154"/>
        <v>0</v>
      </c>
      <c r="I469" s="131">
        <f t="shared" si="154"/>
        <v>0</v>
      </c>
      <c r="J469" s="131">
        <f t="shared" si="154"/>
        <v>0</v>
      </c>
      <c r="K469" s="131">
        <f t="shared" si="154"/>
        <v>0</v>
      </c>
      <c r="L469" s="131">
        <f t="shared" si="154"/>
        <v>0</v>
      </c>
      <c r="M469" s="131">
        <f t="shared" si="154"/>
        <v>0</v>
      </c>
      <c r="N469" s="131">
        <f t="shared" si="154"/>
        <v>0</v>
      </c>
      <c r="O469" s="131">
        <f t="shared" si="154"/>
        <v>0</v>
      </c>
      <c r="P469" s="131">
        <f t="shared" si="154"/>
        <v>0</v>
      </c>
      <c r="Q469" s="131">
        <f t="shared" si="154"/>
        <v>0</v>
      </c>
      <c r="R469" s="22" t="s">
        <v>580</v>
      </c>
      <c r="S469" s="97"/>
      <c r="T469" s="97"/>
      <c r="U469" s="97"/>
      <c r="V469" s="97"/>
      <c r="W469" s="97"/>
      <c r="X469" s="97"/>
      <c r="Y469" s="97"/>
      <c r="Z469" s="97"/>
      <c r="AA469" s="97"/>
      <c r="AB469" s="97"/>
      <c r="AC469" s="97"/>
      <c r="AD469" s="97"/>
      <c r="AE469" s="97"/>
      <c r="AF469" s="97"/>
      <c r="AG469" s="97"/>
      <c r="AH469" s="97"/>
      <c r="AI469" s="97"/>
      <c r="AJ469" s="97"/>
      <c r="AK469" s="97"/>
      <c r="AL469" s="97"/>
      <c r="AM469" s="97"/>
      <c r="AN469" s="97"/>
      <c r="AO469" s="97"/>
      <c r="AP469" s="97"/>
      <c r="AQ469" s="97"/>
      <c r="AR469" s="97"/>
      <c r="AS469" s="97"/>
      <c r="AT469" s="97"/>
      <c r="AU469" s="97"/>
      <c r="AV469" s="97"/>
      <c r="AW469" s="97"/>
      <c r="AX469" s="97"/>
      <c r="AY469" s="97"/>
      <c r="AZ469" s="97"/>
      <c r="BA469" s="97"/>
      <c r="BB469" s="97"/>
      <c r="BC469" s="97"/>
      <c r="BD469" s="97"/>
      <c r="BE469" s="97"/>
      <c r="BF469" s="97"/>
      <c r="BG469" s="97"/>
      <c r="BH469" s="97"/>
      <c r="BI469" s="97"/>
      <c r="BJ469" s="97"/>
      <c r="BK469" s="97"/>
      <c r="BL469" s="97"/>
      <c r="BM469" s="97"/>
      <c r="BN469" s="97"/>
      <c r="BO469" s="97"/>
      <c r="BP469" s="97"/>
      <c r="BQ469" s="97"/>
      <c r="BR469" s="97"/>
      <c r="BS469" s="97"/>
      <c r="BT469" s="97"/>
      <c r="BU469" s="97"/>
      <c r="BV469" s="97"/>
      <c r="BW469" s="97"/>
      <c r="BX469" s="97"/>
      <c r="BY469" s="97"/>
      <c r="BZ469" s="97"/>
      <c r="CA469" s="97"/>
      <c r="CB469" s="97"/>
      <c r="CC469" s="97"/>
      <c r="CD469" s="97"/>
      <c r="CE469" s="97"/>
      <c r="CF469" s="97"/>
      <c r="CG469" s="97"/>
      <c r="CH469" s="97"/>
      <c r="CI469" s="97"/>
      <c r="CJ469" s="97"/>
      <c r="CK469" s="97"/>
      <c r="CL469" s="97"/>
      <c r="CM469" s="97"/>
      <c r="CN469" s="97"/>
      <c r="CO469" s="97"/>
      <c r="CP469" s="97"/>
      <c r="CQ469" s="97"/>
    </row>
    <row r="470" spans="1:95" ht="15" customHeight="1" outlineLevel="1">
      <c r="A470" s="97"/>
      <c r="B470" s="104" t="s">
        <v>87</v>
      </c>
      <c r="C470" s="138"/>
      <c r="D470" s="131">
        <f t="shared" ref="D470:Q470" si="155">Forecast_without_63_66_with_xx*Without_63_66_with_xx_AMI_value</f>
        <v>0</v>
      </c>
      <c r="E470" s="131">
        <f t="shared" si="155"/>
        <v>0</v>
      </c>
      <c r="F470" s="131">
        <f t="shared" si="155"/>
        <v>0</v>
      </c>
      <c r="G470" s="131">
        <f t="shared" si="155"/>
        <v>0</v>
      </c>
      <c r="H470" s="131">
        <f t="shared" si="155"/>
        <v>0</v>
      </c>
      <c r="I470" s="131">
        <f t="shared" si="155"/>
        <v>0</v>
      </c>
      <c r="J470" s="131">
        <f t="shared" si="155"/>
        <v>0</v>
      </c>
      <c r="K470" s="131">
        <f t="shared" si="155"/>
        <v>0</v>
      </c>
      <c r="L470" s="131">
        <f t="shared" si="155"/>
        <v>0</v>
      </c>
      <c r="M470" s="131">
        <f t="shared" si="155"/>
        <v>0</v>
      </c>
      <c r="N470" s="131">
        <f t="shared" si="155"/>
        <v>0</v>
      </c>
      <c r="O470" s="131">
        <f t="shared" si="155"/>
        <v>0</v>
      </c>
      <c r="P470" s="131">
        <f t="shared" si="155"/>
        <v>0</v>
      </c>
      <c r="Q470" s="131">
        <f t="shared" si="155"/>
        <v>0</v>
      </c>
      <c r="R470" s="22" t="s">
        <v>581</v>
      </c>
      <c r="S470" s="97"/>
      <c r="T470" s="97"/>
      <c r="U470" s="97"/>
      <c r="V470" s="97"/>
      <c r="W470" s="97"/>
      <c r="X470" s="97"/>
      <c r="Y470" s="97"/>
      <c r="Z470" s="97"/>
      <c r="AA470" s="97"/>
      <c r="AB470" s="97"/>
      <c r="AC470" s="97"/>
      <c r="AD470" s="97"/>
      <c r="AE470" s="97"/>
      <c r="AF470" s="97"/>
      <c r="AG470" s="97"/>
      <c r="AH470" s="97"/>
      <c r="AI470" s="97"/>
      <c r="AJ470" s="97"/>
      <c r="AK470" s="97"/>
      <c r="AL470" s="97"/>
      <c r="AM470" s="97"/>
      <c r="AN470" s="97"/>
      <c r="AO470" s="97"/>
      <c r="AP470" s="97"/>
      <c r="AQ470" s="97"/>
      <c r="AR470" s="97"/>
      <c r="AS470" s="97"/>
      <c r="AT470" s="97"/>
      <c r="AU470" s="97"/>
      <c r="AV470" s="97"/>
      <c r="AW470" s="97"/>
      <c r="AX470" s="97"/>
      <c r="AY470" s="97"/>
      <c r="AZ470" s="97"/>
      <c r="BA470" s="97"/>
      <c r="BB470" s="97"/>
      <c r="BC470" s="97"/>
      <c r="BD470" s="97"/>
      <c r="BE470" s="97"/>
      <c r="BF470" s="97"/>
      <c r="BG470" s="97"/>
      <c r="BH470" s="97"/>
      <c r="BI470" s="97"/>
      <c r="BJ470" s="97"/>
      <c r="BK470" s="97"/>
      <c r="BL470" s="97"/>
      <c r="BM470" s="97"/>
      <c r="BN470" s="97"/>
      <c r="BO470" s="97"/>
      <c r="BP470" s="97"/>
      <c r="BQ470" s="97"/>
      <c r="BR470" s="97"/>
      <c r="BS470" s="97"/>
      <c r="BT470" s="97"/>
      <c r="BU470" s="97"/>
      <c r="BV470" s="97"/>
      <c r="BW470" s="97"/>
      <c r="BX470" s="97"/>
      <c r="BY470" s="97"/>
      <c r="BZ470" s="97"/>
      <c r="CA470" s="97"/>
      <c r="CB470" s="97"/>
      <c r="CC470" s="97"/>
      <c r="CD470" s="97"/>
      <c r="CE470" s="97"/>
      <c r="CF470" s="97"/>
      <c r="CG470" s="97"/>
      <c r="CH470" s="97"/>
      <c r="CI470" s="97"/>
      <c r="CJ470" s="97"/>
      <c r="CK470" s="97"/>
      <c r="CL470" s="97"/>
      <c r="CM470" s="97"/>
      <c r="CN470" s="97"/>
      <c r="CO470" s="97"/>
      <c r="CP470" s="97"/>
      <c r="CQ470" s="97"/>
    </row>
    <row r="471" spans="1:95" ht="15" customHeight="1" outlineLevel="1">
      <c r="A471" s="97"/>
      <c r="B471" s="104" t="s">
        <v>88</v>
      </c>
      <c r="C471" s="138"/>
      <c r="D471" s="131">
        <f t="shared" ref="D471:Q471" si="156">Forecast_without_66_69_with_xx*Without_66_69_with_xx_AMI_value</f>
        <v>0</v>
      </c>
      <c r="E471" s="131">
        <f t="shared" si="156"/>
        <v>0</v>
      </c>
      <c r="F471" s="131">
        <f t="shared" si="156"/>
        <v>0</v>
      </c>
      <c r="G471" s="131">
        <f t="shared" si="156"/>
        <v>0</v>
      </c>
      <c r="H471" s="131">
        <f t="shared" si="156"/>
        <v>0</v>
      </c>
      <c r="I471" s="131">
        <f t="shared" si="156"/>
        <v>0</v>
      </c>
      <c r="J471" s="131">
        <f t="shared" si="156"/>
        <v>0</v>
      </c>
      <c r="K471" s="131">
        <f t="shared" si="156"/>
        <v>0</v>
      </c>
      <c r="L471" s="131">
        <f t="shared" si="156"/>
        <v>0</v>
      </c>
      <c r="M471" s="131">
        <f t="shared" si="156"/>
        <v>0</v>
      </c>
      <c r="N471" s="131">
        <f t="shared" si="156"/>
        <v>0</v>
      </c>
      <c r="O471" s="131">
        <f t="shared" si="156"/>
        <v>0</v>
      </c>
      <c r="P471" s="131">
        <f t="shared" si="156"/>
        <v>0</v>
      </c>
      <c r="Q471" s="131">
        <f t="shared" si="156"/>
        <v>0</v>
      </c>
      <c r="R471" s="22" t="s">
        <v>582</v>
      </c>
      <c r="S471" s="97"/>
      <c r="T471" s="97"/>
      <c r="U471" s="97"/>
      <c r="V471" s="97"/>
      <c r="W471" s="97"/>
      <c r="X471" s="97"/>
      <c r="Y471" s="97"/>
      <c r="Z471" s="97"/>
      <c r="AA471" s="97"/>
      <c r="AB471" s="97"/>
      <c r="AC471" s="97"/>
      <c r="AD471" s="97"/>
      <c r="AE471" s="97"/>
      <c r="AF471" s="97"/>
      <c r="AG471" s="97"/>
      <c r="AH471" s="97"/>
      <c r="AI471" s="97"/>
      <c r="AJ471" s="97"/>
      <c r="AK471" s="97"/>
      <c r="AL471" s="97"/>
      <c r="AM471" s="97"/>
      <c r="AN471" s="97"/>
      <c r="AO471" s="97"/>
      <c r="AP471" s="97"/>
      <c r="AQ471" s="97"/>
      <c r="AR471" s="97"/>
      <c r="AS471" s="97"/>
      <c r="AT471" s="97"/>
      <c r="AU471" s="97"/>
      <c r="AV471" s="97"/>
      <c r="AW471" s="97"/>
      <c r="AX471" s="97"/>
      <c r="AY471" s="97"/>
      <c r="AZ471" s="97"/>
      <c r="BA471" s="97"/>
      <c r="BB471" s="97"/>
      <c r="BC471" s="97"/>
      <c r="BD471" s="97"/>
      <c r="BE471" s="97"/>
      <c r="BF471" s="97"/>
      <c r="BG471" s="97"/>
      <c r="BH471" s="97"/>
      <c r="BI471" s="97"/>
      <c r="BJ471" s="97"/>
      <c r="BK471" s="97"/>
      <c r="BL471" s="97"/>
      <c r="BM471" s="97"/>
      <c r="BN471" s="97"/>
      <c r="BO471" s="97"/>
      <c r="BP471" s="97"/>
      <c r="BQ471" s="97"/>
      <c r="BR471" s="97"/>
      <c r="BS471" s="97"/>
      <c r="BT471" s="97"/>
      <c r="BU471" s="97"/>
      <c r="BV471" s="97"/>
      <c r="BW471" s="97"/>
      <c r="BX471" s="97"/>
      <c r="BY471" s="97"/>
      <c r="BZ471" s="97"/>
      <c r="CA471" s="97"/>
      <c r="CB471" s="97"/>
      <c r="CC471" s="97"/>
      <c r="CD471" s="97"/>
      <c r="CE471" s="97"/>
      <c r="CF471" s="97"/>
      <c r="CG471" s="97"/>
      <c r="CH471" s="97"/>
      <c r="CI471" s="97"/>
      <c r="CJ471" s="97"/>
      <c r="CK471" s="97"/>
      <c r="CL471" s="97"/>
      <c r="CM471" s="97"/>
      <c r="CN471" s="97"/>
      <c r="CO471" s="97"/>
      <c r="CP471" s="97"/>
      <c r="CQ471" s="97"/>
    </row>
    <row r="472" spans="1:95" ht="15" customHeight="1" outlineLevel="1">
      <c r="A472" s="97"/>
      <c r="B472" s="104" t="s">
        <v>89</v>
      </c>
      <c r="C472" s="138"/>
      <c r="D472" s="131">
        <f t="shared" ref="D472:Q472" si="157">Forecast_without_69_72_with_xx*Without_69_72_with_xx_AMI_value</f>
        <v>0</v>
      </c>
      <c r="E472" s="131">
        <f t="shared" si="157"/>
        <v>0</v>
      </c>
      <c r="F472" s="131">
        <f t="shared" si="157"/>
        <v>0</v>
      </c>
      <c r="G472" s="131">
        <f t="shared" si="157"/>
        <v>0</v>
      </c>
      <c r="H472" s="131">
        <f t="shared" si="157"/>
        <v>0</v>
      </c>
      <c r="I472" s="131">
        <f t="shared" si="157"/>
        <v>0</v>
      </c>
      <c r="J472" s="131">
        <f t="shared" si="157"/>
        <v>0</v>
      </c>
      <c r="K472" s="131">
        <f t="shared" si="157"/>
        <v>0</v>
      </c>
      <c r="L472" s="131">
        <f t="shared" si="157"/>
        <v>0</v>
      </c>
      <c r="M472" s="131">
        <f t="shared" si="157"/>
        <v>0</v>
      </c>
      <c r="N472" s="131">
        <f t="shared" si="157"/>
        <v>0</v>
      </c>
      <c r="O472" s="131">
        <f t="shared" si="157"/>
        <v>0</v>
      </c>
      <c r="P472" s="131">
        <f t="shared" si="157"/>
        <v>0</v>
      </c>
      <c r="Q472" s="131">
        <f t="shared" si="157"/>
        <v>0</v>
      </c>
      <c r="R472" s="22" t="s">
        <v>583</v>
      </c>
      <c r="S472" s="97"/>
      <c r="T472" s="97"/>
      <c r="U472" s="97"/>
      <c r="V472" s="97"/>
      <c r="W472" s="97"/>
      <c r="X472" s="97"/>
      <c r="Y472" s="97"/>
      <c r="Z472" s="97"/>
      <c r="AA472" s="97"/>
      <c r="AB472" s="97"/>
      <c r="AC472" s="97"/>
      <c r="AD472" s="97"/>
      <c r="AE472" s="97"/>
      <c r="AF472" s="97"/>
      <c r="AG472" s="97"/>
      <c r="AH472" s="97"/>
      <c r="AI472" s="97"/>
      <c r="AJ472" s="97"/>
      <c r="AK472" s="97"/>
      <c r="AL472" s="97"/>
      <c r="AM472" s="97"/>
      <c r="AN472" s="97"/>
      <c r="AO472" s="97"/>
      <c r="AP472" s="97"/>
      <c r="AQ472" s="97"/>
      <c r="AR472" s="97"/>
      <c r="AS472" s="97"/>
      <c r="AT472" s="97"/>
      <c r="AU472" s="97"/>
      <c r="AV472" s="97"/>
      <c r="AW472" s="97"/>
      <c r="AX472" s="97"/>
      <c r="AY472" s="97"/>
      <c r="AZ472" s="97"/>
      <c r="BA472" s="97"/>
      <c r="BB472" s="97"/>
      <c r="BC472" s="97"/>
      <c r="BD472" s="97"/>
      <c r="BE472" s="97"/>
      <c r="BF472" s="97"/>
      <c r="BG472" s="97"/>
      <c r="BH472" s="97"/>
      <c r="BI472" s="97"/>
      <c r="BJ472" s="97"/>
      <c r="BK472" s="97"/>
      <c r="BL472" s="97"/>
      <c r="BM472" s="97"/>
      <c r="BN472" s="97"/>
      <c r="BO472" s="97"/>
      <c r="BP472" s="97"/>
      <c r="BQ472" s="97"/>
      <c r="BR472" s="97"/>
      <c r="BS472" s="97"/>
      <c r="BT472" s="97"/>
      <c r="BU472" s="97"/>
      <c r="BV472" s="97"/>
      <c r="BW472" s="97"/>
      <c r="BX472" s="97"/>
      <c r="BY472" s="97"/>
      <c r="BZ472" s="97"/>
      <c r="CA472" s="97"/>
      <c r="CB472" s="97"/>
      <c r="CC472" s="97"/>
      <c r="CD472" s="97"/>
      <c r="CE472" s="97"/>
      <c r="CF472" s="97"/>
      <c r="CG472" s="97"/>
      <c r="CH472" s="97"/>
      <c r="CI472" s="97"/>
      <c r="CJ472" s="97"/>
      <c r="CK472" s="97"/>
      <c r="CL472" s="97"/>
      <c r="CM472" s="97"/>
      <c r="CN472" s="97"/>
      <c r="CO472" s="97"/>
      <c r="CP472" s="97"/>
      <c r="CQ472" s="97"/>
    </row>
    <row r="473" spans="1:95" ht="15" customHeight="1" outlineLevel="1">
      <c r="A473" s="97"/>
      <c r="B473" s="104" t="s">
        <v>90</v>
      </c>
      <c r="C473" s="138"/>
      <c r="D473" s="131">
        <f t="shared" ref="D473:Q473" si="158">Forecast_without_72_75_with_xx*Without_72_75_with_xx_AMI_value</f>
        <v>0</v>
      </c>
      <c r="E473" s="131">
        <f t="shared" si="158"/>
        <v>0</v>
      </c>
      <c r="F473" s="131">
        <f t="shared" si="158"/>
        <v>0</v>
      </c>
      <c r="G473" s="131">
        <f t="shared" si="158"/>
        <v>0</v>
      </c>
      <c r="H473" s="131">
        <f t="shared" si="158"/>
        <v>0</v>
      </c>
      <c r="I473" s="131">
        <f t="shared" si="158"/>
        <v>0</v>
      </c>
      <c r="J473" s="131">
        <f t="shared" si="158"/>
        <v>0</v>
      </c>
      <c r="K473" s="131">
        <f t="shared" si="158"/>
        <v>0</v>
      </c>
      <c r="L473" s="131">
        <f t="shared" si="158"/>
        <v>0</v>
      </c>
      <c r="M473" s="131">
        <f t="shared" si="158"/>
        <v>0</v>
      </c>
      <c r="N473" s="131">
        <f t="shared" si="158"/>
        <v>0</v>
      </c>
      <c r="O473" s="131">
        <f t="shared" si="158"/>
        <v>0</v>
      </c>
      <c r="P473" s="131">
        <f t="shared" si="158"/>
        <v>0</v>
      </c>
      <c r="Q473" s="131">
        <f t="shared" si="158"/>
        <v>0</v>
      </c>
      <c r="R473" s="22" t="s">
        <v>584</v>
      </c>
      <c r="S473" s="97"/>
      <c r="T473" s="97"/>
      <c r="U473" s="97"/>
      <c r="V473" s="97"/>
      <c r="W473" s="97"/>
      <c r="X473" s="97"/>
      <c r="Y473" s="97"/>
      <c r="Z473" s="97"/>
      <c r="AA473" s="97"/>
      <c r="AB473" s="97"/>
      <c r="AC473" s="97"/>
      <c r="AD473" s="97"/>
      <c r="AE473" s="97"/>
      <c r="AF473" s="97"/>
      <c r="AG473" s="97"/>
      <c r="AH473" s="97"/>
      <c r="AI473" s="97"/>
      <c r="AJ473" s="97"/>
      <c r="AK473" s="97"/>
      <c r="AL473" s="97"/>
      <c r="AM473" s="97"/>
      <c r="AN473" s="97"/>
      <c r="AO473" s="97"/>
      <c r="AP473" s="97"/>
      <c r="AQ473" s="97"/>
      <c r="AR473" s="97"/>
      <c r="AS473" s="97"/>
      <c r="AT473" s="97"/>
      <c r="AU473" s="97"/>
      <c r="AV473" s="97"/>
      <c r="AW473" s="97"/>
      <c r="AX473" s="97"/>
      <c r="AY473" s="97"/>
      <c r="AZ473" s="97"/>
      <c r="BA473" s="97"/>
      <c r="BB473" s="97"/>
      <c r="BC473" s="97"/>
      <c r="BD473" s="97"/>
      <c r="BE473" s="97"/>
      <c r="BF473" s="97"/>
      <c r="BG473" s="97"/>
      <c r="BH473" s="97"/>
      <c r="BI473" s="97"/>
      <c r="BJ473" s="97"/>
      <c r="BK473" s="97"/>
      <c r="BL473" s="97"/>
      <c r="BM473" s="97"/>
      <c r="BN473" s="97"/>
      <c r="BO473" s="97"/>
      <c r="BP473" s="97"/>
      <c r="BQ473" s="97"/>
      <c r="BR473" s="97"/>
      <c r="BS473" s="97"/>
      <c r="BT473" s="97"/>
      <c r="BU473" s="97"/>
      <c r="BV473" s="97"/>
      <c r="BW473" s="97"/>
      <c r="BX473" s="97"/>
      <c r="BY473" s="97"/>
      <c r="BZ473" s="97"/>
      <c r="CA473" s="97"/>
      <c r="CB473" s="97"/>
      <c r="CC473" s="97"/>
      <c r="CD473" s="97"/>
      <c r="CE473" s="97"/>
      <c r="CF473" s="97"/>
      <c r="CG473" s="97"/>
      <c r="CH473" s="97"/>
      <c r="CI473" s="97"/>
      <c r="CJ473" s="97"/>
      <c r="CK473" s="97"/>
      <c r="CL473" s="97"/>
      <c r="CM473" s="97"/>
      <c r="CN473" s="97"/>
      <c r="CO473" s="97"/>
      <c r="CP473" s="97"/>
      <c r="CQ473" s="97"/>
    </row>
    <row r="474" spans="1:95" ht="15" customHeight="1" outlineLevel="1">
      <c r="A474" s="97"/>
      <c r="B474" s="104" t="s">
        <v>91</v>
      </c>
      <c r="C474" s="138"/>
      <c r="D474" s="131">
        <f t="shared" ref="D474:Q474" si="159">Forecast_without_75_78_with_xx*Without_75_78_with_xx_AMI_value</f>
        <v>0</v>
      </c>
      <c r="E474" s="131">
        <f t="shared" si="159"/>
        <v>0</v>
      </c>
      <c r="F474" s="131">
        <f t="shared" si="159"/>
        <v>0</v>
      </c>
      <c r="G474" s="131">
        <f t="shared" si="159"/>
        <v>0</v>
      </c>
      <c r="H474" s="131">
        <f t="shared" si="159"/>
        <v>0</v>
      </c>
      <c r="I474" s="131">
        <f t="shared" si="159"/>
        <v>0</v>
      </c>
      <c r="J474" s="131">
        <f t="shared" si="159"/>
        <v>0</v>
      </c>
      <c r="K474" s="131">
        <f t="shared" si="159"/>
        <v>0</v>
      </c>
      <c r="L474" s="131">
        <f t="shared" si="159"/>
        <v>0</v>
      </c>
      <c r="M474" s="131">
        <f t="shared" si="159"/>
        <v>0</v>
      </c>
      <c r="N474" s="131">
        <f t="shared" si="159"/>
        <v>0</v>
      </c>
      <c r="O474" s="131">
        <f t="shared" si="159"/>
        <v>0</v>
      </c>
      <c r="P474" s="131">
        <f t="shared" si="159"/>
        <v>0</v>
      </c>
      <c r="Q474" s="131">
        <f t="shared" si="159"/>
        <v>0</v>
      </c>
      <c r="R474" s="22" t="s">
        <v>585</v>
      </c>
      <c r="S474" s="97"/>
      <c r="T474" s="97"/>
      <c r="U474" s="97"/>
      <c r="V474" s="97"/>
      <c r="W474" s="97"/>
      <c r="X474" s="97"/>
      <c r="Y474" s="97"/>
      <c r="Z474" s="97"/>
      <c r="AA474" s="97"/>
      <c r="AB474" s="97"/>
      <c r="AC474" s="97"/>
      <c r="AD474" s="97"/>
      <c r="AE474" s="97"/>
      <c r="AF474" s="97"/>
      <c r="AG474" s="97"/>
      <c r="AH474" s="97"/>
      <c r="AI474" s="97"/>
      <c r="AJ474" s="97"/>
      <c r="AK474" s="97"/>
      <c r="AL474" s="97"/>
      <c r="AM474" s="97"/>
      <c r="AN474" s="97"/>
      <c r="AO474" s="97"/>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c r="BM474" s="97"/>
      <c r="BN474" s="97"/>
      <c r="BO474" s="97"/>
      <c r="BP474" s="97"/>
      <c r="BQ474" s="97"/>
      <c r="BR474" s="97"/>
      <c r="BS474" s="97"/>
      <c r="BT474" s="97"/>
      <c r="BU474" s="97"/>
      <c r="BV474" s="97"/>
      <c r="BW474" s="97"/>
      <c r="BX474" s="97"/>
      <c r="BY474" s="97"/>
      <c r="BZ474" s="97"/>
      <c r="CA474" s="97"/>
      <c r="CB474" s="97"/>
      <c r="CC474" s="97"/>
      <c r="CD474" s="97"/>
      <c r="CE474" s="97"/>
      <c r="CF474" s="97"/>
      <c r="CG474" s="97"/>
      <c r="CH474" s="97"/>
      <c r="CI474" s="97"/>
      <c r="CJ474" s="97"/>
      <c r="CK474" s="97"/>
      <c r="CL474" s="97"/>
      <c r="CM474" s="97"/>
      <c r="CN474" s="97"/>
      <c r="CO474" s="97"/>
      <c r="CP474" s="97"/>
      <c r="CQ474" s="97"/>
    </row>
    <row r="475" spans="1:95" ht="15" customHeight="1" outlineLevel="1">
      <c r="A475" s="97"/>
      <c r="B475" s="104" t="s">
        <v>92</v>
      </c>
      <c r="C475" s="138"/>
      <c r="D475" s="131">
        <f t="shared" ref="D475:Q475" si="160">Forecast_without_78_81_with_xx*Without_78_81_with_xx_AMI_value</f>
        <v>0</v>
      </c>
      <c r="E475" s="131">
        <f t="shared" si="160"/>
        <v>0</v>
      </c>
      <c r="F475" s="131">
        <f t="shared" si="160"/>
        <v>0</v>
      </c>
      <c r="G475" s="131">
        <f t="shared" si="160"/>
        <v>0</v>
      </c>
      <c r="H475" s="131">
        <f t="shared" si="160"/>
        <v>0</v>
      </c>
      <c r="I475" s="131">
        <f t="shared" si="160"/>
        <v>0</v>
      </c>
      <c r="J475" s="131">
        <f t="shared" si="160"/>
        <v>0</v>
      </c>
      <c r="K475" s="131">
        <f t="shared" si="160"/>
        <v>0</v>
      </c>
      <c r="L475" s="131">
        <f t="shared" si="160"/>
        <v>0</v>
      </c>
      <c r="M475" s="131">
        <f t="shared" si="160"/>
        <v>0</v>
      </c>
      <c r="N475" s="131">
        <f t="shared" si="160"/>
        <v>0</v>
      </c>
      <c r="O475" s="131">
        <f t="shared" si="160"/>
        <v>0</v>
      </c>
      <c r="P475" s="131">
        <f t="shared" si="160"/>
        <v>0</v>
      </c>
      <c r="Q475" s="131">
        <f t="shared" si="160"/>
        <v>0</v>
      </c>
      <c r="R475" s="22" t="s">
        <v>586</v>
      </c>
      <c r="S475" s="97"/>
      <c r="T475" s="97"/>
      <c r="U475" s="97"/>
      <c r="V475" s="97"/>
      <c r="W475" s="97"/>
      <c r="X475" s="97"/>
      <c r="Y475" s="97"/>
      <c r="Z475" s="97"/>
      <c r="AA475" s="97"/>
      <c r="AB475" s="97"/>
      <c r="AC475" s="97"/>
      <c r="AD475" s="97"/>
      <c r="AE475" s="97"/>
      <c r="AF475" s="97"/>
      <c r="AG475" s="97"/>
      <c r="AH475" s="97"/>
      <c r="AI475" s="97"/>
      <c r="AJ475" s="97"/>
      <c r="AK475" s="97"/>
      <c r="AL475" s="97"/>
      <c r="AM475" s="97"/>
      <c r="AN475" s="97"/>
      <c r="AO475" s="97"/>
      <c r="AP475" s="97"/>
      <c r="AQ475" s="97"/>
      <c r="AR475" s="97"/>
      <c r="AS475" s="97"/>
      <c r="AT475" s="97"/>
      <c r="AU475" s="97"/>
      <c r="AV475" s="97"/>
      <c r="AW475" s="97"/>
      <c r="AX475" s="97"/>
      <c r="AY475" s="97"/>
      <c r="AZ475" s="97"/>
      <c r="BA475" s="97"/>
      <c r="BB475" s="97"/>
      <c r="BC475" s="97"/>
      <c r="BD475" s="97"/>
      <c r="BE475" s="97"/>
      <c r="BF475" s="97"/>
      <c r="BG475" s="97"/>
      <c r="BH475" s="97"/>
      <c r="BI475" s="97"/>
      <c r="BJ475" s="97"/>
      <c r="BK475" s="97"/>
      <c r="BL475" s="97"/>
      <c r="BM475" s="97"/>
      <c r="BN475" s="97"/>
      <c r="BO475" s="97"/>
      <c r="BP475" s="97"/>
      <c r="BQ475" s="97"/>
      <c r="BR475" s="97"/>
      <c r="BS475" s="97"/>
      <c r="BT475" s="97"/>
      <c r="BU475" s="97"/>
      <c r="BV475" s="97"/>
      <c r="BW475" s="97"/>
      <c r="BX475" s="97"/>
      <c r="BY475" s="97"/>
      <c r="BZ475" s="97"/>
      <c r="CA475" s="97"/>
      <c r="CB475" s="97"/>
      <c r="CC475" s="97"/>
      <c r="CD475" s="97"/>
      <c r="CE475" s="97"/>
      <c r="CF475" s="97"/>
      <c r="CG475" s="97"/>
      <c r="CH475" s="97"/>
      <c r="CI475" s="97"/>
      <c r="CJ475" s="97"/>
      <c r="CK475" s="97"/>
      <c r="CL475" s="97"/>
      <c r="CM475" s="97"/>
      <c r="CN475" s="97"/>
      <c r="CO475" s="97"/>
      <c r="CP475" s="97"/>
      <c r="CQ475" s="97"/>
    </row>
    <row r="476" spans="1:95" ht="15" customHeight="1" outlineLevel="1">
      <c r="A476" s="97"/>
      <c r="B476" s="104" t="s">
        <v>93</v>
      </c>
      <c r="C476" s="139"/>
      <c r="D476" s="131">
        <f t="shared" ref="D476:Q476" si="161">Forecast_without_81_with_xx*Without_81_with_xx_AMI_value</f>
        <v>0</v>
      </c>
      <c r="E476" s="131">
        <f t="shared" si="161"/>
        <v>0</v>
      </c>
      <c r="F476" s="131">
        <f t="shared" si="161"/>
        <v>0</v>
      </c>
      <c r="G476" s="131">
        <f t="shared" si="161"/>
        <v>0</v>
      </c>
      <c r="H476" s="131">
        <f t="shared" si="161"/>
        <v>0</v>
      </c>
      <c r="I476" s="131">
        <f t="shared" si="161"/>
        <v>0</v>
      </c>
      <c r="J476" s="131">
        <f t="shared" si="161"/>
        <v>0</v>
      </c>
      <c r="K476" s="131">
        <f t="shared" si="161"/>
        <v>0</v>
      </c>
      <c r="L476" s="131">
        <f t="shared" si="161"/>
        <v>0</v>
      </c>
      <c r="M476" s="131">
        <f t="shared" si="161"/>
        <v>0</v>
      </c>
      <c r="N476" s="131">
        <f t="shared" si="161"/>
        <v>0</v>
      </c>
      <c r="O476" s="131">
        <f t="shared" si="161"/>
        <v>0</v>
      </c>
      <c r="P476" s="131">
        <f t="shared" si="161"/>
        <v>0</v>
      </c>
      <c r="Q476" s="131">
        <f t="shared" si="161"/>
        <v>0</v>
      </c>
      <c r="R476" s="22" t="s">
        <v>587</v>
      </c>
      <c r="S476" s="97"/>
      <c r="T476" s="97"/>
      <c r="U476" s="97"/>
      <c r="V476" s="97"/>
      <c r="W476" s="97"/>
      <c r="X476" s="97"/>
      <c r="Y476" s="97"/>
      <c r="Z476" s="97"/>
      <c r="AA476" s="97"/>
      <c r="AB476" s="97"/>
      <c r="AC476" s="97"/>
      <c r="AD476" s="97"/>
      <c r="AE476" s="97"/>
      <c r="AF476" s="97"/>
      <c r="AG476" s="97"/>
      <c r="AH476" s="97"/>
      <c r="AI476" s="97"/>
      <c r="AJ476" s="97"/>
      <c r="AK476" s="97"/>
      <c r="AL476" s="97"/>
      <c r="AM476" s="97"/>
      <c r="AN476" s="97"/>
      <c r="AO476" s="97"/>
      <c r="AP476" s="97"/>
      <c r="AQ476" s="97"/>
      <c r="AR476" s="97"/>
      <c r="AS476" s="97"/>
      <c r="AT476" s="97"/>
      <c r="AU476" s="97"/>
      <c r="AV476" s="97"/>
      <c r="AW476" s="97"/>
      <c r="AX476" s="97"/>
      <c r="AY476" s="97"/>
      <c r="AZ476" s="97"/>
      <c r="BA476" s="97"/>
      <c r="BB476" s="97"/>
      <c r="BC476" s="97"/>
      <c r="BD476" s="97"/>
      <c r="BE476" s="97"/>
      <c r="BF476" s="97"/>
      <c r="BG476" s="97"/>
      <c r="BH476" s="97"/>
      <c r="BI476" s="97"/>
      <c r="BJ476" s="97"/>
      <c r="BK476" s="97"/>
      <c r="BL476" s="97"/>
      <c r="BM476" s="97"/>
      <c r="BN476" s="97"/>
      <c r="BO476" s="97"/>
      <c r="BP476" s="97"/>
      <c r="BQ476" s="97"/>
      <c r="BR476" s="97"/>
      <c r="BS476" s="97"/>
      <c r="BT476" s="97"/>
      <c r="BU476" s="97"/>
      <c r="BV476" s="97"/>
      <c r="BW476" s="97"/>
      <c r="BX476" s="97"/>
      <c r="BY476" s="97"/>
      <c r="BZ476" s="97"/>
      <c r="CA476" s="97"/>
      <c r="CB476" s="97"/>
      <c r="CC476" s="97"/>
      <c r="CD476" s="97"/>
      <c r="CE476" s="97"/>
      <c r="CF476" s="97"/>
      <c r="CG476" s="97"/>
      <c r="CH476" s="97"/>
      <c r="CI476" s="97"/>
      <c r="CJ476" s="97"/>
      <c r="CK476" s="97"/>
      <c r="CL476" s="97"/>
      <c r="CM476" s="97"/>
      <c r="CN476" s="97"/>
      <c r="CO476" s="97"/>
      <c r="CP476" s="97"/>
      <c r="CQ476" s="97"/>
    </row>
    <row r="477" spans="1:95" ht="15" customHeight="1" outlineLevel="1">
      <c r="A477" s="97"/>
      <c r="B477" s="134"/>
      <c r="C477" s="134"/>
      <c r="D477" s="134"/>
      <c r="E477" s="134"/>
      <c r="F477" s="134"/>
      <c r="G477" s="134"/>
      <c r="H477" s="134"/>
      <c r="I477" s="134"/>
      <c r="J477" s="134"/>
      <c r="K477" s="134"/>
      <c r="L477" s="134"/>
      <c r="M477" s="134"/>
      <c r="N477" s="134"/>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7"/>
      <c r="AL477" s="97"/>
      <c r="AM477" s="97"/>
      <c r="AN477" s="97"/>
      <c r="AO477" s="97"/>
      <c r="AP477" s="97"/>
      <c r="AQ477" s="97"/>
      <c r="AR477" s="97"/>
      <c r="AS477" s="97"/>
      <c r="AT477" s="97"/>
      <c r="AU477" s="97"/>
      <c r="AV477" s="97"/>
      <c r="AW477" s="97"/>
      <c r="AX477" s="97"/>
      <c r="AY477" s="97"/>
      <c r="AZ477" s="97"/>
      <c r="BA477" s="97"/>
      <c r="BB477" s="97"/>
      <c r="BC477" s="97"/>
      <c r="BD477" s="97"/>
      <c r="BE477" s="97"/>
      <c r="BF477" s="97"/>
      <c r="BG477" s="97"/>
      <c r="BH477" s="97"/>
      <c r="BI477" s="97"/>
      <c r="BJ477" s="97"/>
      <c r="BK477" s="97"/>
      <c r="BL477" s="97"/>
      <c r="BM477" s="97"/>
      <c r="BN477" s="97"/>
      <c r="BO477" s="97"/>
      <c r="BP477" s="97"/>
      <c r="BQ477" s="97"/>
      <c r="BR477" s="97"/>
      <c r="BS477" s="97"/>
      <c r="BT477" s="97"/>
      <c r="BU477" s="97"/>
      <c r="BV477" s="97"/>
      <c r="BW477" s="97"/>
      <c r="BX477" s="97"/>
      <c r="BY477" s="97"/>
      <c r="BZ477" s="97"/>
      <c r="CA477" s="97"/>
      <c r="CB477" s="97"/>
      <c r="CC477" s="97"/>
      <c r="CD477" s="97"/>
      <c r="CE477" s="97"/>
      <c r="CF477" s="97"/>
      <c r="CG477" s="97"/>
      <c r="CH477" s="97"/>
      <c r="CI477" s="97"/>
      <c r="CJ477" s="97"/>
      <c r="CK477" s="97"/>
      <c r="CL477" s="97"/>
      <c r="CM477" s="97"/>
      <c r="CN477" s="97"/>
      <c r="CO477" s="97"/>
      <c r="CP477" s="97"/>
      <c r="CQ477" s="97"/>
    </row>
    <row r="478" spans="1:95" ht="15" customHeight="1" outlineLevel="1">
      <c r="A478" s="97"/>
      <c r="B478" s="142" t="s">
        <v>588</v>
      </c>
      <c r="C478" s="141">
        <f>SUM(Forecast_without_45_with_xx_AMI_cost,Forecast_without_45_48_with_xx_AMI_cost,Forecast_without_48_51_with_xx_AMI_cost,Forecast_without_51_54_with_xx_AMI_cost,Forecast_without_54_57_with_xx_AMI_cost,Forecast_without_57_60_with_xx_AMI_cost,Forecast_without_60_63_with_xx_AMI_cost,Forecast_without_63_66_with_xx_AMI_cost,Forecast_without_66_69_with_xx_AMI_cost,Forecast_without_69_72_with_xx_AMI_cost,Forecast_without_72_75_with_xx_AMI_cost,Forecast_without_75_78_with_xx_AMI_cost,Forecast_without_78_81_with_xx_AMI_cost,Forecast_without_81_with_xx_AMI_cost,)</f>
        <v>0</v>
      </c>
      <c r="D478" s="24" t="s">
        <v>589</v>
      </c>
      <c r="E478" s="134"/>
      <c r="F478" s="134"/>
      <c r="G478" s="134"/>
      <c r="H478" s="134"/>
      <c r="I478" s="134"/>
      <c r="J478" s="134"/>
      <c r="K478" s="134"/>
      <c r="L478" s="134"/>
      <c r="M478" s="134"/>
      <c r="N478" s="134"/>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7"/>
      <c r="AL478" s="97"/>
      <c r="AM478" s="97"/>
      <c r="AN478" s="97"/>
      <c r="AO478" s="97"/>
      <c r="AP478" s="97"/>
      <c r="AQ478" s="97"/>
      <c r="AR478" s="97"/>
      <c r="AS478" s="97"/>
      <c r="AT478" s="97"/>
      <c r="AU478" s="97"/>
      <c r="AV478" s="97"/>
      <c r="AW478" s="97"/>
      <c r="AX478" s="97"/>
      <c r="AY478" s="97"/>
      <c r="AZ478" s="97"/>
      <c r="BA478" s="97"/>
      <c r="BB478" s="97"/>
      <c r="BC478" s="97"/>
      <c r="BD478" s="97"/>
      <c r="BE478" s="97"/>
      <c r="BF478" s="97"/>
      <c r="BG478" s="97"/>
      <c r="BH478" s="97"/>
      <c r="BI478" s="97"/>
      <c r="BJ478" s="97"/>
      <c r="BK478" s="97"/>
      <c r="BL478" s="97"/>
      <c r="BM478" s="97"/>
      <c r="BN478" s="97"/>
      <c r="BO478" s="97"/>
      <c r="BP478" s="97"/>
      <c r="BQ478" s="97"/>
      <c r="BR478" s="97"/>
      <c r="BS478" s="97"/>
      <c r="BT478" s="97"/>
      <c r="BU478" s="97"/>
      <c r="BV478" s="97"/>
      <c r="BW478" s="97"/>
      <c r="BX478" s="97"/>
      <c r="BY478" s="97"/>
      <c r="BZ478" s="97"/>
      <c r="CA478" s="97"/>
      <c r="CB478" s="97"/>
      <c r="CC478" s="97"/>
      <c r="CD478" s="97"/>
      <c r="CE478" s="97"/>
      <c r="CF478" s="97"/>
      <c r="CG478" s="97"/>
      <c r="CH478" s="97"/>
      <c r="CI478" s="97"/>
      <c r="CJ478" s="97"/>
      <c r="CK478" s="97"/>
      <c r="CL478" s="97"/>
      <c r="CM478" s="97"/>
      <c r="CN478" s="97"/>
      <c r="CO478" s="97"/>
      <c r="CP478" s="97"/>
      <c r="CQ478" s="97"/>
    </row>
    <row r="479" spans="1:95" ht="15" customHeight="1" outlineLevel="1">
      <c r="A479" s="97"/>
      <c r="B479" s="134"/>
      <c r="C479" s="134"/>
      <c r="D479" s="24"/>
      <c r="E479" s="134"/>
      <c r="F479" s="134"/>
      <c r="G479" s="134"/>
      <c r="H479" s="134"/>
      <c r="I479" s="134"/>
      <c r="J479" s="134"/>
      <c r="K479" s="134"/>
      <c r="L479" s="134"/>
      <c r="M479" s="134"/>
      <c r="N479" s="134"/>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c r="AU479" s="97"/>
      <c r="AV479" s="97"/>
      <c r="AW479" s="97"/>
      <c r="AX479" s="97"/>
      <c r="AY479" s="97"/>
      <c r="AZ479" s="97"/>
      <c r="BA479" s="97"/>
      <c r="BB479" s="97"/>
      <c r="BC479" s="97"/>
      <c r="BD479" s="97"/>
      <c r="BE479" s="97"/>
      <c r="BF479" s="97"/>
      <c r="BG479" s="97"/>
      <c r="BH479" s="97"/>
      <c r="BI479" s="97"/>
      <c r="BJ479" s="97"/>
      <c r="BK479" s="97"/>
      <c r="BL479" s="97"/>
      <c r="BM479" s="97"/>
      <c r="BN479" s="97"/>
      <c r="BO479" s="97"/>
      <c r="BP479" s="97"/>
      <c r="BQ479" s="97"/>
      <c r="BR479" s="97"/>
      <c r="BS479" s="97"/>
      <c r="BT479" s="97"/>
      <c r="BU479" s="97"/>
      <c r="BV479" s="97"/>
      <c r="BW479" s="97"/>
      <c r="BX479" s="97"/>
      <c r="BY479" s="97"/>
      <c r="BZ479" s="97"/>
      <c r="CA479" s="97"/>
      <c r="CB479" s="97"/>
      <c r="CC479" s="97"/>
      <c r="CD479" s="97"/>
      <c r="CE479" s="97"/>
      <c r="CF479" s="97"/>
      <c r="CG479" s="97"/>
      <c r="CH479" s="97"/>
      <c r="CI479" s="97"/>
      <c r="CJ479" s="97"/>
      <c r="CK479" s="97"/>
      <c r="CL479" s="97"/>
      <c r="CM479" s="97"/>
      <c r="CN479" s="97"/>
      <c r="CO479" s="97"/>
      <c r="CP479" s="97"/>
      <c r="CQ479" s="97"/>
    </row>
    <row r="480" spans="1:95" ht="15" customHeight="1" outlineLevel="1">
      <c r="A480" s="97"/>
      <c r="B480" s="134" t="s">
        <v>590</v>
      </c>
      <c r="C480" s="141">
        <f>Forecast_year_AMI_cost-Opening_year_AMI_cost</f>
        <v>0</v>
      </c>
      <c r="D480" s="24" t="s">
        <v>591</v>
      </c>
      <c r="E480" s="134"/>
      <c r="F480" s="134"/>
      <c r="G480" s="134"/>
      <c r="H480" s="134"/>
      <c r="I480" s="134"/>
      <c r="J480" s="134"/>
      <c r="K480" s="134"/>
      <c r="L480" s="134"/>
      <c r="M480" s="134"/>
      <c r="N480" s="134"/>
      <c r="O480" s="97"/>
      <c r="P480" s="97"/>
      <c r="Q480" s="97"/>
      <c r="R480" s="97"/>
      <c r="S480" s="97"/>
      <c r="T480" s="97"/>
      <c r="U480" s="97"/>
      <c r="V480" s="97"/>
      <c r="W480" s="97"/>
      <c r="X480" s="97"/>
      <c r="Y480" s="97"/>
      <c r="Z480" s="97"/>
      <c r="AA480" s="97"/>
      <c r="AB480" s="97"/>
      <c r="AC480" s="97"/>
      <c r="AD480" s="97"/>
      <c r="AE480" s="97"/>
      <c r="AF480" s="97"/>
      <c r="AG480" s="97"/>
      <c r="AH480" s="97"/>
      <c r="AI480" s="97"/>
      <c r="AJ480" s="97"/>
      <c r="AK480" s="97"/>
      <c r="AL480" s="97"/>
      <c r="AM480" s="97"/>
      <c r="AN480" s="97"/>
      <c r="AO480" s="97"/>
      <c r="AP480" s="97"/>
      <c r="AQ480" s="97"/>
      <c r="AR480" s="97"/>
      <c r="AS480" s="97"/>
      <c r="AT480" s="97"/>
      <c r="AU480" s="97"/>
      <c r="AV480" s="97"/>
      <c r="AW480" s="97"/>
      <c r="AX480" s="97"/>
      <c r="AY480" s="97"/>
      <c r="AZ480" s="97"/>
      <c r="BA480" s="97"/>
      <c r="BB480" s="97"/>
      <c r="BC480" s="97"/>
      <c r="BD480" s="97"/>
      <c r="BE480" s="97"/>
      <c r="BF480" s="97"/>
      <c r="BG480" s="97"/>
      <c r="BH480" s="97"/>
      <c r="BI480" s="97"/>
      <c r="BJ480" s="97"/>
      <c r="BK480" s="97"/>
      <c r="BL480" s="97"/>
      <c r="BM480" s="97"/>
      <c r="BN480" s="97"/>
      <c r="BO480" s="97"/>
      <c r="BP480" s="97"/>
      <c r="BQ480" s="97"/>
      <c r="BR480" s="97"/>
      <c r="BS480" s="97"/>
      <c r="BT480" s="97"/>
      <c r="BU480" s="97"/>
      <c r="BV480" s="97"/>
      <c r="BW480" s="97"/>
      <c r="BX480" s="97"/>
      <c r="BY480" s="97"/>
      <c r="BZ480" s="97"/>
      <c r="CA480" s="97"/>
      <c r="CB480" s="97"/>
      <c r="CC480" s="97"/>
      <c r="CD480" s="97"/>
      <c r="CE480" s="97"/>
      <c r="CF480" s="97"/>
      <c r="CG480" s="97"/>
      <c r="CH480" s="97"/>
      <c r="CI480" s="97"/>
      <c r="CJ480" s="97"/>
      <c r="CK480" s="97"/>
      <c r="CL480" s="97"/>
      <c r="CM480" s="97"/>
      <c r="CN480" s="97"/>
      <c r="CO480" s="97"/>
      <c r="CP480" s="97"/>
      <c r="CQ480" s="97"/>
    </row>
    <row r="481" spans="1:95" ht="14.45" outlineLevel="1">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7"/>
      <c r="AL481" s="97"/>
      <c r="AM481" s="97"/>
      <c r="AN481" s="97"/>
      <c r="AO481" s="97"/>
      <c r="AP481" s="97"/>
      <c r="AQ481" s="97"/>
      <c r="AR481" s="97"/>
      <c r="AS481" s="97"/>
      <c r="AT481" s="97"/>
      <c r="AU481" s="97"/>
      <c r="AV481" s="97"/>
      <c r="AW481" s="97"/>
      <c r="AX481" s="97"/>
      <c r="AY481" s="97"/>
      <c r="AZ481" s="97"/>
      <c r="BA481" s="97"/>
      <c r="BB481" s="97"/>
      <c r="BC481" s="97"/>
      <c r="BD481" s="97"/>
      <c r="BE481" s="97"/>
      <c r="BF481" s="97"/>
      <c r="BG481" s="97"/>
      <c r="BH481" s="97"/>
      <c r="BI481" s="97"/>
      <c r="BJ481" s="97"/>
      <c r="BK481" s="97"/>
      <c r="BL481" s="97"/>
      <c r="BM481" s="97"/>
      <c r="BN481" s="97"/>
      <c r="BO481" s="97"/>
      <c r="BP481" s="97"/>
      <c r="BQ481" s="97"/>
      <c r="BR481" s="97"/>
      <c r="BS481" s="97"/>
      <c r="BT481" s="97"/>
      <c r="BU481" s="97"/>
      <c r="BV481" s="97"/>
      <c r="BW481" s="97"/>
      <c r="BX481" s="97"/>
      <c r="BY481" s="97"/>
      <c r="BZ481" s="97"/>
      <c r="CA481" s="97"/>
      <c r="CB481" s="97"/>
      <c r="CC481" s="97"/>
      <c r="CD481" s="97"/>
      <c r="CE481" s="97"/>
      <c r="CF481" s="97"/>
      <c r="CG481" s="97"/>
      <c r="CH481" s="97"/>
      <c r="CI481" s="97"/>
      <c r="CJ481" s="97"/>
      <c r="CK481" s="97"/>
      <c r="CL481" s="97"/>
      <c r="CM481" s="97"/>
      <c r="CN481" s="97"/>
      <c r="CO481" s="97"/>
      <c r="CP481" s="97"/>
      <c r="CQ481" s="97"/>
    </row>
    <row r="482" spans="1:95" s="5" customFormat="1" ht="15.6" outlineLevel="1">
      <c r="B482" s="5" t="s">
        <v>592</v>
      </c>
    </row>
    <row r="483" spans="1:95" ht="15" customHeight="1" outlineLevel="1">
      <c r="A483" s="97"/>
      <c r="B483" s="134"/>
      <c r="C483" s="134"/>
      <c r="D483" s="134"/>
      <c r="E483" s="134"/>
      <c r="F483" s="134"/>
      <c r="G483" s="134"/>
      <c r="H483" s="134"/>
      <c r="I483" s="134"/>
      <c r="J483" s="134"/>
      <c r="K483" s="134"/>
      <c r="L483" s="134"/>
      <c r="M483" s="134"/>
      <c r="N483" s="134"/>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97"/>
      <c r="BO483" s="97"/>
      <c r="BP483" s="97"/>
      <c r="BQ483" s="97"/>
      <c r="BR483" s="97"/>
      <c r="BS483" s="97"/>
      <c r="BT483" s="97"/>
      <c r="BU483" s="97"/>
      <c r="BV483" s="97"/>
      <c r="BW483" s="97"/>
      <c r="BX483" s="97"/>
      <c r="BY483" s="97"/>
      <c r="BZ483" s="97"/>
      <c r="CA483" s="97"/>
      <c r="CB483" s="97"/>
      <c r="CC483" s="97"/>
      <c r="CD483" s="97"/>
      <c r="CE483" s="97"/>
      <c r="CF483" s="97"/>
      <c r="CG483" s="97"/>
      <c r="CH483" s="97"/>
      <c r="CI483" s="97"/>
      <c r="CJ483" s="97"/>
      <c r="CK483" s="97"/>
      <c r="CL483" s="97"/>
      <c r="CM483" s="97"/>
      <c r="CN483" s="97"/>
      <c r="CO483" s="97"/>
      <c r="CP483" s="97"/>
      <c r="CQ483" s="97"/>
    </row>
    <row r="484" spans="1:95" ht="15" customHeight="1" outlineLevel="1">
      <c r="A484" s="97"/>
      <c r="B484" s="122"/>
      <c r="C484" s="60" t="s">
        <v>79</v>
      </c>
      <c r="D484" s="61" t="s">
        <v>80</v>
      </c>
      <c r="E484" s="104" t="s">
        <v>81</v>
      </c>
      <c r="F484" s="104" t="s">
        <v>82</v>
      </c>
      <c r="G484" s="104" t="s">
        <v>83</v>
      </c>
      <c r="H484" s="104" t="s">
        <v>84</v>
      </c>
      <c r="I484" s="104" t="s">
        <v>85</v>
      </c>
      <c r="J484" s="104" t="s">
        <v>86</v>
      </c>
      <c r="K484" s="104" t="s">
        <v>87</v>
      </c>
      <c r="L484" s="104" t="s">
        <v>88</v>
      </c>
      <c r="M484" s="104" t="s">
        <v>89</v>
      </c>
      <c r="N484" s="104" t="s">
        <v>90</v>
      </c>
      <c r="O484" s="104" t="s">
        <v>91</v>
      </c>
      <c r="P484" s="104" t="s">
        <v>92</v>
      </c>
      <c r="Q484" s="104" t="s">
        <v>93</v>
      </c>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c r="CG484" s="97"/>
      <c r="CH484" s="97"/>
      <c r="CI484" s="97"/>
      <c r="CJ484" s="97"/>
      <c r="CK484" s="97"/>
      <c r="CL484" s="97"/>
      <c r="CM484" s="97"/>
      <c r="CN484" s="97"/>
      <c r="CO484" s="97"/>
      <c r="CP484" s="97"/>
      <c r="CQ484" s="97"/>
    </row>
    <row r="485" spans="1:95" ht="15" customHeight="1" outlineLevel="1">
      <c r="A485" s="97"/>
      <c r="B485" s="60" t="s">
        <v>94</v>
      </c>
      <c r="C485" s="130"/>
      <c r="D485" s="135"/>
      <c r="E485" s="129"/>
      <c r="F485" s="129"/>
      <c r="G485" s="129"/>
      <c r="H485" s="129"/>
      <c r="I485" s="129"/>
      <c r="J485" s="129"/>
      <c r="K485" s="129"/>
      <c r="L485" s="129"/>
      <c r="M485" s="129"/>
      <c r="N485" s="129"/>
      <c r="O485" s="129"/>
      <c r="P485" s="129"/>
      <c r="Q485" s="130"/>
      <c r="R485" s="97"/>
      <c r="S485" s="97"/>
      <c r="T485" s="97"/>
      <c r="U485" s="97"/>
      <c r="V485" s="97"/>
      <c r="W485" s="97"/>
      <c r="X485" s="97"/>
      <c r="Y485" s="97"/>
      <c r="Z485" s="97"/>
      <c r="AA485" s="97"/>
      <c r="AB485" s="97"/>
      <c r="AC485" s="97"/>
      <c r="AD485" s="97"/>
      <c r="AE485" s="97"/>
      <c r="AF485" s="97"/>
      <c r="AG485" s="97"/>
      <c r="AH485" s="97"/>
      <c r="AI485" s="97"/>
      <c r="AJ485" s="97"/>
      <c r="AK485" s="97"/>
      <c r="AL485" s="97"/>
      <c r="AM485" s="97"/>
      <c r="AN485" s="97"/>
      <c r="AO485" s="97"/>
      <c r="AP485" s="97"/>
      <c r="AQ485" s="97"/>
      <c r="AR485" s="97"/>
      <c r="AS485" s="97"/>
      <c r="AT485" s="97"/>
      <c r="AU485" s="97"/>
      <c r="AV485" s="97"/>
      <c r="AW485" s="97"/>
      <c r="AX485" s="97"/>
      <c r="AY485" s="97"/>
      <c r="AZ485" s="97"/>
      <c r="BA485" s="97"/>
      <c r="BB485" s="97"/>
      <c r="BC485" s="97"/>
      <c r="BD485" s="97"/>
      <c r="BE485" s="97"/>
      <c r="BF485" s="97"/>
      <c r="BG485" s="97"/>
      <c r="BH485" s="97"/>
      <c r="BI485" s="97"/>
      <c r="BJ485" s="97"/>
      <c r="BK485" s="97"/>
      <c r="BL485" s="97"/>
      <c r="BM485" s="97"/>
      <c r="BN485" s="97"/>
      <c r="BO485" s="97"/>
      <c r="BP485" s="97"/>
      <c r="BQ485" s="97"/>
      <c r="BR485" s="97"/>
      <c r="BS485" s="97"/>
      <c r="BT485" s="97"/>
      <c r="BU485" s="97"/>
      <c r="BV485" s="97"/>
      <c r="BW485" s="97"/>
      <c r="BX485" s="97"/>
      <c r="BY485" s="97"/>
      <c r="BZ485" s="97"/>
      <c r="CA485" s="97"/>
      <c r="CB485" s="97"/>
      <c r="CC485" s="97"/>
      <c r="CD485" s="97"/>
      <c r="CE485" s="97"/>
      <c r="CF485" s="97"/>
      <c r="CG485" s="97"/>
      <c r="CH485" s="97"/>
      <c r="CI485" s="97"/>
      <c r="CJ485" s="97"/>
      <c r="CK485" s="97"/>
      <c r="CL485" s="97"/>
      <c r="CM485" s="97"/>
      <c r="CN485" s="97"/>
      <c r="CO485" s="97"/>
      <c r="CP485" s="97"/>
      <c r="CQ485" s="97"/>
    </row>
    <row r="486" spans="1:95" ht="15" customHeight="1" outlineLevel="1">
      <c r="A486" s="97"/>
      <c r="B486" s="61" t="s">
        <v>80</v>
      </c>
      <c r="C486" s="136"/>
      <c r="D486" s="131">
        <f t="shared" ref="D486:Q486" si="162">Opening_without_45_with_xx*Without_45_with_xx_stroke_value</f>
        <v>0</v>
      </c>
      <c r="E486" s="131">
        <f t="shared" si="162"/>
        <v>0</v>
      </c>
      <c r="F486" s="131">
        <f t="shared" si="162"/>
        <v>0</v>
      </c>
      <c r="G486" s="131">
        <f t="shared" si="162"/>
        <v>0</v>
      </c>
      <c r="H486" s="131">
        <f t="shared" si="162"/>
        <v>0</v>
      </c>
      <c r="I486" s="131">
        <f t="shared" si="162"/>
        <v>0</v>
      </c>
      <c r="J486" s="131">
        <f t="shared" si="162"/>
        <v>0</v>
      </c>
      <c r="K486" s="131">
        <f t="shared" si="162"/>
        <v>0</v>
      </c>
      <c r="L486" s="131">
        <f t="shared" si="162"/>
        <v>0</v>
      </c>
      <c r="M486" s="131">
        <f t="shared" si="162"/>
        <v>0</v>
      </c>
      <c r="N486" s="131">
        <f t="shared" si="162"/>
        <v>0</v>
      </c>
      <c r="O486" s="131">
        <f t="shared" si="162"/>
        <v>0</v>
      </c>
      <c r="P486" s="131">
        <f t="shared" si="162"/>
        <v>0</v>
      </c>
      <c r="Q486" s="131">
        <f t="shared" si="162"/>
        <v>0</v>
      </c>
      <c r="R486" s="22" t="s">
        <v>593</v>
      </c>
      <c r="S486" s="97"/>
      <c r="T486" s="97"/>
      <c r="U486" s="97"/>
      <c r="V486" s="97"/>
      <c r="W486" s="97"/>
      <c r="X486" s="97"/>
      <c r="Y486" s="97"/>
      <c r="Z486" s="97"/>
      <c r="AA486" s="97"/>
      <c r="AB486" s="97"/>
      <c r="AC486" s="97"/>
      <c r="AD486" s="97"/>
      <c r="AE486" s="97"/>
      <c r="AF486" s="97"/>
      <c r="AG486" s="97"/>
      <c r="AH486" s="97"/>
      <c r="AI486" s="97"/>
      <c r="AJ486" s="97"/>
      <c r="AK486" s="97"/>
      <c r="AL486" s="97"/>
      <c r="AM486" s="97"/>
      <c r="AN486" s="97"/>
      <c r="AO486" s="97"/>
      <c r="AP486" s="97"/>
      <c r="AQ486" s="97"/>
      <c r="AR486" s="97"/>
      <c r="AS486" s="97"/>
      <c r="AT486" s="97"/>
      <c r="AU486" s="97"/>
      <c r="AV486" s="97"/>
      <c r="AW486" s="97"/>
      <c r="AX486" s="97"/>
      <c r="AY486" s="97"/>
      <c r="AZ486" s="97"/>
      <c r="BA486" s="97"/>
      <c r="BB486" s="97"/>
      <c r="BC486" s="97"/>
      <c r="BD486" s="97"/>
      <c r="BE486" s="97"/>
      <c r="BF486" s="97"/>
      <c r="BG486" s="97"/>
      <c r="BH486" s="97"/>
      <c r="BI486" s="97"/>
      <c r="BJ486" s="97"/>
      <c r="BK486" s="97"/>
      <c r="BL486" s="97"/>
      <c r="BM486" s="97"/>
      <c r="BN486" s="97"/>
      <c r="BO486" s="97"/>
      <c r="BP486" s="97"/>
      <c r="BQ486" s="97"/>
      <c r="BR486" s="97"/>
      <c r="BS486" s="97"/>
      <c r="BT486" s="97"/>
      <c r="BU486" s="97"/>
      <c r="BV486" s="97"/>
      <c r="BW486" s="97"/>
      <c r="BX486" s="97"/>
      <c r="BY486" s="97"/>
      <c r="BZ486" s="97"/>
      <c r="CA486" s="97"/>
      <c r="CB486" s="97"/>
      <c r="CC486" s="97"/>
      <c r="CD486" s="97"/>
      <c r="CE486" s="97"/>
      <c r="CF486" s="97"/>
      <c r="CG486" s="97"/>
      <c r="CH486" s="97"/>
      <c r="CI486" s="97"/>
      <c r="CJ486" s="97"/>
      <c r="CK486" s="97"/>
      <c r="CL486" s="97"/>
      <c r="CM486" s="97"/>
      <c r="CN486" s="97"/>
      <c r="CO486" s="97"/>
      <c r="CP486" s="97"/>
      <c r="CQ486" s="97"/>
    </row>
    <row r="487" spans="1:95" ht="15" customHeight="1" outlineLevel="1">
      <c r="A487" s="97"/>
      <c r="B487" s="104" t="s">
        <v>81</v>
      </c>
      <c r="C487" s="138"/>
      <c r="D487" s="131">
        <f t="shared" ref="D487:Q487" si="163">Opening_without_45_48_with_xx*Without_45_48_with_xx_stroke_value</f>
        <v>0</v>
      </c>
      <c r="E487" s="131">
        <f t="shared" si="163"/>
        <v>0</v>
      </c>
      <c r="F487" s="131">
        <f t="shared" si="163"/>
        <v>0</v>
      </c>
      <c r="G487" s="131">
        <f t="shared" si="163"/>
        <v>0</v>
      </c>
      <c r="H487" s="131">
        <f t="shared" si="163"/>
        <v>0</v>
      </c>
      <c r="I487" s="131">
        <f t="shared" si="163"/>
        <v>0</v>
      </c>
      <c r="J487" s="131">
        <f t="shared" si="163"/>
        <v>0</v>
      </c>
      <c r="K487" s="131">
        <f t="shared" si="163"/>
        <v>0</v>
      </c>
      <c r="L487" s="131">
        <f t="shared" si="163"/>
        <v>0</v>
      </c>
      <c r="M487" s="131">
        <f t="shared" si="163"/>
        <v>0</v>
      </c>
      <c r="N487" s="131">
        <f t="shared" si="163"/>
        <v>0</v>
      </c>
      <c r="O487" s="131">
        <f t="shared" si="163"/>
        <v>0</v>
      </c>
      <c r="P487" s="131">
        <f t="shared" si="163"/>
        <v>0</v>
      </c>
      <c r="Q487" s="131">
        <f t="shared" si="163"/>
        <v>0</v>
      </c>
      <c r="R487" s="22" t="s">
        <v>594</v>
      </c>
      <c r="S487" s="97"/>
      <c r="T487" s="97"/>
      <c r="U487" s="97"/>
      <c r="V487" s="97"/>
      <c r="W487" s="97"/>
      <c r="X487" s="97"/>
      <c r="Y487" s="97"/>
      <c r="Z487" s="97"/>
      <c r="AA487" s="97"/>
      <c r="AB487" s="97"/>
      <c r="AC487" s="97"/>
      <c r="AD487" s="97"/>
      <c r="AE487" s="97"/>
      <c r="AF487" s="97"/>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L487" s="97"/>
      <c r="BM487" s="97"/>
      <c r="BN487" s="97"/>
      <c r="BO487" s="97"/>
      <c r="BP487" s="97"/>
      <c r="BQ487" s="97"/>
      <c r="BR487" s="97"/>
      <c r="BS487" s="97"/>
      <c r="BT487" s="97"/>
      <c r="BU487" s="97"/>
      <c r="BV487" s="97"/>
      <c r="BW487" s="97"/>
      <c r="BX487" s="97"/>
      <c r="BY487" s="97"/>
      <c r="BZ487" s="97"/>
      <c r="CA487" s="97"/>
      <c r="CB487" s="97"/>
      <c r="CC487" s="97"/>
      <c r="CD487" s="97"/>
      <c r="CE487" s="97"/>
      <c r="CF487" s="97"/>
      <c r="CG487" s="97"/>
      <c r="CH487" s="97"/>
      <c r="CI487" s="97"/>
      <c r="CJ487" s="97"/>
      <c r="CK487" s="97"/>
      <c r="CL487" s="97"/>
      <c r="CM487" s="97"/>
      <c r="CN487" s="97"/>
      <c r="CO487" s="97"/>
      <c r="CP487" s="97"/>
      <c r="CQ487" s="97"/>
    </row>
    <row r="488" spans="1:95" ht="15" customHeight="1" outlineLevel="1">
      <c r="A488" s="97"/>
      <c r="B488" s="104" t="s">
        <v>82</v>
      </c>
      <c r="C488" s="138"/>
      <c r="D488" s="131">
        <f t="shared" ref="D488:Q488" si="164">Opening_without_48_51_with_xx*Without_48_51_with_xx_stroke_value</f>
        <v>0</v>
      </c>
      <c r="E488" s="131">
        <f t="shared" si="164"/>
        <v>0</v>
      </c>
      <c r="F488" s="131">
        <f t="shared" si="164"/>
        <v>0</v>
      </c>
      <c r="G488" s="131">
        <f t="shared" si="164"/>
        <v>0</v>
      </c>
      <c r="H488" s="131">
        <f t="shared" si="164"/>
        <v>0</v>
      </c>
      <c r="I488" s="131">
        <f t="shared" si="164"/>
        <v>0</v>
      </c>
      <c r="J488" s="131">
        <f t="shared" si="164"/>
        <v>0</v>
      </c>
      <c r="K488" s="131">
        <f t="shared" si="164"/>
        <v>0</v>
      </c>
      <c r="L488" s="131">
        <f t="shared" si="164"/>
        <v>0</v>
      </c>
      <c r="M488" s="131">
        <f t="shared" si="164"/>
        <v>0</v>
      </c>
      <c r="N488" s="131">
        <f t="shared" si="164"/>
        <v>0</v>
      </c>
      <c r="O488" s="131">
        <f t="shared" si="164"/>
        <v>0</v>
      </c>
      <c r="P488" s="131">
        <f t="shared" si="164"/>
        <v>0</v>
      </c>
      <c r="Q488" s="131">
        <f t="shared" si="164"/>
        <v>0</v>
      </c>
      <c r="R488" s="22" t="s">
        <v>595</v>
      </c>
      <c r="S488" s="97"/>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7"/>
      <c r="AW488" s="97"/>
      <c r="AX488" s="97"/>
      <c r="AY488" s="97"/>
      <c r="AZ488" s="97"/>
      <c r="BA488" s="97"/>
      <c r="BB488" s="97"/>
      <c r="BC488" s="97"/>
      <c r="BD488" s="97"/>
      <c r="BE488" s="97"/>
      <c r="BF488" s="97"/>
      <c r="BG488" s="97"/>
      <c r="BH488" s="97"/>
      <c r="BI488" s="97"/>
      <c r="BJ488" s="97"/>
      <c r="BK488" s="97"/>
      <c r="BL488" s="97"/>
      <c r="BM488" s="97"/>
      <c r="BN488" s="97"/>
      <c r="BO488" s="97"/>
      <c r="BP488" s="97"/>
      <c r="BQ488" s="97"/>
      <c r="BR488" s="97"/>
      <c r="BS488" s="97"/>
      <c r="BT488" s="97"/>
      <c r="BU488" s="97"/>
      <c r="BV488" s="97"/>
      <c r="BW488" s="97"/>
      <c r="BX488" s="97"/>
      <c r="BY488" s="97"/>
      <c r="BZ488" s="97"/>
      <c r="CA488" s="97"/>
      <c r="CB488" s="97"/>
      <c r="CC488" s="97"/>
      <c r="CD488" s="97"/>
      <c r="CE488" s="97"/>
      <c r="CF488" s="97"/>
      <c r="CG488" s="97"/>
      <c r="CH488" s="97"/>
      <c r="CI488" s="97"/>
      <c r="CJ488" s="97"/>
      <c r="CK488" s="97"/>
      <c r="CL488" s="97"/>
      <c r="CM488" s="97"/>
      <c r="CN488" s="97"/>
      <c r="CO488" s="97"/>
      <c r="CP488" s="97"/>
      <c r="CQ488" s="97"/>
    </row>
    <row r="489" spans="1:95" ht="15" customHeight="1" outlineLevel="1">
      <c r="A489" s="97"/>
      <c r="B489" s="104" t="s">
        <v>83</v>
      </c>
      <c r="C489" s="138"/>
      <c r="D489" s="131">
        <f t="shared" ref="D489:Q489" si="165">Opening_without_51_54_with_xx*Without_51_54_with_xx_stroke_value</f>
        <v>0</v>
      </c>
      <c r="E489" s="131">
        <f t="shared" si="165"/>
        <v>0</v>
      </c>
      <c r="F489" s="131">
        <f t="shared" si="165"/>
        <v>0</v>
      </c>
      <c r="G489" s="131">
        <f t="shared" si="165"/>
        <v>0</v>
      </c>
      <c r="H489" s="131">
        <f t="shared" si="165"/>
        <v>0</v>
      </c>
      <c r="I489" s="131">
        <f t="shared" si="165"/>
        <v>0</v>
      </c>
      <c r="J489" s="131">
        <f t="shared" si="165"/>
        <v>0</v>
      </c>
      <c r="K489" s="131">
        <f t="shared" si="165"/>
        <v>0</v>
      </c>
      <c r="L489" s="131">
        <f t="shared" si="165"/>
        <v>0</v>
      </c>
      <c r="M489" s="131">
        <f t="shared" si="165"/>
        <v>0</v>
      </c>
      <c r="N489" s="131">
        <f t="shared" si="165"/>
        <v>0</v>
      </c>
      <c r="O489" s="131">
        <f t="shared" si="165"/>
        <v>0</v>
      </c>
      <c r="P489" s="131">
        <f t="shared" si="165"/>
        <v>0</v>
      </c>
      <c r="Q489" s="131">
        <f t="shared" si="165"/>
        <v>0</v>
      </c>
      <c r="R489" s="22" t="s">
        <v>596</v>
      </c>
      <c r="S489" s="97"/>
      <c r="T489" s="97"/>
      <c r="U489" s="97"/>
      <c r="V489" s="97"/>
      <c r="W489" s="97"/>
      <c r="X489" s="97"/>
      <c r="Y489" s="97"/>
      <c r="Z489" s="97"/>
      <c r="AA489" s="97"/>
      <c r="AB489" s="97"/>
      <c r="AC489" s="97"/>
      <c r="AD489" s="97"/>
      <c r="AE489" s="97"/>
      <c r="AF489" s="97"/>
      <c r="AG489" s="97"/>
      <c r="AH489" s="97"/>
      <c r="AI489" s="97"/>
      <c r="AJ489" s="97"/>
      <c r="AK489" s="97"/>
      <c r="AL489" s="97"/>
      <c r="AM489" s="97"/>
      <c r="AN489" s="97"/>
      <c r="AO489" s="97"/>
      <c r="AP489" s="97"/>
      <c r="AQ489" s="97"/>
      <c r="AR489" s="97"/>
      <c r="AS489" s="97"/>
      <c r="AT489" s="97"/>
      <c r="AU489" s="97"/>
      <c r="AV489" s="97"/>
      <c r="AW489" s="97"/>
      <c r="AX489" s="97"/>
      <c r="AY489" s="97"/>
      <c r="AZ489" s="97"/>
      <c r="BA489" s="97"/>
      <c r="BB489" s="97"/>
      <c r="BC489" s="97"/>
      <c r="BD489" s="97"/>
      <c r="BE489" s="97"/>
      <c r="BF489" s="97"/>
      <c r="BG489" s="97"/>
      <c r="BH489" s="97"/>
      <c r="BI489" s="97"/>
      <c r="BJ489" s="97"/>
      <c r="BK489" s="97"/>
      <c r="BL489" s="97"/>
      <c r="BM489" s="97"/>
      <c r="BN489" s="97"/>
      <c r="BO489" s="97"/>
      <c r="BP489" s="97"/>
      <c r="BQ489" s="97"/>
      <c r="BR489" s="97"/>
      <c r="BS489" s="97"/>
      <c r="BT489" s="97"/>
      <c r="BU489" s="97"/>
      <c r="BV489" s="97"/>
      <c r="BW489" s="97"/>
      <c r="BX489" s="97"/>
      <c r="BY489" s="97"/>
      <c r="BZ489" s="97"/>
      <c r="CA489" s="97"/>
      <c r="CB489" s="97"/>
      <c r="CC489" s="97"/>
      <c r="CD489" s="97"/>
      <c r="CE489" s="97"/>
      <c r="CF489" s="97"/>
      <c r="CG489" s="97"/>
      <c r="CH489" s="97"/>
      <c r="CI489" s="97"/>
      <c r="CJ489" s="97"/>
      <c r="CK489" s="97"/>
      <c r="CL489" s="97"/>
      <c r="CM489" s="97"/>
      <c r="CN489" s="97"/>
      <c r="CO489" s="97"/>
      <c r="CP489" s="97"/>
      <c r="CQ489" s="97"/>
    </row>
    <row r="490" spans="1:95" ht="15" customHeight="1" outlineLevel="1">
      <c r="A490" s="97"/>
      <c r="B490" s="104" t="s">
        <v>84</v>
      </c>
      <c r="C490" s="138"/>
      <c r="D490" s="131">
        <f t="shared" ref="D490:Q490" si="166">Opening_without_54_57_with_xx*Without_54_57_with_xx_stroke_value</f>
        <v>0</v>
      </c>
      <c r="E490" s="131">
        <f t="shared" si="166"/>
        <v>0</v>
      </c>
      <c r="F490" s="131">
        <f t="shared" si="166"/>
        <v>0</v>
      </c>
      <c r="G490" s="131">
        <f t="shared" si="166"/>
        <v>0</v>
      </c>
      <c r="H490" s="131">
        <f t="shared" si="166"/>
        <v>0</v>
      </c>
      <c r="I490" s="131">
        <f t="shared" si="166"/>
        <v>0</v>
      </c>
      <c r="J490" s="131">
        <f t="shared" si="166"/>
        <v>0</v>
      </c>
      <c r="K490" s="131">
        <f t="shared" si="166"/>
        <v>0</v>
      </c>
      <c r="L490" s="131">
        <f t="shared" si="166"/>
        <v>0</v>
      </c>
      <c r="M490" s="131">
        <f t="shared" si="166"/>
        <v>0</v>
      </c>
      <c r="N490" s="131">
        <f t="shared" si="166"/>
        <v>0</v>
      </c>
      <c r="O490" s="131">
        <f t="shared" si="166"/>
        <v>0</v>
      </c>
      <c r="P490" s="131">
        <f t="shared" si="166"/>
        <v>0</v>
      </c>
      <c r="Q490" s="131">
        <f t="shared" si="166"/>
        <v>0</v>
      </c>
      <c r="R490" s="22" t="s">
        <v>597</v>
      </c>
      <c r="S490" s="97"/>
      <c r="T490" s="97"/>
      <c r="U490" s="97"/>
      <c r="V490" s="97"/>
      <c r="W490" s="97"/>
      <c r="X490" s="97"/>
      <c r="Y490" s="97"/>
      <c r="Z490" s="97"/>
      <c r="AA490" s="97"/>
      <c r="AB490" s="97"/>
      <c r="AC490" s="97"/>
      <c r="AD490" s="97"/>
      <c r="AE490" s="97"/>
      <c r="AF490" s="97"/>
      <c r="AG490" s="97"/>
      <c r="AH490" s="97"/>
      <c r="AI490" s="97"/>
      <c r="AJ490" s="97"/>
      <c r="AK490" s="97"/>
      <c r="AL490" s="97"/>
      <c r="AM490" s="97"/>
      <c r="AN490" s="97"/>
      <c r="AO490" s="97"/>
      <c r="AP490" s="97"/>
      <c r="AQ490" s="97"/>
      <c r="AR490" s="97"/>
      <c r="AS490" s="97"/>
      <c r="AT490" s="97"/>
      <c r="AU490" s="97"/>
      <c r="AV490" s="97"/>
      <c r="AW490" s="97"/>
      <c r="AX490" s="97"/>
      <c r="AY490" s="97"/>
      <c r="AZ490" s="97"/>
      <c r="BA490" s="97"/>
      <c r="BB490" s="97"/>
      <c r="BC490" s="97"/>
      <c r="BD490" s="97"/>
      <c r="BE490" s="97"/>
      <c r="BF490" s="97"/>
      <c r="BG490" s="97"/>
      <c r="BH490" s="97"/>
      <c r="BI490" s="97"/>
      <c r="BJ490" s="97"/>
      <c r="BK490" s="97"/>
      <c r="BL490" s="97"/>
      <c r="BM490" s="97"/>
      <c r="BN490" s="97"/>
      <c r="BO490" s="97"/>
      <c r="BP490" s="97"/>
      <c r="BQ490" s="97"/>
      <c r="BR490" s="97"/>
      <c r="BS490" s="97"/>
      <c r="BT490" s="97"/>
      <c r="BU490" s="97"/>
      <c r="BV490" s="97"/>
      <c r="BW490" s="97"/>
      <c r="BX490" s="97"/>
      <c r="BY490" s="97"/>
      <c r="BZ490" s="97"/>
      <c r="CA490" s="97"/>
      <c r="CB490" s="97"/>
      <c r="CC490" s="97"/>
      <c r="CD490" s="97"/>
      <c r="CE490" s="97"/>
      <c r="CF490" s="97"/>
      <c r="CG490" s="97"/>
      <c r="CH490" s="97"/>
      <c r="CI490" s="97"/>
      <c r="CJ490" s="97"/>
      <c r="CK490" s="97"/>
      <c r="CL490" s="97"/>
      <c r="CM490" s="97"/>
      <c r="CN490" s="97"/>
      <c r="CO490" s="97"/>
      <c r="CP490" s="97"/>
      <c r="CQ490" s="97"/>
    </row>
    <row r="491" spans="1:95" ht="15" customHeight="1" outlineLevel="1">
      <c r="A491" s="97"/>
      <c r="B491" s="104" t="s">
        <v>85</v>
      </c>
      <c r="C491" s="138"/>
      <c r="D491" s="131">
        <f t="shared" ref="D491:Q491" si="167">Opening_without_57_60_with_xx*Without_57_60_with_xx_stroke_value</f>
        <v>0</v>
      </c>
      <c r="E491" s="131">
        <f t="shared" si="167"/>
        <v>0</v>
      </c>
      <c r="F491" s="131">
        <f t="shared" si="167"/>
        <v>0</v>
      </c>
      <c r="G491" s="131">
        <f t="shared" si="167"/>
        <v>0</v>
      </c>
      <c r="H491" s="131">
        <f t="shared" si="167"/>
        <v>0</v>
      </c>
      <c r="I491" s="131">
        <f t="shared" si="167"/>
        <v>0</v>
      </c>
      <c r="J491" s="131">
        <f t="shared" si="167"/>
        <v>0</v>
      </c>
      <c r="K491" s="131">
        <f t="shared" si="167"/>
        <v>0</v>
      </c>
      <c r="L491" s="131">
        <f t="shared" si="167"/>
        <v>0</v>
      </c>
      <c r="M491" s="131">
        <f t="shared" si="167"/>
        <v>0</v>
      </c>
      <c r="N491" s="131">
        <f t="shared" si="167"/>
        <v>0</v>
      </c>
      <c r="O491" s="131">
        <f t="shared" si="167"/>
        <v>0</v>
      </c>
      <c r="P491" s="131">
        <f t="shared" si="167"/>
        <v>0</v>
      </c>
      <c r="Q491" s="131">
        <f t="shared" si="167"/>
        <v>0</v>
      </c>
      <c r="R491" s="22" t="s">
        <v>598</v>
      </c>
      <c r="S491" s="97"/>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7"/>
      <c r="AW491" s="97"/>
      <c r="AX491" s="97"/>
      <c r="AY491" s="97"/>
      <c r="AZ491" s="97"/>
      <c r="BA491" s="97"/>
      <c r="BB491" s="97"/>
      <c r="BC491" s="97"/>
      <c r="BD491" s="97"/>
      <c r="BE491" s="97"/>
      <c r="BF491" s="97"/>
      <c r="BG491" s="97"/>
      <c r="BH491" s="97"/>
      <c r="BI491" s="97"/>
      <c r="BJ491" s="97"/>
      <c r="BK491" s="97"/>
      <c r="BL491" s="97"/>
      <c r="BM491" s="97"/>
      <c r="BN491" s="97"/>
      <c r="BO491" s="97"/>
      <c r="BP491" s="97"/>
      <c r="BQ491" s="97"/>
      <c r="BR491" s="97"/>
      <c r="BS491" s="97"/>
      <c r="BT491" s="97"/>
      <c r="BU491" s="97"/>
      <c r="BV491" s="97"/>
      <c r="BW491" s="97"/>
      <c r="BX491" s="97"/>
      <c r="BY491" s="97"/>
      <c r="BZ491" s="97"/>
      <c r="CA491" s="97"/>
      <c r="CB491" s="97"/>
      <c r="CC491" s="97"/>
      <c r="CD491" s="97"/>
      <c r="CE491" s="97"/>
      <c r="CF491" s="97"/>
      <c r="CG491" s="97"/>
      <c r="CH491" s="97"/>
      <c r="CI491" s="97"/>
      <c r="CJ491" s="97"/>
      <c r="CK491" s="97"/>
      <c r="CL491" s="97"/>
      <c r="CM491" s="97"/>
      <c r="CN491" s="97"/>
      <c r="CO491" s="97"/>
      <c r="CP491" s="97"/>
      <c r="CQ491" s="97"/>
    </row>
    <row r="492" spans="1:95" ht="15" customHeight="1" outlineLevel="1">
      <c r="A492" s="97"/>
      <c r="B492" s="104" t="s">
        <v>86</v>
      </c>
      <c r="C492" s="138"/>
      <c r="D492" s="131">
        <f t="shared" ref="D492:Q492" si="168">Opening_without_60_63_with_xx*Without_60_63_with_xx_stroke_value</f>
        <v>0</v>
      </c>
      <c r="E492" s="131">
        <f t="shared" si="168"/>
        <v>0</v>
      </c>
      <c r="F492" s="131">
        <f t="shared" si="168"/>
        <v>0</v>
      </c>
      <c r="G492" s="131">
        <f t="shared" si="168"/>
        <v>0</v>
      </c>
      <c r="H492" s="131">
        <f t="shared" si="168"/>
        <v>0</v>
      </c>
      <c r="I492" s="131">
        <f t="shared" si="168"/>
        <v>0</v>
      </c>
      <c r="J492" s="131">
        <f t="shared" si="168"/>
        <v>0</v>
      </c>
      <c r="K492" s="131">
        <f t="shared" si="168"/>
        <v>0</v>
      </c>
      <c r="L492" s="131">
        <f t="shared" si="168"/>
        <v>0</v>
      </c>
      <c r="M492" s="131">
        <f t="shared" si="168"/>
        <v>0</v>
      </c>
      <c r="N492" s="131">
        <f t="shared" si="168"/>
        <v>0</v>
      </c>
      <c r="O492" s="131">
        <f t="shared" si="168"/>
        <v>0</v>
      </c>
      <c r="P492" s="131">
        <f t="shared" si="168"/>
        <v>0</v>
      </c>
      <c r="Q492" s="131">
        <f t="shared" si="168"/>
        <v>0</v>
      </c>
      <c r="R492" s="22" t="s">
        <v>599</v>
      </c>
      <c r="S492" s="97"/>
      <c r="T492" s="97"/>
      <c r="U492" s="97"/>
      <c r="V492" s="97"/>
      <c r="W492" s="97"/>
      <c r="X492" s="97"/>
      <c r="Y492" s="97"/>
      <c r="Z492" s="97"/>
      <c r="AA492" s="97"/>
      <c r="AB492" s="97"/>
      <c r="AC492" s="97"/>
      <c r="AD492" s="97"/>
      <c r="AE492" s="97"/>
      <c r="AF492" s="97"/>
      <c r="AG492" s="97"/>
      <c r="AH492" s="97"/>
      <c r="AI492" s="97"/>
      <c r="AJ492" s="97"/>
      <c r="AK492" s="97"/>
      <c r="AL492" s="97"/>
      <c r="AM492" s="97"/>
      <c r="AN492" s="97"/>
      <c r="AO492" s="97"/>
      <c r="AP492" s="97"/>
      <c r="AQ492" s="97"/>
      <c r="AR492" s="97"/>
      <c r="AS492" s="97"/>
      <c r="AT492" s="97"/>
      <c r="AU492" s="97"/>
      <c r="AV492" s="97"/>
      <c r="AW492" s="97"/>
      <c r="AX492" s="97"/>
      <c r="AY492" s="97"/>
      <c r="AZ492" s="97"/>
      <c r="BA492" s="97"/>
      <c r="BB492" s="97"/>
      <c r="BC492" s="97"/>
      <c r="BD492" s="97"/>
      <c r="BE492" s="97"/>
      <c r="BF492" s="97"/>
      <c r="BG492" s="97"/>
      <c r="BH492" s="97"/>
      <c r="BI492" s="97"/>
      <c r="BJ492" s="97"/>
      <c r="BK492" s="97"/>
      <c r="BL492" s="97"/>
      <c r="BM492" s="97"/>
      <c r="BN492" s="97"/>
      <c r="BO492" s="97"/>
      <c r="BP492" s="97"/>
      <c r="BQ492" s="97"/>
      <c r="BR492" s="97"/>
      <c r="BS492" s="97"/>
      <c r="BT492" s="97"/>
      <c r="BU492" s="97"/>
      <c r="BV492" s="97"/>
      <c r="BW492" s="97"/>
      <c r="BX492" s="97"/>
      <c r="BY492" s="97"/>
      <c r="BZ492" s="97"/>
      <c r="CA492" s="97"/>
      <c r="CB492" s="97"/>
      <c r="CC492" s="97"/>
      <c r="CD492" s="97"/>
      <c r="CE492" s="97"/>
      <c r="CF492" s="97"/>
      <c r="CG492" s="97"/>
      <c r="CH492" s="97"/>
      <c r="CI492" s="97"/>
      <c r="CJ492" s="97"/>
      <c r="CK492" s="97"/>
      <c r="CL492" s="97"/>
      <c r="CM492" s="97"/>
      <c r="CN492" s="97"/>
      <c r="CO492" s="97"/>
      <c r="CP492" s="97"/>
      <c r="CQ492" s="97"/>
    </row>
    <row r="493" spans="1:95" ht="15" customHeight="1" outlineLevel="1">
      <c r="A493" s="97"/>
      <c r="B493" s="104" t="s">
        <v>87</v>
      </c>
      <c r="C493" s="138"/>
      <c r="D493" s="131">
        <f t="shared" ref="D493:Q493" si="169">Opening_without_63_66_with_xx*Without_63_66_with_xx_stroke_value</f>
        <v>0</v>
      </c>
      <c r="E493" s="131">
        <f t="shared" si="169"/>
        <v>0</v>
      </c>
      <c r="F493" s="131">
        <f t="shared" si="169"/>
        <v>0</v>
      </c>
      <c r="G493" s="131">
        <f t="shared" si="169"/>
        <v>0</v>
      </c>
      <c r="H493" s="131">
        <f t="shared" si="169"/>
        <v>0</v>
      </c>
      <c r="I493" s="131">
        <f t="shared" si="169"/>
        <v>0</v>
      </c>
      <c r="J493" s="131">
        <f t="shared" si="169"/>
        <v>0</v>
      </c>
      <c r="K493" s="131">
        <f t="shared" si="169"/>
        <v>0</v>
      </c>
      <c r="L493" s="131">
        <f t="shared" si="169"/>
        <v>0</v>
      </c>
      <c r="M493" s="131">
        <f t="shared" si="169"/>
        <v>0</v>
      </c>
      <c r="N493" s="131">
        <f t="shared" si="169"/>
        <v>0</v>
      </c>
      <c r="O493" s="131">
        <f t="shared" si="169"/>
        <v>0</v>
      </c>
      <c r="P493" s="131">
        <f t="shared" si="169"/>
        <v>0</v>
      </c>
      <c r="Q493" s="131">
        <f t="shared" si="169"/>
        <v>0</v>
      </c>
      <c r="R493" s="22" t="s">
        <v>600</v>
      </c>
      <c r="S493" s="97"/>
      <c r="T493" s="97"/>
      <c r="U493" s="97"/>
      <c r="V493" s="97"/>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7"/>
      <c r="AW493" s="97"/>
      <c r="AX493" s="97"/>
      <c r="AY493" s="97"/>
      <c r="AZ493" s="97"/>
      <c r="BA493" s="97"/>
      <c r="BB493" s="97"/>
      <c r="BC493" s="97"/>
      <c r="BD493" s="97"/>
      <c r="BE493" s="97"/>
      <c r="BF493" s="97"/>
      <c r="BG493" s="97"/>
      <c r="BH493" s="97"/>
      <c r="BI493" s="97"/>
      <c r="BJ493" s="97"/>
      <c r="BK493" s="97"/>
      <c r="BL493" s="97"/>
      <c r="BM493" s="97"/>
      <c r="BN493" s="97"/>
      <c r="BO493" s="97"/>
      <c r="BP493" s="97"/>
      <c r="BQ493" s="97"/>
      <c r="BR493" s="97"/>
      <c r="BS493" s="97"/>
      <c r="BT493" s="97"/>
      <c r="BU493" s="97"/>
      <c r="BV493" s="97"/>
      <c r="BW493" s="97"/>
      <c r="BX493" s="97"/>
      <c r="BY493" s="97"/>
      <c r="BZ493" s="97"/>
      <c r="CA493" s="97"/>
      <c r="CB493" s="97"/>
      <c r="CC493" s="97"/>
      <c r="CD493" s="97"/>
      <c r="CE493" s="97"/>
      <c r="CF493" s="97"/>
      <c r="CG493" s="97"/>
      <c r="CH493" s="97"/>
      <c r="CI493" s="97"/>
      <c r="CJ493" s="97"/>
      <c r="CK493" s="97"/>
      <c r="CL493" s="97"/>
      <c r="CM493" s="97"/>
      <c r="CN493" s="97"/>
      <c r="CO493" s="97"/>
      <c r="CP493" s="97"/>
      <c r="CQ493" s="97"/>
    </row>
    <row r="494" spans="1:95" ht="15" customHeight="1" outlineLevel="1">
      <c r="A494" s="97"/>
      <c r="B494" s="104" t="s">
        <v>88</v>
      </c>
      <c r="C494" s="138"/>
      <c r="D494" s="131">
        <f t="shared" ref="D494:Q494" si="170">Opening_without_66_69_with_xx*Without_66_69_with_xx_stroke_value</f>
        <v>0</v>
      </c>
      <c r="E494" s="131">
        <f t="shared" si="170"/>
        <v>0</v>
      </c>
      <c r="F494" s="131">
        <f t="shared" si="170"/>
        <v>0</v>
      </c>
      <c r="G494" s="131">
        <f t="shared" si="170"/>
        <v>0</v>
      </c>
      <c r="H494" s="131">
        <f t="shared" si="170"/>
        <v>0</v>
      </c>
      <c r="I494" s="131">
        <f t="shared" si="170"/>
        <v>0</v>
      </c>
      <c r="J494" s="131">
        <f t="shared" si="170"/>
        <v>0</v>
      </c>
      <c r="K494" s="131">
        <f t="shared" si="170"/>
        <v>0</v>
      </c>
      <c r="L494" s="131">
        <f t="shared" si="170"/>
        <v>0</v>
      </c>
      <c r="M494" s="131">
        <f t="shared" si="170"/>
        <v>0</v>
      </c>
      <c r="N494" s="131">
        <f t="shared" si="170"/>
        <v>0</v>
      </c>
      <c r="O494" s="131">
        <f t="shared" si="170"/>
        <v>0</v>
      </c>
      <c r="P494" s="131">
        <f t="shared" si="170"/>
        <v>0</v>
      </c>
      <c r="Q494" s="131">
        <f t="shared" si="170"/>
        <v>0</v>
      </c>
      <c r="R494" s="22" t="s">
        <v>601</v>
      </c>
      <c r="S494" s="97"/>
      <c r="T494" s="97"/>
      <c r="U494" s="97"/>
      <c r="V494" s="97"/>
      <c r="W494" s="97"/>
      <c r="X494" s="97"/>
      <c r="Y494" s="97"/>
      <c r="Z494" s="97"/>
      <c r="AA494" s="97"/>
      <c r="AB494" s="97"/>
      <c r="AC494" s="97"/>
      <c r="AD494" s="97"/>
      <c r="AE494" s="97"/>
      <c r="AF494" s="97"/>
      <c r="AG494" s="97"/>
      <c r="AH494" s="97"/>
      <c r="AI494" s="97"/>
      <c r="AJ494" s="97"/>
      <c r="AK494" s="97"/>
      <c r="AL494" s="97"/>
      <c r="AM494" s="97"/>
      <c r="AN494" s="97"/>
      <c r="AO494" s="97"/>
      <c r="AP494" s="97"/>
      <c r="AQ494" s="97"/>
      <c r="AR494" s="97"/>
      <c r="AS494" s="97"/>
      <c r="AT494" s="97"/>
      <c r="AU494" s="97"/>
      <c r="AV494" s="97"/>
      <c r="AW494" s="97"/>
      <c r="AX494" s="97"/>
      <c r="AY494" s="97"/>
      <c r="AZ494" s="97"/>
      <c r="BA494" s="97"/>
      <c r="BB494" s="97"/>
      <c r="BC494" s="97"/>
      <c r="BD494" s="97"/>
      <c r="BE494" s="97"/>
      <c r="BF494" s="97"/>
      <c r="BG494" s="97"/>
      <c r="BH494" s="97"/>
      <c r="BI494" s="97"/>
      <c r="BJ494" s="97"/>
      <c r="BK494" s="97"/>
      <c r="BL494" s="97"/>
      <c r="BM494" s="97"/>
      <c r="BN494" s="97"/>
      <c r="BO494" s="97"/>
      <c r="BP494" s="97"/>
      <c r="BQ494" s="97"/>
      <c r="BR494" s="97"/>
      <c r="BS494" s="97"/>
      <c r="BT494" s="97"/>
      <c r="BU494" s="97"/>
      <c r="BV494" s="97"/>
      <c r="BW494" s="97"/>
      <c r="BX494" s="97"/>
      <c r="BY494" s="97"/>
      <c r="BZ494" s="97"/>
      <c r="CA494" s="97"/>
      <c r="CB494" s="97"/>
      <c r="CC494" s="97"/>
      <c r="CD494" s="97"/>
      <c r="CE494" s="97"/>
      <c r="CF494" s="97"/>
      <c r="CG494" s="97"/>
      <c r="CH494" s="97"/>
      <c r="CI494" s="97"/>
      <c r="CJ494" s="97"/>
      <c r="CK494" s="97"/>
      <c r="CL494" s="97"/>
      <c r="CM494" s="97"/>
      <c r="CN494" s="97"/>
      <c r="CO494" s="97"/>
      <c r="CP494" s="97"/>
      <c r="CQ494" s="97"/>
    </row>
    <row r="495" spans="1:95" ht="15" customHeight="1" outlineLevel="1">
      <c r="A495" s="97"/>
      <c r="B495" s="104" t="s">
        <v>89</v>
      </c>
      <c r="C495" s="138"/>
      <c r="D495" s="131">
        <f t="shared" ref="D495:Q495" si="171">Opening_without_69_72_with_xx*Without_69_72_with_xx_stroke_value</f>
        <v>0</v>
      </c>
      <c r="E495" s="131">
        <f t="shared" si="171"/>
        <v>0</v>
      </c>
      <c r="F495" s="131">
        <f t="shared" si="171"/>
        <v>0</v>
      </c>
      <c r="G495" s="131">
        <f t="shared" si="171"/>
        <v>0</v>
      </c>
      <c r="H495" s="131">
        <f t="shared" si="171"/>
        <v>0</v>
      </c>
      <c r="I495" s="131">
        <f t="shared" si="171"/>
        <v>0</v>
      </c>
      <c r="J495" s="131">
        <f t="shared" si="171"/>
        <v>0</v>
      </c>
      <c r="K495" s="131">
        <f t="shared" si="171"/>
        <v>0</v>
      </c>
      <c r="L495" s="131">
        <f t="shared" si="171"/>
        <v>0</v>
      </c>
      <c r="M495" s="131">
        <f t="shared" si="171"/>
        <v>0</v>
      </c>
      <c r="N495" s="131">
        <f t="shared" si="171"/>
        <v>0</v>
      </c>
      <c r="O495" s="131">
        <f t="shared" si="171"/>
        <v>0</v>
      </c>
      <c r="P495" s="131">
        <f t="shared" si="171"/>
        <v>0</v>
      </c>
      <c r="Q495" s="131">
        <f t="shared" si="171"/>
        <v>0</v>
      </c>
      <c r="R495" s="22" t="s">
        <v>602</v>
      </c>
      <c r="S495" s="97"/>
      <c r="T495" s="97"/>
      <c r="U495" s="97"/>
      <c r="V495" s="97"/>
      <c r="W495" s="97"/>
      <c r="X495" s="97"/>
      <c r="Y495" s="97"/>
      <c r="Z495" s="97"/>
      <c r="AA495" s="97"/>
      <c r="AB495" s="97"/>
      <c r="AC495" s="97"/>
      <c r="AD495" s="97"/>
      <c r="AE495" s="97"/>
      <c r="AF495" s="97"/>
      <c r="AG495" s="97"/>
      <c r="AH495" s="97"/>
      <c r="AI495" s="97"/>
      <c r="AJ495" s="97"/>
      <c r="AK495" s="97"/>
      <c r="AL495" s="97"/>
      <c r="AM495" s="97"/>
      <c r="AN495" s="97"/>
      <c r="AO495" s="97"/>
      <c r="AP495" s="97"/>
      <c r="AQ495" s="97"/>
      <c r="AR495" s="97"/>
      <c r="AS495" s="97"/>
      <c r="AT495" s="97"/>
      <c r="AU495" s="97"/>
      <c r="AV495" s="97"/>
      <c r="AW495" s="97"/>
      <c r="AX495" s="97"/>
      <c r="AY495" s="97"/>
      <c r="AZ495" s="97"/>
      <c r="BA495" s="97"/>
      <c r="BB495" s="97"/>
      <c r="BC495" s="97"/>
      <c r="BD495" s="97"/>
      <c r="BE495" s="97"/>
      <c r="BF495" s="97"/>
      <c r="BG495" s="97"/>
      <c r="BH495" s="97"/>
      <c r="BI495" s="97"/>
      <c r="BJ495" s="97"/>
      <c r="BK495" s="97"/>
      <c r="BL495" s="97"/>
      <c r="BM495" s="97"/>
      <c r="BN495" s="97"/>
      <c r="BO495" s="97"/>
      <c r="BP495" s="97"/>
      <c r="BQ495" s="97"/>
      <c r="BR495" s="97"/>
      <c r="BS495" s="97"/>
      <c r="BT495" s="97"/>
      <c r="BU495" s="97"/>
      <c r="BV495" s="97"/>
      <c r="BW495" s="97"/>
      <c r="BX495" s="97"/>
      <c r="BY495" s="97"/>
      <c r="BZ495" s="97"/>
      <c r="CA495" s="97"/>
      <c r="CB495" s="97"/>
      <c r="CC495" s="97"/>
      <c r="CD495" s="97"/>
      <c r="CE495" s="97"/>
      <c r="CF495" s="97"/>
      <c r="CG495" s="97"/>
      <c r="CH495" s="97"/>
      <c r="CI495" s="97"/>
      <c r="CJ495" s="97"/>
      <c r="CK495" s="97"/>
      <c r="CL495" s="97"/>
      <c r="CM495" s="97"/>
      <c r="CN495" s="97"/>
      <c r="CO495" s="97"/>
      <c r="CP495" s="97"/>
      <c r="CQ495" s="97"/>
    </row>
    <row r="496" spans="1:95" ht="15" customHeight="1" outlineLevel="1">
      <c r="A496" s="97"/>
      <c r="B496" s="104" t="s">
        <v>90</v>
      </c>
      <c r="C496" s="138"/>
      <c r="D496" s="131">
        <f t="shared" ref="D496:Q496" si="172">Opening_without_72_75_with_xx*Without_72_75_with_xx_stroke_value</f>
        <v>0</v>
      </c>
      <c r="E496" s="131">
        <f t="shared" si="172"/>
        <v>0</v>
      </c>
      <c r="F496" s="131">
        <f t="shared" si="172"/>
        <v>0</v>
      </c>
      <c r="G496" s="131">
        <f t="shared" si="172"/>
        <v>0</v>
      </c>
      <c r="H496" s="131">
        <f t="shared" si="172"/>
        <v>0</v>
      </c>
      <c r="I496" s="131">
        <f t="shared" si="172"/>
        <v>0</v>
      </c>
      <c r="J496" s="131">
        <f t="shared" si="172"/>
        <v>0</v>
      </c>
      <c r="K496" s="131">
        <f t="shared" si="172"/>
        <v>0</v>
      </c>
      <c r="L496" s="131">
        <f t="shared" si="172"/>
        <v>0</v>
      </c>
      <c r="M496" s="131">
        <f t="shared" si="172"/>
        <v>0</v>
      </c>
      <c r="N496" s="131">
        <f t="shared" si="172"/>
        <v>0</v>
      </c>
      <c r="O496" s="131">
        <f t="shared" si="172"/>
        <v>0</v>
      </c>
      <c r="P496" s="131">
        <f t="shared" si="172"/>
        <v>0</v>
      </c>
      <c r="Q496" s="131">
        <f t="shared" si="172"/>
        <v>0</v>
      </c>
      <c r="R496" s="22" t="s">
        <v>603</v>
      </c>
      <c r="S496" s="97"/>
      <c r="T496" s="97"/>
      <c r="U496" s="97"/>
      <c r="V496" s="97"/>
      <c r="W496" s="97"/>
      <c r="X496" s="97"/>
      <c r="Y496" s="97"/>
      <c r="Z496" s="97"/>
      <c r="AA496" s="97"/>
      <c r="AB496" s="97"/>
      <c r="AC496" s="97"/>
      <c r="AD496" s="97"/>
      <c r="AE496" s="97"/>
      <c r="AF496" s="97"/>
      <c r="AG496" s="97"/>
      <c r="AH496" s="97"/>
      <c r="AI496" s="97"/>
      <c r="AJ496" s="97"/>
      <c r="AK496" s="97"/>
      <c r="AL496" s="97"/>
      <c r="AM496" s="97"/>
      <c r="AN496" s="97"/>
      <c r="AO496" s="97"/>
      <c r="AP496" s="97"/>
      <c r="AQ496" s="97"/>
      <c r="AR496" s="97"/>
      <c r="AS496" s="97"/>
      <c r="AT496" s="97"/>
      <c r="AU496" s="97"/>
      <c r="AV496" s="97"/>
      <c r="AW496" s="97"/>
      <c r="AX496" s="97"/>
      <c r="AY496" s="97"/>
      <c r="AZ496" s="97"/>
      <c r="BA496" s="97"/>
      <c r="BB496" s="97"/>
      <c r="BC496" s="97"/>
      <c r="BD496" s="97"/>
      <c r="BE496" s="97"/>
      <c r="BF496" s="97"/>
      <c r="BG496" s="97"/>
      <c r="BH496" s="97"/>
      <c r="BI496" s="97"/>
      <c r="BJ496" s="97"/>
      <c r="BK496" s="97"/>
      <c r="BL496" s="97"/>
      <c r="BM496" s="97"/>
      <c r="BN496" s="97"/>
      <c r="BO496" s="97"/>
      <c r="BP496" s="97"/>
      <c r="BQ496" s="97"/>
      <c r="BR496" s="97"/>
      <c r="BS496" s="97"/>
      <c r="BT496" s="97"/>
      <c r="BU496" s="97"/>
      <c r="BV496" s="97"/>
      <c r="BW496" s="97"/>
      <c r="BX496" s="97"/>
      <c r="BY496" s="97"/>
      <c r="BZ496" s="97"/>
      <c r="CA496" s="97"/>
      <c r="CB496" s="97"/>
      <c r="CC496" s="97"/>
      <c r="CD496" s="97"/>
      <c r="CE496" s="97"/>
      <c r="CF496" s="97"/>
      <c r="CG496" s="97"/>
      <c r="CH496" s="97"/>
      <c r="CI496" s="97"/>
      <c r="CJ496" s="97"/>
      <c r="CK496" s="97"/>
      <c r="CL496" s="97"/>
      <c r="CM496" s="97"/>
      <c r="CN496" s="97"/>
      <c r="CO496" s="97"/>
      <c r="CP496" s="97"/>
      <c r="CQ496" s="97"/>
    </row>
    <row r="497" spans="1:95" ht="15" customHeight="1" outlineLevel="1">
      <c r="A497" s="97"/>
      <c r="B497" s="104" t="s">
        <v>91</v>
      </c>
      <c r="C497" s="138"/>
      <c r="D497" s="131">
        <f t="shared" ref="D497:Q497" si="173">Opening_without_75_78_with_xx*Without_75_78_with_xx_stroke_value</f>
        <v>0</v>
      </c>
      <c r="E497" s="131">
        <f t="shared" si="173"/>
        <v>0</v>
      </c>
      <c r="F497" s="131">
        <f t="shared" si="173"/>
        <v>0</v>
      </c>
      <c r="G497" s="131">
        <f t="shared" si="173"/>
        <v>0</v>
      </c>
      <c r="H497" s="131">
        <f t="shared" si="173"/>
        <v>0</v>
      </c>
      <c r="I497" s="131">
        <f t="shared" si="173"/>
        <v>0</v>
      </c>
      <c r="J497" s="131">
        <f t="shared" si="173"/>
        <v>0</v>
      </c>
      <c r="K497" s="131">
        <f t="shared" si="173"/>
        <v>0</v>
      </c>
      <c r="L497" s="131">
        <f t="shared" si="173"/>
        <v>0</v>
      </c>
      <c r="M497" s="131">
        <f t="shared" si="173"/>
        <v>0</v>
      </c>
      <c r="N497" s="131">
        <f t="shared" si="173"/>
        <v>0</v>
      </c>
      <c r="O497" s="131">
        <f t="shared" si="173"/>
        <v>0</v>
      </c>
      <c r="P497" s="131">
        <f t="shared" si="173"/>
        <v>0</v>
      </c>
      <c r="Q497" s="131">
        <f t="shared" si="173"/>
        <v>0</v>
      </c>
      <c r="R497" s="22" t="s">
        <v>604</v>
      </c>
      <c r="S497" s="97"/>
      <c r="T497" s="97"/>
      <c r="U497" s="97"/>
      <c r="V497" s="97"/>
      <c r="W497" s="97"/>
      <c r="X497" s="97"/>
      <c r="Y497" s="97"/>
      <c r="Z497" s="97"/>
      <c r="AA497" s="97"/>
      <c r="AB497" s="97"/>
      <c r="AC497" s="97"/>
      <c r="AD497" s="97"/>
      <c r="AE497" s="97"/>
      <c r="AF497" s="97"/>
      <c r="AG497" s="97"/>
      <c r="AH497" s="97"/>
      <c r="AI497" s="97"/>
      <c r="AJ497" s="97"/>
      <c r="AK497" s="97"/>
      <c r="AL497" s="97"/>
      <c r="AM497" s="97"/>
      <c r="AN497" s="97"/>
      <c r="AO497" s="97"/>
      <c r="AP497" s="97"/>
      <c r="AQ497" s="97"/>
      <c r="AR497" s="97"/>
      <c r="AS497" s="97"/>
      <c r="AT497" s="97"/>
      <c r="AU497" s="97"/>
      <c r="AV497" s="97"/>
      <c r="AW497" s="97"/>
      <c r="AX497" s="97"/>
      <c r="AY497" s="97"/>
      <c r="AZ497" s="97"/>
      <c r="BA497" s="97"/>
      <c r="BB497" s="97"/>
      <c r="BC497" s="97"/>
      <c r="BD497" s="97"/>
      <c r="BE497" s="97"/>
      <c r="BF497" s="97"/>
      <c r="BG497" s="97"/>
      <c r="BH497" s="97"/>
      <c r="BI497" s="97"/>
      <c r="BJ497" s="97"/>
      <c r="BK497" s="97"/>
      <c r="BL497" s="97"/>
      <c r="BM497" s="97"/>
      <c r="BN497" s="97"/>
      <c r="BO497" s="97"/>
      <c r="BP497" s="97"/>
      <c r="BQ497" s="97"/>
      <c r="BR497" s="97"/>
      <c r="BS497" s="97"/>
      <c r="BT497" s="97"/>
      <c r="BU497" s="97"/>
      <c r="BV497" s="97"/>
      <c r="BW497" s="97"/>
      <c r="BX497" s="97"/>
      <c r="BY497" s="97"/>
      <c r="BZ497" s="97"/>
      <c r="CA497" s="97"/>
      <c r="CB497" s="97"/>
      <c r="CC497" s="97"/>
      <c r="CD497" s="97"/>
      <c r="CE497" s="97"/>
      <c r="CF497" s="97"/>
      <c r="CG497" s="97"/>
      <c r="CH497" s="97"/>
      <c r="CI497" s="97"/>
      <c r="CJ497" s="97"/>
      <c r="CK497" s="97"/>
      <c r="CL497" s="97"/>
      <c r="CM497" s="97"/>
      <c r="CN497" s="97"/>
      <c r="CO497" s="97"/>
      <c r="CP497" s="97"/>
      <c r="CQ497" s="97"/>
    </row>
    <row r="498" spans="1:95" ht="15" customHeight="1" outlineLevel="1">
      <c r="A498" s="97"/>
      <c r="B498" s="104" t="s">
        <v>92</v>
      </c>
      <c r="C498" s="138"/>
      <c r="D498" s="131">
        <f t="shared" ref="D498:Q498" si="174">Opening_without_78_81_with_xx*Without_78_81_with_xx_stroke_value</f>
        <v>0</v>
      </c>
      <c r="E498" s="131">
        <f t="shared" si="174"/>
        <v>0</v>
      </c>
      <c r="F498" s="131">
        <f t="shared" si="174"/>
        <v>0</v>
      </c>
      <c r="G498" s="131">
        <f t="shared" si="174"/>
        <v>0</v>
      </c>
      <c r="H498" s="131">
        <f t="shared" si="174"/>
        <v>0</v>
      </c>
      <c r="I498" s="131">
        <f t="shared" si="174"/>
        <v>0</v>
      </c>
      <c r="J498" s="131">
        <f t="shared" si="174"/>
        <v>0</v>
      </c>
      <c r="K498" s="131">
        <f t="shared" si="174"/>
        <v>0</v>
      </c>
      <c r="L498" s="131">
        <f t="shared" si="174"/>
        <v>0</v>
      </c>
      <c r="M498" s="131">
        <f t="shared" si="174"/>
        <v>0</v>
      </c>
      <c r="N498" s="131">
        <f t="shared" si="174"/>
        <v>0</v>
      </c>
      <c r="O498" s="131">
        <f t="shared" si="174"/>
        <v>0</v>
      </c>
      <c r="P498" s="131">
        <f t="shared" si="174"/>
        <v>0</v>
      </c>
      <c r="Q498" s="131">
        <f t="shared" si="174"/>
        <v>0</v>
      </c>
      <c r="R498" s="22" t="s">
        <v>605</v>
      </c>
      <c r="S498" s="97"/>
      <c r="T498" s="97"/>
      <c r="U498" s="97"/>
      <c r="V498" s="97"/>
      <c r="W498" s="97"/>
      <c r="X498" s="97"/>
      <c r="Y498" s="97"/>
      <c r="Z498" s="97"/>
      <c r="AA498" s="97"/>
      <c r="AB498" s="97"/>
      <c r="AC498" s="97"/>
      <c r="AD498" s="97"/>
      <c r="AE498" s="97"/>
      <c r="AF498" s="97"/>
      <c r="AG498" s="97"/>
      <c r="AH498" s="97"/>
      <c r="AI498" s="97"/>
      <c r="AJ498" s="97"/>
      <c r="AK498" s="97"/>
      <c r="AL498" s="97"/>
      <c r="AM498" s="97"/>
      <c r="AN498" s="97"/>
      <c r="AO498" s="97"/>
      <c r="AP498" s="97"/>
      <c r="AQ498" s="97"/>
      <c r="AR498" s="97"/>
      <c r="AS498" s="97"/>
      <c r="AT498" s="97"/>
      <c r="AU498" s="97"/>
      <c r="AV498" s="97"/>
      <c r="AW498" s="97"/>
      <c r="AX498" s="97"/>
      <c r="AY498" s="97"/>
      <c r="AZ498" s="97"/>
      <c r="BA498" s="97"/>
      <c r="BB498" s="97"/>
      <c r="BC498" s="97"/>
      <c r="BD498" s="97"/>
      <c r="BE498" s="97"/>
      <c r="BF498" s="97"/>
      <c r="BG498" s="97"/>
      <c r="BH498" s="97"/>
      <c r="BI498" s="97"/>
      <c r="BJ498" s="97"/>
      <c r="BK498" s="97"/>
      <c r="BL498" s="97"/>
      <c r="BM498" s="97"/>
      <c r="BN498" s="97"/>
      <c r="BO498" s="97"/>
      <c r="BP498" s="97"/>
      <c r="BQ498" s="97"/>
      <c r="BR498" s="97"/>
      <c r="BS498" s="97"/>
      <c r="BT498" s="97"/>
      <c r="BU498" s="97"/>
      <c r="BV498" s="97"/>
      <c r="BW498" s="97"/>
      <c r="BX498" s="97"/>
      <c r="BY498" s="97"/>
      <c r="BZ498" s="97"/>
      <c r="CA498" s="97"/>
      <c r="CB498" s="97"/>
      <c r="CC498" s="97"/>
      <c r="CD498" s="97"/>
      <c r="CE498" s="97"/>
      <c r="CF498" s="97"/>
      <c r="CG498" s="97"/>
      <c r="CH498" s="97"/>
      <c r="CI498" s="97"/>
      <c r="CJ498" s="97"/>
      <c r="CK498" s="97"/>
      <c r="CL498" s="97"/>
      <c r="CM498" s="97"/>
      <c r="CN498" s="97"/>
      <c r="CO498" s="97"/>
      <c r="CP498" s="97"/>
      <c r="CQ498" s="97"/>
    </row>
    <row r="499" spans="1:95" ht="15" customHeight="1" outlineLevel="1">
      <c r="A499" s="97"/>
      <c r="B499" s="104" t="s">
        <v>93</v>
      </c>
      <c r="C499" s="139"/>
      <c r="D499" s="131">
        <f t="shared" ref="D499:Q499" si="175">Opening_without_81_with_xx*Without_81_with_xx_stroke_value</f>
        <v>0</v>
      </c>
      <c r="E499" s="131">
        <f t="shared" si="175"/>
        <v>0</v>
      </c>
      <c r="F499" s="131">
        <f t="shared" si="175"/>
        <v>0</v>
      </c>
      <c r="G499" s="131">
        <f t="shared" si="175"/>
        <v>0</v>
      </c>
      <c r="H499" s="131">
        <f t="shared" si="175"/>
        <v>0</v>
      </c>
      <c r="I499" s="131">
        <f t="shared" si="175"/>
        <v>0</v>
      </c>
      <c r="J499" s="131">
        <f t="shared" si="175"/>
        <v>0</v>
      </c>
      <c r="K499" s="131">
        <f t="shared" si="175"/>
        <v>0</v>
      </c>
      <c r="L499" s="131">
        <f t="shared" si="175"/>
        <v>0</v>
      </c>
      <c r="M499" s="131">
        <f t="shared" si="175"/>
        <v>0</v>
      </c>
      <c r="N499" s="131">
        <f t="shared" si="175"/>
        <v>0</v>
      </c>
      <c r="O499" s="131">
        <f t="shared" si="175"/>
        <v>0</v>
      </c>
      <c r="P499" s="131">
        <f t="shared" si="175"/>
        <v>0</v>
      </c>
      <c r="Q499" s="131">
        <f t="shared" si="175"/>
        <v>0</v>
      </c>
      <c r="R499" s="22" t="s">
        <v>606</v>
      </c>
      <c r="S499" s="97"/>
      <c r="T499" s="97"/>
      <c r="U499" s="97"/>
      <c r="V499" s="97"/>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c r="AU499" s="97"/>
      <c r="AV499" s="97"/>
      <c r="AW499" s="97"/>
      <c r="AX499" s="97"/>
      <c r="AY499" s="97"/>
      <c r="AZ499" s="97"/>
      <c r="BA499" s="97"/>
      <c r="BB499" s="97"/>
      <c r="BC499" s="97"/>
      <c r="BD499" s="97"/>
      <c r="BE499" s="97"/>
      <c r="BF499" s="97"/>
      <c r="BG499" s="97"/>
      <c r="BH499" s="97"/>
      <c r="BI499" s="97"/>
      <c r="BJ499" s="97"/>
      <c r="BK499" s="97"/>
      <c r="BL499" s="97"/>
      <c r="BM499" s="97"/>
      <c r="BN499" s="97"/>
      <c r="BO499" s="97"/>
      <c r="BP499" s="97"/>
      <c r="BQ499" s="97"/>
      <c r="BR499" s="97"/>
      <c r="BS499" s="97"/>
      <c r="BT499" s="97"/>
      <c r="BU499" s="97"/>
      <c r="BV499" s="97"/>
      <c r="BW499" s="97"/>
      <c r="BX499" s="97"/>
      <c r="BY499" s="97"/>
      <c r="BZ499" s="97"/>
      <c r="CA499" s="97"/>
      <c r="CB499" s="97"/>
      <c r="CC499" s="97"/>
      <c r="CD499" s="97"/>
      <c r="CE499" s="97"/>
      <c r="CF499" s="97"/>
      <c r="CG499" s="97"/>
      <c r="CH499" s="97"/>
      <c r="CI499" s="97"/>
      <c r="CJ499" s="97"/>
      <c r="CK499" s="97"/>
      <c r="CL499" s="97"/>
      <c r="CM499" s="97"/>
      <c r="CN499" s="97"/>
      <c r="CO499" s="97"/>
      <c r="CP499" s="97"/>
      <c r="CQ499" s="97"/>
    </row>
    <row r="500" spans="1:95" ht="15" customHeight="1" outlineLevel="1">
      <c r="A500" s="97"/>
      <c r="B500" s="134"/>
      <c r="C500" s="134"/>
      <c r="D500" s="134"/>
      <c r="E500" s="134"/>
      <c r="F500" s="134"/>
      <c r="G500" s="134"/>
      <c r="H500" s="134"/>
      <c r="I500" s="134"/>
      <c r="J500" s="134"/>
      <c r="K500" s="134"/>
      <c r="L500" s="134"/>
      <c r="M500" s="134"/>
      <c r="N500" s="134"/>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c r="AU500" s="97"/>
      <c r="AV500" s="97"/>
      <c r="AW500" s="97"/>
      <c r="AX500" s="97"/>
      <c r="AY500" s="97"/>
      <c r="AZ500" s="97"/>
      <c r="BA500" s="97"/>
      <c r="BB500" s="97"/>
      <c r="BC500" s="97"/>
      <c r="BD500" s="97"/>
      <c r="BE500" s="97"/>
      <c r="BF500" s="97"/>
      <c r="BG500" s="97"/>
      <c r="BH500" s="97"/>
      <c r="BI500" s="97"/>
      <c r="BJ500" s="97"/>
      <c r="BK500" s="97"/>
      <c r="BL500" s="97"/>
      <c r="BM500" s="97"/>
      <c r="BN500" s="97"/>
      <c r="BO500" s="97"/>
      <c r="BP500" s="97"/>
      <c r="BQ500" s="97"/>
      <c r="BR500" s="97"/>
      <c r="BS500" s="97"/>
      <c r="BT500" s="97"/>
      <c r="BU500" s="97"/>
      <c r="BV500" s="97"/>
      <c r="BW500" s="97"/>
      <c r="BX500" s="97"/>
      <c r="BY500" s="97"/>
      <c r="BZ500" s="97"/>
      <c r="CA500" s="97"/>
      <c r="CB500" s="97"/>
      <c r="CC500" s="97"/>
      <c r="CD500" s="97"/>
      <c r="CE500" s="97"/>
      <c r="CF500" s="97"/>
      <c r="CG500" s="97"/>
      <c r="CH500" s="97"/>
      <c r="CI500" s="97"/>
      <c r="CJ500" s="97"/>
      <c r="CK500" s="97"/>
      <c r="CL500" s="97"/>
      <c r="CM500" s="97"/>
      <c r="CN500" s="97"/>
      <c r="CO500" s="97"/>
      <c r="CP500" s="97"/>
      <c r="CQ500" s="97"/>
    </row>
    <row r="501" spans="1:95" ht="15" customHeight="1" outlineLevel="1">
      <c r="A501" s="97"/>
      <c r="B501" s="142" t="s">
        <v>607</v>
      </c>
      <c r="C501" s="141">
        <f>SUM(Opening_without_45_with_xx_stroke_cost,Opening_without_45_48_with_xx_stroke_cost,Opening_without_48_51_with_xx_stroke_cost,Opening_without_51_54_with_xx_stroke_cost,Opening_without_54_57_with_xx_stroke_cost,Opening_without_57_60_with_xx_stroke_cost,Opening_without_60_63_with_xx_stroke_cost,Opening_without_63_66_with_xx_stroke_cost,Opening_without_66_69_with_xx_stroke_cost,Opening_without_69_72_with_xx_stroke_cost,Opening_without_72_75_with_xx_stroke_cost,Opening_without_75_78_with_xx_stroke_cost,Opening_without_78_81_with_xx_stroke_cost,Opening_without_81_with_xx_stroke_cost)</f>
        <v>0</v>
      </c>
      <c r="D501" s="24" t="s">
        <v>608</v>
      </c>
      <c r="E501" s="134"/>
      <c r="F501" s="134"/>
      <c r="G501" s="134"/>
      <c r="H501" s="134"/>
      <c r="I501" s="134"/>
      <c r="J501" s="134"/>
      <c r="K501" s="134"/>
      <c r="L501" s="134"/>
      <c r="M501" s="134"/>
      <c r="N501" s="134"/>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7"/>
      <c r="AL501" s="97"/>
      <c r="AM501" s="97"/>
      <c r="AN501" s="97"/>
      <c r="AO501" s="97"/>
      <c r="AP501" s="97"/>
      <c r="AQ501" s="97"/>
      <c r="AR501" s="97"/>
      <c r="AS501" s="97"/>
      <c r="AT501" s="97"/>
      <c r="AU501" s="97"/>
      <c r="AV501" s="97"/>
      <c r="AW501" s="97"/>
      <c r="AX501" s="97"/>
      <c r="AY501" s="97"/>
      <c r="AZ501" s="97"/>
      <c r="BA501" s="97"/>
      <c r="BB501" s="97"/>
      <c r="BC501" s="97"/>
      <c r="BD501" s="97"/>
      <c r="BE501" s="97"/>
      <c r="BF501" s="97"/>
      <c r="BG501" s="97"/>
      <c r="BH501" s="97"/>
      <c r="BI501" s="97"/>
      <c r="BJ501" s="97"/>
      <c r="BK501" s="97"/>
      <c r="BL501" s="97"/>
      <c r="BM501" s="97"/>
      <c r="BN501" s="97"/>
      <c r="BO501" s="97"/>
      <c r="BP501" s="97"/>
      <c r="BQ501" s="97"/>
      <c r="BR501" s="97"/>
      <c r="BS501" s="97"/>
      <c r="BT501" s="97"/>
      <c r="BU501" s="97"/>
      <c r="BV501" s="97"/>
      <c r="BW501" s="97"/>
      <c r="BX501" s="97"/>
      <c r="BY501" s="97"/>
      <c r="BZ501" s="97"/>
      <c r="CA501" s="97"/>
      <c r="CB501" s="97"/>
      <c r="CC501" s="97"/>
      <c r="CD501" s="97"/>
      <c r="CE501" s="97"/>
      <c r="CF501" s="97"/>
      <c r="CG501" s="97"/>
      <c r="CH501" s="97"/>
      <c r="CI501" s="97"/>
      <c r="CJ501" s="97"/>
      <c r="CK501" s="97"/>
      <c r="CL501" s="97"/>
      <c r="CM501" s="97"/>
      <c r="CN501" s="97"/>
      <c r="CO501" s="97"/>
      <c r="CP501" s="97"/>
      <c r="CQ501" s="97"/>
    </row>
    <row r="502" spans="1:95" ht="15" customHeight="1" outlineLevel="1">
      <c r="A502" s="97"/>
      <c r="B502" s="134"/>
      <c r="C502" s="134"/>
      <c r="D502" s="134"/>
      <c r="E502" s="134"/>
      <c r="F502" s="134"/>
      <c r="G502" s="134"/>
      <c r="H502" s="134"/>
      <c r="I502" s="134"/>
      <c r="J502" s="134"/>
      <c r="K502" s="134"/>
      <c r="L502" s="134"/>
      <c r="M502" s="134"/>
      <c r="N502" s="134"/>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7"/>
      <c r="AL502" s="97"/>
      <c r="AM502" s="97"/>
      <c r="AN502" s="97"/>
      <c r="AO502" s="97"/>
      <c r="AP502" s="97"/>
      <c r="AQ502" s="97"/>
      <c r="AR502" s="97"/>
      <c r="AS502" s="97"/>
      <c r="AT502" s="97"/>
      <c r="AU502" s="97"/>
      <c r="AV502" s="97"/>
      <c r="AW502" s="97"/>
      <c r="AX502" s="97"/>
      <c r="AY502" s="97"/>
      <c r="AZ502" s="97"/>
      <c r="BA502" s="97"/>
      <c r="BB502" s="97"/>
      <c r="BC502" s="97"/>
      <c r="BD502" s="97"/>
      <c r="BE502" s="97"/>
      <c r="BF502" s="97"/>
      <c r="BG502" s="97"/>
      <c r="BH502" s="97"/>
      <c r="BI502" s="97"/>
      <c r="BJ502" s="97"/>
      <c r="BK502" s="97"/>
      <c r="BL502" s="97"/>
      <c r="BM502" s="97"/>
      <c r="BN502" s="97"/>
      <c r="BO502" s="97"/>
      <c r="BP502" s="97"/>
      <c r="BQ502" s="97"/>
      <c r="BR502" s="97"/>
      <c r="BS502" s="97"/>
      <c r="BT502" s="97"/>
      <c r="BU502" s="97"/>
      <c r="BV502" s="97"/>
      <c r="BW502" s="97"/>
      <c r="BX502" s="97"/>
      <c r="BY502" s="97"/>
      <c r="BZ502" s="97"/>
      <c r="CA502" s="97"/>
      <c r="CB502" s="97"/>
      <c r="CC502" s="97"/>
      <c r="CD502" s="97"/>
      <c r="CE502" s="97"/>
      <c r="CF502" s="97"/>
      <c r="CG502" s="97"/>
      <c r="CH502" s="97"/>
      <c r="CI502" s="97"/>
      <c r="CJ502" s="97"/>
      <c r="CK502" s="97"/>
      <c r="CL502" s="97"/>
      <c r="CM502" s="97"/>
      <c r="CN502" s="97"/>
      <c r="CO502" s="97"/>
      <c r="CP502" s="97"/>
      <c r="CQ502" s="97"/>
    </row>
    <row r="503" spans="1:95" s="5" customFormat="1" ht="15.6" outlineLevel="1">
      <c r="B503" s="5" t="s">
        <v>609</v>
      </c>
    </row>
    <row r="504" spans="1:95" ht="15" customHeight="1" outlineLevel="1">
      <c r="A504" s="97"/>
      <c r="B504" s="134"/>
      <c r="C504" s="134"/>
      <c r="D504" s="134"/>
      <c r="E504" s="134"/>
      <c r="F504" s="134"/>
      <c r="G504" s="134"/>
      <c r="H504" s="134"/>
      <c r="I504" s="134"/>
      <c r="J504" s="134"/>
      <c r="K504" s="134"/>
      <c r="L504" s="134"/>
      <c r="M504" s="134"/>
      <c r="N504" s="134"/>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c r="AL504" s="97"/>
      <c r="AM504" s="97"/>
      <c r="AN504" s="97"/>
      <c r="AO504" s="97"/>
      <c r="AP504" s="97"/>
      <c r="AQ504" s="97"/>
      <c r="AR504" s="97"/>
      <c r="AS504" s="97"/>
      <c r="AT504" s="97"/>
      <c r="AU504" s="97"/>
      <c r="AV504" s="97"/>
      <c r="AW504" s="97"/>
      <c r="AX504" s="97"/>
      <c r="AY504" s="97"/>
      <c r="AZ504" s="97"/>
      <c r="BA504" s="97"/>
      <c r="BB504" s="97"/>
      <c r="BC504" s="97"/>
      <c r="BD504" s="97"/>
      <c r="BE504" s="97"/>
      <c r="BF504" s="97"/>
      <c r="BG504" s="97"/>
      <c r="BH504" s="97"/>
      <c r="BI504" s="97"/>
      <c r="BJ504" s="97"/>
      <c r="BK504" s="97"/>
      <c r="BL504" s="97"/>
      <c r="BM504" s="97"/>
      <c r="BN504" s="97"/>
      <c r="BO504" s="97"/>
      <c r="BP504" s="97"/>
      <c r="BQ504" s="97"/>
      <c r="BR504" s="97"/>
      <c r="BS504" s="97"/>
      <c r="BT504" s="97"/>
      <c r="BU504" s="97"/>
      <c r="BV504" s="97"/>
      <c r="BW504" s="97"/>
      <c r="BX504" s="97"/>
      <c r="BY504" s="97"/>
      <c r="BZ504" s="97"/>
      <c r="CA504" s="97"/>
      <c r="CB504" s="97"/>
      <c r="CC504" s="97"/>
      <c r="CD504" s="97"/>
      <c r="CE504" s="97"/>
      <c r="CF504" s="97"/>
      <c r="CG504" s="97"/>
      <c r="CH504" s="97"/>
      <c r="CI504" s="97"/>
      <c r="CJ504" s="97"/>
      <c r="CK504" s="97"/>
      <c r="CL504" s="97"/>
      <c r="CM504" s="97"/>
      <c r="CN504" s="97"/>
      <c r="CO504" s="97"/>
      <c r="CP504" s="97"/>
      <c r="CQ504" s="97"/>
    </row>
    <row r="505" spans="1:95" ht="15" customHeight="1" outlineLevel="1">
      <c r="A505" s="97"/>
      <c r="B505" s="122"/>
      <c r="C505" s="60" t="s">
        <v>79</v>
      </c>
      <c r="D505" s="61" t="s">
        <v>80</v>
      </c>
      <c r="E505" s="104" t="s">
        <v>81</v>
      </c>
      <c r="F505" s="104" t="s">
        <v>82</v>
      </c>
      <c r="G505" s="104" t="s">
        <v>83</v>
      </c>
      <c r="H505" s="104" t="s">
        <v>84</v>
      </c>
      <c r="I505" s="104" t="s">
        <v>85</v>
      </c>
      <c r="J505" s="104" t="s">
        <v>86</v>
      </c>
      <c r="K505" s="104" t="s">
        <v>87</v>
      </c>
      <c r="L505" s="104" t="s">
        <v>88</v>
      </c>
      <c r="M505" s="104" t="s">
        <v>89</v>
      </c>
      <c r="N505" s="104" t="s">
        <v>90</v>
      </c>
      <c r="O505" s="104" t="s">
        <v>91</v>
      </c>
      <c r="P505" s="104" t="s">
        <v>92</v>
      </c>
      <c r="Q505" s="104" t="s">
        <v>93</v>
      </c>
      <c r="R505" s="97"/>
      <c r="S505" s="97"/>
      <c r="T505" s="97"/>
      <c r="U505" s="97"/>
      <c r="V505" s="97"/>
      <c r="W505" s="97"/>
      <c r="X505" s="97"/>
      <c r="Y505" s="97"/>
      <c r="Z505" s="97"/>
      <c r="AA505" s="97"/>
      <c r="AB505" s="97"/>
      <c r="AC505" s="97"/>
      <c r="AD505" s="97"/>
      <c r="AE505" s="97"/>
      <c r="AF505" s="97"/>
      <c r="AG505" s="97"/>
      <c r="AH505" s="97"/>
      <c r="AI505" s="97"/>
      <c r="AJ505" s="97"/>
      <c r="AK505" s="97"/>
      <c r="AL505" s="97"/>
      <c r="AM505" s="97"/>
      <c r="AN505" s="97"/>
      <c r="AO505" s="97"/>
      <c r="AP505" s="97"/>
      <c r="AQ505" s="97"/>
      <c r="AR505" s="97"/>
      <c r="AS505" s="97"/>
      <c r="AT505" s="97"/>
      <c r="AU505" s="97"/>
      <c r="AV505" s="97"/>
      <c r="AW505" s="97"/>
      <c r="AX505" s="97"/>
      <c r="AY505" s="97"/>
      <c r="AZ505" s="97"/>
      <c r="BA505" s="97"/>
      <c r="BB505" s="97"/>
      <c r="BC505" s="97"/>
      <c r="BD505" s="97"/>
      <c r="BE505" s="97"/>
      <c r="BF505" s="97"/>
      <c r="BG505" s="97"/>
      <c r="BH505" s="97"/>
      <c r="BI505" s="97"/>
      <c r="BJ505" s="97"/>
      <c r="BK505" s="97"/>
      <c r="BL505" s="97"/>
      <c r="BM505" s="97"/>
      <c r="BN505" s="97"/>
      <c r="BO505" s="97"/>
      <c r="BP505" s="97"/>
      <c r="BQ505" s="97"/>
      <c r="BR505" s="97"/>
      <c r="BS505" s="97"/>
      <c r="BT505" s="97"/>
      <c r="BU505" s="97"/>
      <c r="BV505" s="97"/>
      <c r="BW505" s="97"/>
      <c r="BX505" s="97"/>
      <c r="BY505" s="97"/>
      <c r="BZ505" s="97"/>
      <c r="CA505" s="97"/>
      <c r="CB505" s="97"/>
      <c r="CC505" s="97"/>
      <c r="CD505" s="97"/>
      <c r="CE505" s="97"/>
      <c r="CF505" s="97"/>
      <c r="CG505" s="97"/>
      <c r="CH505" s="97"/>
      <c r="CI505" s="97"/>
      <c r="CJ505" s="97"/>
      <c r="CK505" s="97"/>
      <c r="CL505" s="97"/>
      <c r="CM505" s="97"/>
      <c r="CN505" s="97"/>
      <c r="CO505" s="97"/>
      <c r="CP505" s="97"/>
      <c r="CQ505" s="97"/>
    </row>
    <row r="506" spans="1:95" ht="15" customHeight="1" outlineLevel="1">
      <c r="A506" s="97"/>
      <c r="B506" s="60" t="s">
        <v>94</v>
      </c>
      <c r="C506" s="130"/>
      <c r="D506" s="135"/>
      <c r="E506" s="129"/>
      <c r="F506" s="129"/>
      <c r="G506" s="129"/>
      <c r="H506" s="129"/>
      <c r="I506" s="129"/>
      <c r="J506" s="129"/>
      <c r="K506" s="129"/>
      <c r="L506" s="129"/>
      <c r="M506" s="129"/>
      <c r="N506" s="129"/>
      <c r="O506" s="129"/>
      <c r="P506" s="129"/>
      <c r="Q506" s="130"/>
      <c r="R506" s="97"/>
      <c r="S506" s="97"/>
      <c r="T506" s="97"/>
      <c r="U506" s="97"/>
      <c r="V506" s="97"/>
      <c r="W506" s="97"/>
      <c r="X506" s="97"/>
      <c r="Y506" s="97"/>
      <c r="Z506" s="97"/>
      <c r="AA506" s="97"/>
      <c r="AB506" s="97"/>
      <c r="AC506" s="97"/>
      <c r="AD506" s="97"/>
      <c r="AE506" s="97"/>
      <c r="AF506" s="97"/>
      <c r="AG506" s="97"/>
      <c r="AH506" s="97"/>
      <c r="AI506" s="97"/>
      <c r="AJ506" s="97"/>
      <c r="AK506" s="97"/>
      <c r="AL506" s="97"/>
      <c r="AM506" s="97"/>
      <c r="AN506" s="97"/>
      <c r="AO506" s="97"/>
      <c r="AP506" s="97"/>
      <c r="AQ506" s="97"/>
      <c r="AR506" s="97"/>
      <c r="AS506" s="97"/>
      <c r="AT506" s="97"/>
      <c r="AU506" s="97"/>
      <c r="AV506" s="97"/>
      <c r="AW506" s="97"/>
      <c r="AX506" s="97"/>
      <c r="AY506" s="97"/>
      <c r="AZ506" s="97"/>
      <c r="BA506" s="97"/>
      <c r="BB506" s="97"/>
      <c r="BC506" s="97"/>
      <c r="BD506" s="97"/>
      <c r="BE506" s="97"/>
      <c r="BF506" s="97"/>
      <c r="BG506" s="97"/>
      <c r="BH506" s="97"/>
      <c r="BI506" s="97"/>
      <c r="BJ506" s="97"/>
      <c r="BK506" s="97"/>
      <c r="BL506" s="97"/>
      <c r="BM506" s="97"/>
      <c r="BN506" s="97"/>
      <c r="BO506" s="97"/>
      <c r="BP506" s="97"/>
      <c r="BQ506" s="97"/>
      <c r="BR506" s="97"/>
      <c r="BS506" s="97"/>
      <c r="BT506" s="97"/>
      <c r="BU506" s="97"/>
      <c r="BV506" s="97"/>
      <c r="BW506" s="97"/>
      <c r="BX506" s="97"/>
      <c r="BY506" s="97"/>
      <c r="BZ506" s="97"/>
      <c r="CA506" s="97"/>
      <c r="CB506" s="97"/>
      <c r="CC506" s="97"/>
      <c r="CD506" s="97"/>
      <c r="CE506" s="97"/>
      <c r="CF506" s="97"/>
      <c r="CG506" s="97"/>
      <c r="CH506" s="97"/>
      <c r="CI506" s="97"/>
      <c r="CJ506" s="97"/>
      <c r="CK506" s="97"/>
      <c r="CL506" s="97"/>
      <c r="CM506" s="97"/>
      <c r="CN506" s="97"/>
      <c r="CO506" s="97"/>
      <c r="CP506" s="97"/>
      <c r="CQ506" s="97"/>
    </row>
    <row r="507" spans="1:95" ht="15" customHeight="1" outlineLevel="1">
      <c r="A507" s="97"/>
      <c r="B507" s="61" t="s">
        <v>80</v>
      </c>
      <c r="C507" s="136"/>
      <c r="D507" s="137">
        <f t="shared" ref="D507:Q507" si="176">Forecast_without_45_with_xx*Without_45_with_xx_stroke_value</f>
        <v>0</v>
      </c>
      <c r="E507" s="137">
        <f t="shared" si="176"/>
        <v>0</v>
      </c>
      <c r="F507" s="137">
        <f t="shared" si="176"/>
        <v>0</v>
      </c>
      <c r="G507" s="137">
        <f t="shared" si="176"/>
        <v>0</v>
      </c>
      <c r="H507" s="137">
        <f t="shared" si="176"/>
        <v>0</v>
      </c>
      <c r="I507" s="137">
        <f t="shared" si="176"/>
        <v>0</v>
      </c>
      <c r="J507" s="137">
        <f t="shared" si="176"/>
        <v>0</v>
      </c>
      <c r="K507" s="137">
        <f t="shared" si="176"/>
        <v>0</v>
      </c>
      <c r="L507" s="137">
        <f t="shared" si="176"/>
        <v>0</v>
      </c>
      <c r="M507" s="137">
        <f t="shared" si="176"/>
        <v>0</v>
      </c>
      <c r="N507" s="137">
        <f t="shared" si="176"/>
        <v>0</v>
      </c>
      <c r="O507" s="137">
        <f t="shared" si="176"/>
        <v>0</v>
      </c>
      <c r="P507" s="137">
        <f t="shared" si="176"/>
        <v>0</v>
      </c>
      <c r="Q507" s="137">
        <f t="shared" si="176"/>
        <v>0</v>
      </c>
      <c r="R507" s="22" t="s">
        <v>610</v>
      </c>
      <c r="S507" s="97"/>
      <c r="T507" s="97"/>
      <c r="U507" s="97"/>
      <c r="V507" s="97"/>
      <c r="W507" s="97"/>
      <c r="X507" s="97"/>
      <c r="Y507" s="97"/>
      <c r="Z507" s="97"/>
      <c r="AA507" s="97"/>
      <c r="AB507" s="97"/>
      <c r="AC507" s="97"/>
      <c r="AD507" s="97"/>
      <c r="AE507" s="97"/>
      <c r="AF507" s="97"/>
      <c r="AG507" s="97"/>
      <c r="AH507" s="97"/>
      <c r="AI507" s="97"/>
      <c r="AJ507" s="97"/>
      <c r="AK507" s="97"/>
      <c r="AL507" s="97"/>
      <c r="AM507" s="97"/>
      <c r="AN507" s="97"/>
      <c r="AO507" s="97"/>
      <c r="AP507" s="97"/>
      <c r="AQ507" s="97"/>
      <c r="AR507" s="97"/>
      <c r="AS507" s="97"/>
      <c r="AT507" s="97"/>
      <c r="AU507" s="97"/>
      <c r="AV507" s="97"/>
      <c r="AW507" s="97"/>
      <c r="AX507" s="97"/>
      <c r="AY507" s="97"/>
      <c r="AZ507" s="97"/>
      <c r="BA507" s="97"/>
      <c r="BB507" s="97"/>
      <c r="BC507" s="97"/>
      <c r="BD507" s="97"/>
      <c r="BE507" s="97"/>
      <c r="BF507" s="97"/>
      <c r="BG507" s="97"/>
      <c r="BH507" s="97"/>
      <c r="BI507" s="97"/>
      <c r="BJ507" s="97"/>
      <c r="BK507" s="97"/>
      <c r="BL507" s="97"/>
      <c r="BM507" s="97"/>
      <c r="BN507" s="97"/>
      <c r="BO507" s="97"/>
      <c r="BP507" s="97"/>
      <c r="BQ507" s="97"/>
      <c r="BR507" s="97"/>
      <c r="BS507" s="97"/>
      <c r="BT507" s="97"/>
      <c r="BU507" s="97"/>
      <c r="BV507" s="97"/>
      <c r="BW507" s="97"/>
      <c r="BX507" s="97"/>
      <c r="BY507" s="97"/>
      <c r="BZ507" s="97"/>
      <c r="CA507" s="97"/>
      <c r="CB507" s="97"/>
      <c r="CC507" s="97"/>
      <c r="CD507" s="97"/>
      <c r="CE507" s="97"/>
      <c r="CF507" s="97"/>
      <c r="CG507" s="97"/>
      <c r="CH507" s="97"/>
      <c r="CI507" s="97"/>
      <c r="CJ507" s="97"/>
      <c r="CK507" s="97"/>
      <c r="CL507" s="97"/>
      <c r="CM507" s="97"/>
      <c r="CN507" s="97"/>
      <c r="CO507" s="97"/>
      <c r="CP507" s="97"/>
      <c r="CQ507" s="97"/>
    </row>
    <row r="508" spans="1:95" ht="15" customHeight="1" outlineLevel="1">
      <c r="A508" s="97"/>
      <c r="B508" s="104" t="s">
        <v>81</v>
      </c>
      <c r="C508" s="138"/>
      <c r="D508" s="137">
        <f t="shared" ref="D508:Q508" si="177">Forecast_without_45_48_with_xx*Without_45_48_with_xx_stroke_value</f>
        <v>0</v>
      </c>
      <c r="E508" s="137">
        <f t="shared" si="177"/>
        <v>0</v>
      </c>
      <c r="F508" s="137">
        <f t="shared" si="177"/>
        <v>0</v>
      </c>
      <c r="G508" s="137">
        <f t="shared" si="177"/>
        <v>0</v>
      </c>
      <c r="H508" s="137">
        <f t="shared" si="177"/>
        <v>0</v>
      </c>
      <c r="I508" s="137">
        <f t="shared" si="177"/>
        <v>0</v>
      </c>
      <c r="J508" s="137">
        <f t="shared" si="177"/>
        <v>0</v>
      </c>
      <c r="K508" s="137">
        <f t="shared" si="177"/>
        <v>0</v>
      </c>
      <c r="L508" s="137">
        <f t="shared" si="177"/>
        <v>0</v>
      </c>
      <c r="M508" s="137">
        <f t="shared" si="177"/>
        <v>0</v>
      </c>
      <c r="N508" s="137">
        <f t="shared" si="177"/>
        <v>0</v>
      </c>
      <c r="O508" s="137">
        <f t="shared" si="177"/>
        <v>0</v>
      </c>
      <c r="P508" s="137">
        <f t="shared" si="177"/>
        <v>0</v>
      </c>
      <c r="Q508" s="137">
        <f t="shared" si="177"/>
        <v>0</v>
      </c>
      <c r="R508" s="22" t="s">
        <v>611</v>
      </c>
      <c r="S508" s="97"/>
      <c r="T508" s="97"/>
      <c r="U508" s="97"/>
      <c r="V508" s="97"/>
      <c r="W508" s="97"/>
      <c r="X508" s="97"/>
      <c r="Y508" s="97"/>
      <c r="Z508" s="97"/>
      <c r="AA508" s="97"/>
      <c r="AB508" s="97"/>
      <c r="AC508" s="97"/>
      <c r="AD508" s="97"/>
      <c r="AE508" s="97"/>
      <c r="AF508" s="97"/>
      <c r="AG508" s="97"/>
      <c r="AH508" s="97"/>
      <c r="AI508" s="97"/>
      <c r="AJ508" s="97"/>
      <c r="AK508" s="97"/>
      <c r="AL508" s="97"/>
      <c r="AM508" s="97"/>
      <c r="AN508" s="97"/>
      <c r="AO508" s="97"/>
      <c r="AP508" s="97"/>
      <c r="AQ508" s="97"/>
      <c r="AR508" s="97"/>
      <c r="AS508" s="97"/>
      <c r="AT508" s="97"/>
      <c r="AU508" s="97"/>
      <c r="AV508" s="97"/>
      <c r="AW508" s="97"/>
      <c r="AX508" s="97"/>
      <c r="AY508" s="97"/>
      <c r="AZ508" s="97"/>
      <c r="BA508" s="97"/>
      <c r="BB508" s="97"/>
      <c r="BC508" s="97"/>
      <c r="BD508" s="97"/>
      <c r="BE508" s="97"/>
      <c r="BF508" s="97"/>
      <c r="BG508" s="97"/>
      <c r="BH508" s="97"/>
      <c r="BI508" s="97"/>
      <c r="BJ508" s="97"/>
      <c r="BK508" s="97"/>
      <c r="BL508" s="97"/>
      <c r="BM508" s="97"/>
      <c r="BN508" s="97"/>
      <c r="BO508" s="97"/>
      <c r="BP508" s="97"/>
      <c r="BQ508" s="97"/>
      <c r="BR508" s="97"/>
      <c r="BS508" s="97"/>
      <c r="BT508" s="97"/>
      <c r="BU508" s="97"/>
      <c r="BV508" s="97"/>
      <c r="BW508" s="97"/>
      <c r="BX508" s="97"/>
      <c r="BY508" s="97"/>
      <c r="BZ508" s="97"/>
      <c r="CA508" s="97"/>
      <c r="CB508" s="97"/>
      <c r="CC508" s="97"/>
      <c r="CD508" s="97"/>
      <c r="CE508" s="97"/>
      <c r="CF508" s="97"/>
      <c r="CG508" s="97"/>
      <c r="CH508" s="97"/>
      <c r="CI508" s="97"/>
      <c r="CJ508" s="97"/>
      <c r="CK508" s="97"/>
      <c r="CL508" s="97"/>
      <c r="CM508" s="97"/>
      <c r="CN508" s="97"/>
      <c r="CO508" s="97"/>
      <c r="CP508" s="97"/>
      <c r="CQ508" s="97"/>
    </row>
    <row r="509" spans="1:95" ht="15" customHeight="1" outlineLevel="1">
      <c r="A509" s="97"/>
      <c r="B509" s="104" t="s">
        <v>82</v>
      </c>
      <c r="C509" s="138"/>
      <c r="D509" s="137">
        <f t="shared" ref="D509:Q509" si="178">Forecast_without_48_51_with_xx*Without_48_51_with_xx_stroke_value</f>
        <v>0</v>
      </c>
      <c r="E509" s="137">
        <f t="shared" si="178"/>
        <v>0</v>
      </c>
      <c r="F509" s="137">
        <f t="shared" si="178"/>
        <v>0</v>
      </c>
      <c r="G509" s="137">
        <f t="shared" si="178"/>
        <v>0</v>
      </c>
      <c r="H509" s="137">
        <f t="shared" si="178"/>
        <v>0</v>
      </c>
      <c r="I509" s="137">
        <f t="shared" si="178"/>
        <v>0</v>
      </c>
      <c r="J509" s="137">
        <f t="shared" si="178"/>
        <v>0</v>
      </c>
      <c r="K509" s="137">
        <f t="shared" si="178"/>
        <v>0</v>
      </c>
      <c r="L509" s="137">
        <f t="shared" si="178"/>
        <v>0</v>
      </c>
      <c r="M509" s="137">
        <f t="shared" si="178"/>
        <v>0</v>
      </c>
      <c r="N509" s="137">
        <f t="shared" si="178"/>
        <v>0</v>
      </c>
      <c r="O509" s="137">
        <f t="shared" si="178"/>
        <v>0</v>
      </c>
      <c r="P509" s="137">
        <f t="shared" si="178"/>
        <v>0</v>
      </c>
      <c r="Q509" s="137">
        <f t="shared" si="178"/>
        <v>0</v>
      </c>
      <c r="R509" s="22" t="s">
        <v>612</v>
      </c>
      <c r="S509" s="97"/>
      <c r="T509" s="97"/>
      <c r="U509" s="97"/>
      <c r="V509" s="97"/>
      <c r="W509" s="97"/>
      <c r="X509" s="97"/>
      <c r="Y509" s="97"/>
      <c r="Z509" s="97"/>
      <c r="AA509" s="97"/>
      <c r="AB509" s="97"/>
      <c r="AC509" s="97"/>
      <c r="AD509" s="97"/>
      <c r="AE509" s="97"/>
      <c r="AF509" s="97"/>
      <c r="AG509" s="97"/>
      <c r="AH509" s="97"/>
      <c r="AI509" s="97"/>
      <c r="AJ509" s="97"/>
      <c r="AK509" s="97"/>
      <c r="AL509" s="97"/>
      <c r="AM509" s="97"/>
      <c r="AN509" s="97"/>
      <c r="AO509" s="97"/>
      <c r="AP509" s="97"/>
      <c r="AQ509" s="97"/>
      <c r="AR509" s="97"/>
      <c r="AS509" s="97"/>
      <c r="AT509" s="97"/>
      <c r="AU509" s="97"/>
      <c r="AV509" s="97"/>
      <c r="AW509" s="97"/>
      <c r="AX509" s="97"/>
      <c r="AY509" s="97"/>
      <c r="AZ509" s="97"/>
      <c r="BA509" s="97"/>
      <c r="BB509" s="97"/>
      <c r="BC509" s="97"/>
      <c r="BD509" s="97"/>
      <c r="BE509" s="97"/>
      <c r="BF509" s="97"/>
      <c r="BG509" s="97"/>
      <c r="BH509" s="97"/>
      <c r="BI509" s="97"/>
      <c r="BJ509" s="97"/>
      <c r="BK509" s="97"/>
      <c r="BL509" s="97"/>
      <c r="BM509" s="97"/>
      <c r="BN509" s="97"/>
      <c r="BO509" s="97"/>
      <c r="BP509" s="97"/>
      <c r="BQ509" s="97"/>
      <c r="BR509" s="97"/>
      <c r="BS509" s="97"/>
      <c r="BT509" s="97"/>
      <c r="BU509" s="97"/>
      <c r="BV509" s="97"/>
      <c r="BW509" s="97"/>
      <c r="BX509" s="97"/>
      <c r="BY509" s="97"/>
      <c r="BZ509" s="97"/>
      <c r="CA509" s="97"/>
      <c r="CB509" s="97"/>
      <c r="CC509" s="97"/>
      <c r="CD509" s="97"/>
      <c r="CE509" s="97"/>
      <c r="CF509" s="97"/>
      <c r="CG509" s="97"/>
      <c r="CH509" s="97"/>
      <c r="CI509" s="97"/>
      <c r="CJ509" s="97"/>
      <c r="CK509" s="97"/>
      <c r="CL509" s="97"/>
      <c r="CM509" s="97"/>
      <c r="CN509" s="97"/>
      <c r="CO509" s="97"/>
      <c r="CP509" s="97"/>
      <c r="CQ509" s="97"/>
    </row>
    <row r="510" spans="1:95" ht="15" customHeight="1" outlineLevel="1">
      <c r="A510" s="97"/>
      <c r="B510" s="104" t="s">
        <v>83</v>
      </c>
      <c r="C510" s="138"/>
      <c r="D510" s="137">
        <f t="shared" ref="D510:Q510" si="179">Forecast_without_51_54_with_xx*Without_51_54_with_xx_stroke_value</f>
        <v>0</v>
      </c>
      <c r="E510" s="137">
        <f t="shared" si="179"/>
        <v>0</v>
      </c>
      <c r="F510" s="137">
        <f t="shared" si="179"/>
        <v>0</v>
      </c>
      <c r="G510" s="137">
        <f t="shared" si="179"/>
        <v>0</v>
      </c>
      <c r="H510" s="137">
        <f t="shared" si="179"/>
        <v>0</v>
      </c>
      <c r="I510" s="137">
        <f t="shared" si="179"/>
        <v>0</v>
      </c>
      <c r="J510" s="137">
        <f t="shared" si="179"/>
        <v>0</v>
      </c>
      <c r="K510" s="137">
        <f t="shared" si="179"/>
        <v>0</v>
      </c>
      <c r="L510" s="137">
        <f t="shared" si="179"/>
        <v>0</v>
      </c>
      <c r="M510" s="137">
        <f t="shared" si="179"/>
        <v>0</v>
      </c>
      <c r="N510" s="137">
        <f t="shared" si="179"/>
        <v>0</v>
      </c>
      <c r="O510" s="137">
        <f t="shared" si="179"/>
        <v>0</v>
      </c>
      <c r="P510" s="137">
        <f t="shared" si="179"/>
        <v>0</v>
      </c>
      <c r="Q510" s="137">
        <f t="shared" si="179"/>
        <v>0</v>
      </c>
      <c r="R510" s="22" t="s">
        <v>613</v>
      </c>
      <c r="S510" s="97"/>
      <c r="T510" s="97"/>
      <c r="U510" s="97"/>
      <c r="V510" s="97"/>
      <c r="W510" s="97"/>
      <c r="X510" s="97"/>
      <c r="Y510" s="97"/>
      <c r="Z510" s="97"/>
      <c r="AA510" s="97"/>
      <c r="AB510" s="97"/>
      <c r="AC510" s="97"/>
      <c r="AD510" s="97"/>
      <c r="AE510" s="97"/>
      <c r="AF510" s="97"/>
      <c r="AG510" s="97"/>
      <c r="AH510" s="97"/>
      <c r="AI510" s="97"/>
      <c r="AJ510" s="97"/>
      <c r="AK510" s="97"/>
      <c r="AL510" s="97"/>
      <c r="AM510" s="97"/>
      <c r="AN510" s="97"/>
      <c r="AO510" s="97"/>
      <c r="AP510" s="97"/>
      <c r="AQ510" s="97"/>
      <c r="AR510" s="97"/>
      <c r="AS510" s="97"/>
      <c r="AT510" s="97"/>
      <c r="AU510" s="97"/>
      <c r="AV510" s="97"/>
      <c r="AW510" s="97"/>
      <c r="AX510" s="97"/>
      <c r="AY510" s="97"/>
      <c r="AZ510" s="97"/>
      <c r="BA510" s="97"/>
      <c r="BB510" s="97"/>
      <c r="BC510" s="97"/>
      <c r="BD510" s="97"/>
      <c r="BE510" s="97"/>
      <c r="BF510" s="97"/>
      <c r="BG510" s="97"/>
      <c r="BH510" s="97"/>
      <c r="BI510" s="97"/>
      <c r="BJ510" s="97"/>
      <c r="BK510" s="97"/>
      <c r="BL510" s="97"/>
      <c r="BM510" s="97"/>
      <c r="BN510" s="97"/>
      <c r="BO510" s="97"/>
      <c r="BP510" s="97"/>
      <c r="BQ510" s="97"/>
      <c r="BR510" s="97"/>
      <c r="BS510" s="97"/>
      <c r="BT510" s="97"/>
      <c r="BU510" s="97"/>
      <c r="BV510" s="97"/>
      <c r="BW510" s="97"/>
      <c r="BX510" s="97"/>
      <c r="BY510" s="97"/>
      <c r="BZ510" s="97"/>
      <c r="CA510" s="97"/>
      <c r="CB510" s="97"/>
      <c r="CC510" s="97"/>
      <c r="CD510" s="97"/>
      <c r="CE510" s="97"/>
      <c r="CF510" s="97"/>
      <c r="CG510" s="97"/>
      <c r="CH510" s="97"/>
      <c r="CI510" s="97"/>
      <c r="CJ510" s="97"/>
      <c r="CK510" s="97"/>
      <c r="CL510" s="97"/>
      <c r="CM510" s="97"/>
      <c r="CN510" s="97"/>
      <c r="CO510" s="97"/>
      <c r="CP510" s="97"/>
      <c r="CQ510" s="97"/>
    </row>
    <row r="511" spans="1:95" ht="15" customHeight="1" outlineLevel="1">
      <c r="A511" s="97"/>
      <c r="B511" s="104" t="s">
        <v>84</v>
      </c>
      <c r="C511" s="138"/>
      <c r="D511" s="137">
        <f t="shared" ref="D511:Q511" si="180">Forecast_without_54_57_with_xx*Without_54_57_with_xx_stroke_value</f>
        <v>0</v>
      </c>
      <c r="E511" s="137">
        <f t="shared" si="180"/>
        <v>0</v>
      </c>
      <c r="F511" s="137">
        <f t="shared" si="180"/>
        <v>0</v>
      </c>
      <c r="G511" s="137">
        <f t="shared" si="180"/>
        <v>0</v>
      </c>
      <c r="H511" s="137">
        <f t="shared" si="180"/>
        <v>0</v>
      </c>
      <c r="I511" s="137">
        <f t="shared" si="180"/>
        <v>0</v>
      </c>
      <c r="J511" s="137">
        <f t="shared" si="180"/>
        <v>0</v>
      </c>
      <c r="K511" s="137">
        <f t="shared" si="180"/>
        <v>0</v>
      </c>
      <c r="L511" s="137">
        <f t="shared" si="180"/>
        <v>0</v>
      </c>
      <c r="M511" s="137">
        <f t="shared" si="180"/>
        <v>0</v>
      </c>
      <c r="N511" s="137">
        <f t="shared" si="180"/>
        <v>0</v>
      </c>
      <c r="O511" s="137">
        <f t="shared" si="180"/>
        <v>0</v>
      </c>
      <c r="P511" s="137">
        <f t="shared" si="180"/>
        <v>0</v>
      </c>
      <c r="Q511" s="137">
        <f t="shared" si="180"/>
        <v>0</v>
      </c>
      <c r="R511" s="22" t="s">
        <v>614</v>
      </c>
      <c r="S511" s="97"/>
      <c r="T511" s="97"/>
      <c r="U511" s="97"/>
      <c r="V511" s="97"/>
      <c r="W511" s="97"/>
      <c r="X511" s="97"/>
      <c r="Y511" s="97"/>
      <c r="Z511" s="97"/>
      <c r="AA511" s="97"/>
      <c r="AB511" s="97"/>
      <c r="AC511" s="97"/>
      <c r="AD511" s="97"/>
      <c r="AE511" s="97"/>
      <c r="AF511" s="97"/>
      <c r="AG511" s="97"/>
      <c r="AH511" s="97"/>
      <c r="AI511" s="97"/>
      <c r="AJ511" s="97"/>
      <c r="AK511" s="97"/>
      <c r="AL511" s="97"/>
      <c r="AM511" s="97"/>
      <c r="AN511" s="97"/>
      <c r="AO511" s="97"/>
      <c r="AP511" s="97"/>
      <c r="AQ511" s="97"/>
      <c r="AR511" s="97"/>
      <c r="AS511" s="97"/>
      <c r="AT511" s="97"/>
      <c r="AU511" s="97"/>
      <c r="AV511" s="97"/>
      <c r="AW511" s="97"/>
      <c r="AX511" s="97"/>
      <c r="AY511" s="97"/>
      <c r="AZ511" s="97"/>
      <c r="BA511" s="97"/>
      <c r="BB511" s="97"/>
      <c r="BC511" s="97"/>
      <c r="BD511" s="97"/>
      <c r="BE511" s="97"/>
      <c r="BF511" s="97"/>
      <c r="BG511" s="97"/>
      <c r="BH511" s="97"/>
      <c r="BI511" s="97"/>
      <c r="BJ511" s="97"/>
      <c r="BK511" s="97"/>
      <c r="BL511" s="97"/>
      <c r="BM511" s="97"/>
      <c r="BN511" s="97"/>
      <c r="BO511" s="97"/>
      <c r="BP511" s="97"/>
      <c r="BQ511" s="97"/>
      <c r="BR511" s="97"/>
      <c r="BS511" s="97"/>
      <c r="BT511" s="97"/>
      <c r="BU511" s="97"/>
      <c r="BV511" s="97"/>
      <c r="BW511" s="97"/>
      <c r="BX511" s="97"/>
      <c r="BY511" s="97"/>
      <c r="BZ511" s="97"/>
      <c r="CA511" s="97"/>
      <c r="CB511" s="97"/>
      <c r="CC511" s="97"/>
      <c r="CD511" s="97"/>
      <c r="CE511" s="97"/>
      <c r="CF511" s="97"/>
      <c r="CG511" s="97"/>
      <c r="CH511" s="97"/>
      <c r="CI511" s="97"/>
      <c r="CJ511" s="97"/>
      <c r="CK511" s="97"/>
      <c r="CL511" s="97"/>
      <c r="CM511" s="97"/>
      <c r="CN511" s="97"/>
      <c r="CO511" s="97"/>
      <c r="CP511" s="97"/>
      <c r="CQ511" s="97"/>
    </row>
    <row r="512" spans="1:95" ht="15" customHeight="1" outlineLevel="1">
      <c r="A512" s="97"/>
      <c r="B512" s="104" t="s">
        <v>85</v>
      </c>
      <c r="C512" s="138"/>
      <c r="D512" s="137">
        <f t="shared" ref="D512:Q512" si="181">Forecast_without_57_60_with_xx*Without_57_60_with_xx_stroke_value</f>
        <v>0</v>
      </c>
      <c r="E512" s="137">
        <f t="shared" si="181"/>
        <v>0</v>
      </c>
      <c r="F512" s="137">
        <f t="shared" si="181"/>
        <v>0</v>
      </c>
      <c r="G512" s="137">
        <f t="shared" si="181"/>
        <v>0</v>
      </c>
      <c r="H512" s="137">
        <f t="shared" si="181"/>
        <v>0</v>
      </c>
      <c r="I512" s="137">
        <f t="shared" si="181"/>
        <v>0</v>
      </c>
      <c r="J512" s="137">
        <f t="shared" si="181"/>
        <v>0</v>
      </c>
      <c r="K512" s="137">
        <f t="shared" si="181"/>
        <v>0</v>
      </c>
      <c r="L512" s="137">
        <f t="shared" si="181"/>
        <v>0</v>
      </c>
      <c r="M512" s="137">
        <f t="shared" si="181"/>
        <v>0</v>
      </c>
      <c r="N512" s="137">
        <f t="shared" si="181"/>
        <v>0</v>
      </c>
      <c r="O512" s="137">
        <f t="shared" si="181"/>
        <v>0</v>
      </c>
      <c r="P512" s="137">
        <f t="shared" si="181"/>
        <v>0</v>
      </c>
      <c r="Q512" s="137">
        <f t="shared" si="181"/>
        <v>0</v>
      </c>
      <c r="R512" s="22" t="s">
        <v>615</v>
      </c>
      <c r="S512" s="97"/>
      <c r="T512" s="97"/>
      <c r="U512" s="97"/>
      <c r="V512" s="97"/>
      <c r="W512" s="97"/>
      <c r="X512" s="97"/>
      <c r="Y512" s="97"/>
      <c r="Z512" s="97"/>
      <c r="AA512" s="97"/>
      <c r="AB512" s="97"/>
      <c r="AC512" s="97"/>
      <c r="AD512" s="97"/>
      <c r="AE512" s="97"/>
      <c r="AF512" s="97"/>
      <c r="AG512" s="97"/>
      <c r="AH512" s="97"/>
      <c r="AI512" s="97"/>
      <c r="AJ512" s="97"/>
      <c r="AK512" s="97"/>
      <c r="AL512" s="97"/>
      <c r="AM512" s="97"/>
      <c r="AN512" s="97"/>
      <c r="AO512" s="97"/>
      <c r="AP512" s="97"/>
      <c r="AQ512" s="97"/>
      <c r="AR512" s="97"/>
      <c r="AS512" s="97"/>
      <c r="AT512" s="97"/>
      <c r="AU512" s="97"/>
      <c r="AV512" s="97"/>
      <c r="AW512" s="97"/>
      <c r="AX512" s="97"/>
      <c r="AY512" s="97"/>
      <c r="AZ512" s="97"/>
      <c r="BA512" s="97"/>
      <c r="BB512" s="97"/>
      <c r="BC512" s="97"/>
      <c r="BD512" s="97"/>
      <c r="BE512" s="97"/>
      <c r="BF512" s="97"/>
      <c r="BG512" s="97"/>
      <c r="BH512" s="97"/>
      <c r="BI512" s="97"/>
      <c r="BJ512" s="97"/>
      <c r="BK512" s="97"/>
      <c r="BL512" s="97"/>
      <c r="BM512" s="97"/>
      <c r="BN512" s="97"/>
      <c r="BO512" s="97"/>
      <c r="BP512" s="97"/>
      <c r="BQ512" s="97"/>
      <c r="BR512" s="97"/>
      <c r="BS512" s="97"/>
      <c r="BT512" s="97"/>
      <c r="BU512" s="97"/>
      <c r="BV512" s="97"/>
      <c r="BW512" s="97"/>
      <c r="BX512" s="97"/>
      <c r="BY512" s="97"/>
      <c r="BZ512" s="97"/>
      <c r="CA512" s="97"/>
      <c r="CB512" s="97"/>
      <c r="CC512" s="97"/>
      <c r="CD512" s="97"/>
      <c r="CE512" s="97"/>
      <c r="CF512" s="97"/>
      <c r="CG512" s="97"/>
      <c r="CH512" s="97"/>
      <c r="CI512" s="97"/>
      <c r="CJ512" s="97"/>
      <c r="CK512" s="97"/>
      <c r="CL512" s="97"/>
      <c r="CM512" s="97"/>
      <c r="CN512" s="97"/>
      <c r="CO512" s="97"/>
      <c r="CP512" s="97"/>
      <c r="CQ512" s="97"/>
    </row>
    <row r="513" spans="1:95" ht="15" customHeight="1" outlineLevel="1">
      <c r="A513" s="97"/>
      <c r="B513" s="104" t="s">
        <v>86</v>
      </c>
      <c r="C513" s="138"/>
      <c r="D513" s="137">
        <f t="shared" ref="D513:Q513" si="182">Forecast_without_60_63_with_xx*Without_60_63_with_xx_stroke_value</f>
        <v>0</v>
      </c>
      <c r="E513" s="137">
        <f t="shared" si="182"/>
        <v>0</v>
      </c>
      <c r="F513" s="137">
        <f t="shared" si="182"/>
        <v>0</v>
      </c>
      <c r="G513" s="137">
        <f t="shared" si="182"/>
        <v>0</v>
      </c>
      <c r="H513" s="137">
        <f t="shared" si="182"/>
        <v>0</v>
      </c>
      <c r="I513" s="137">
        <f t="shared" si="182"/>
        <v>0</v>
      </c>
      <c r="J513" s="137">
        <f t="shared" si="182"/>
        <v>0</v>
      </c>
      <c r="K513" s="137">
        <f t="shared" si="182"/>
        <v>0</v>
      </c>
      <c r="L513" s="137">
        <f t="shared" si="182"/>
        <v>0</v>
      </c>
      <c r="M513" s="137">
        <f t="shared" si="182"/>
        <v>0</v>
      </c>
      <c r="N513" s="137">
        <f t="shared" si="182"/>
        <v>0</v>
      </c>
      <c r="O513" s="137">
        <f t="shared" si="182"/>
        <v>0</v>
      </c>
      <c r="P513" s="137">
        <f t="shared" si="182"/>
        <v>0</v>
      </c>
      <c r="Q513" s="137">
        <f t="shared" si="182"/>
        <v>0</v>
      </c>
      <c r="R513" s="22" t="s">
        <v>616</v>
      </c>
      <c r="S513" s="97"/>
      <c r="T513" s="97"/>
      <c r="U513" s="97"/>
      <c r="V513" s="97"/>
      <c r="W513" s="97"/>
      <c r="X513" s="97"/>
      <c r="Y513" s="97"/>
      <c r="Z513" s="97"/>
      <c r="AA513" s="97"/>
      <c r="AB513" s="97"/>
      <c r="AC513" s="97"/>
      <c r="AD513" s="97"/>
      <c r="AE513" s="97"/>
      <c r="AF513" s="97"/>
      <c r="AG513" s="97"/>
      <c r="AH513" s="97"/>
      <c r="AI513" s="97"/>
      <c r="AJ513" s="97"/>
      <c r="AK513" s="97"/>
      <c r="AL513" s="97"/>
      <c r="AM513" s="97"/>
      <c r="AN513" s="97"/>
      <c r="AO513" s="97"/>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c r="BM513" s="97"/>
      <c r="BN513" s="97"/>
      <c r="BO513" s="97"/>
      <c r="BP513" s="97"/>
      <c r="BQ513" s="97"/>
      <c r="BR513" s="97"/>
      <c r="BS513" s="97"/>
      <c r="BT513" s="97"/>
      <c r="BU513" s="97"/>
      <c r="BV513" s="97"/>
      <c r="BW513" s="97"/>
      <c r="BX513" s="97"/>
      <c r="BY513" s="97"/>
      <c r="BZ513" s="97"/>
      <c r="CA513" s="97"/>
      <c r="CB513" s="97"/>
      <c r="CC513" s="97"/>
      <c r="CD513" s="97"/>
      <c r="CE513" s="97"/>
      <c r="CF513" s="97"/>
      <c r="CG513" s="97"/>
      <c r="CH513" s="97"/>
      <c r="CI513" s="97"/>
      <c r="CJ513" s="97"/>
      <c r="CK513" s="97"/>
      <c r="CL513" s="97"/>
      <c r="CM513" s="97"/>
      <c r="CN513" s="97"/>
      <c r="CO513" s="97"/>
      <c r="CP513" s="97"/>
      <c r="CQ513" s="97"/>
    </row>
    <row r="514" spans="1:95" ht="15" customHeight="1" outlineLevel="1">
      <c r="A514" s="97"/>
      <c r="B514" s="104" t="s">
        <v>87</v>
      </c>
      <c r="C514" s="138"/>
      <c r="D514" s="137">
        <f t="shared" ref="D514:Q514" si="183">Forecast_without_63_66_with_xx*Without_63_66_with_xx_stroke_value</f>
        <v>0</v>
      </c>
      <c r="E514" s="137">
        <f t="shared" si="183"/>
        <v>0</v>
      </c>
      <c r="F514" s="137">
        <f t="shared" si="183"/>
        <v>0</v>
      </c>
      <c r="G514" s="137">
        <f t="shared" si="183"/>
        <v>0</v>
      </c>
      <c r="H514" s="137">
        <f t="shared" si="183"/>
        <v>0</v>
      </c>
      <c r="I514" s="137">
        <f t="shared" si="183"/>
        <v>0</v>
      </c>
      <c r="J514" s="137">
        <f t="shared" si="183"/>
        <v>0</v>
      </c>
      <c r="K514" s="137">
        <f t="shared" si="183"/>
        <v>0</v>
      </c>
      <c r="L514" s="137">
        <f t="shared" si="183"/>
        <v>0</v>
      </c>
      <c r="M514" s="137">
        <f t="shared" si="183"/>
        <v>0</v>
      </c>
      <c r="N514" s="137">
        <f t="shared" si="183"/>
        <v>0</v>
      </c>
      <c r="O514" s="137">
        <f t="shared" si="183"/>
        <v>0</v>
      </c>
      <c r="P514" s="137">
        <f t="shared" si="183"/>
        <v>0</v>
      </c>
      <c r="Q514" s="137">
        <f t="shared" si="183"/>
        <v>0</v>
      </c>
      <c r="R514" s="22" t="s">
        <v>617</v>
      </c>
      <c r="S514" s="97"/>
      <c r="T514" s="97"/>
      <c r="U514" s="97"/>
      <c r="V514" s="97"/>
      <c r="W514" s="97"/>
      <c r="X514" s="97"/>
      <c r="Y514" s="97"/>
      <c r="Z514" s="97"/>
      <c r="AA514" s="97"/>
      <c r="AB514" s="97"/>
      <c r="AC514" s="97"/>
      <c r="AD514" s="97"/>
      <c r="AE514" s="97"/>
      <c r="AF514" s="97"/>
      <c r="AG514" s="97"/>
      <c r="AH514" s="97"/>
      <c r="AI514" s="97"/>
      <c r="AJ514" s="97"/>
      <c r="AK514" s="97"/>
      <c r="AL514" s="97"/>
      <c r="AM514" s="97"/>
      <c r="AN514" s="97"/>
      <c r="AO514" s="97"/>
      <c r="AP514" s="97"/>
      <c r="AQ514" s="97"/>
      <c r="AR514" s="97"/>
      <c r="AS514" s="97"/>
      <c r="AT514" s="97"/>
      <c r="AU514" s="97"/>
      <c r="AV514" s="97"/>
      <c r="AW514" s="97"/>
      <c r="AX514" s="97"/>
      <c r="AY514" s="97"/>
      <c r="AZ514" s="97"/>
      <c r="BA514" s="97"/>
      <c r="BB514" s="97"/>
      <c r="BC514" s="97"/>
      <c r="BD514" s="97"/>
      <c r="BE514" s="97"/>
      <c r="BF514" s="97"/>
      <c r="BG514" s="97"/>
      <c r="BH514" s="97"/>
      <c r="BI514" s="97"/>
      <c r="BJ514" s="97"/>
      <c r="BK514" s="97"/>
      <c r="BL514" s="97"/>
      <c r="BM514" s="97"/>
      <c r="BN514" s="97"/>
      <c r="BO514" s="97"/>
      <c r="BP514" s="97"/>
      <c r="BQ514" s="97"/>
      <c r="BR514" s="97"/>
      <c r="BS514" s="97"/>
      <c r="BT514" s="97"/>
      <c r="BU514" s="97"/>
      <c r="BV514" s="97"/>
      <c r="BW514" s="97"/>
      <c r="BX514" s="97"/>
      <c r="BY514" s="97"/>
      <c r="BZ514" s="97"/>
      <c r="CA514" s="97"/>
      <c r="CB514" s="97"/>
      <c r="CC514" s="97"/>
      <c r="CD514" s="97"/>
      <c r="CE514" s="97"/>
      <c r="CF514" s="97"/>
      <c r="CG514" s="97"/>
      <c r="CH514" s="97"/>
      <c r="CI514" s="97"/>
      <c r="CJ514" s="97"/>
      <c r="CK514" s="97"/>
      <c r="CL514" s="97"/>
      <c r="CM514" s="97"/>
      <c r="CN514" s="97"/>
      <c r="CO514" s="97"/>
      <c r="CP514" s="97"/>
      <c r="CQ514" s="97"/>
    </row>
    <row r="515" spans="1:95" ht="15" customHeight="1" outlineLevel="1">
      <c r="A515" s="97"/>
      <c r="B515" s="104" t="s">
        <v>88</v>
      </c>
      <c r="C515" s="138"/>
      <c r="D515" s="137">
        <f t="shared" ref="D515:Q515" si="184">Forecast_without_66_69_with_xx*Without_66_69_with_xx_stroke_value</f>
        <v>0</v>
      </c>
      <c r="E515" s="137">
        <f t="shared" si="184"/>
        <v>0</v>
      </c>
      <c r="F515" s="137">
        <f t="shared" si="184"/>
        <v>0</v>
      </c>
      <c r="G515" s="137">
        <f t="shared" si="184"/>
        <v>0</v>
      </c>
      <c r="H515" s="137">
        <f t="shared" si="184"/>
        <v>0</v>
      </c>
      <c r="I515" s="137">
        <f t="shared" si="184"/>
        <v>0</v>
      </c>
      <c r="J515" s="137">
        <f t="shared" si="184"/>
        <v>0</v>
      </c>
      <c r="K515" s="137">
        <f t="shared" si="184"/>
        <v>0</v>
      </c>
      <c r="L515" s="137">
        <f t="shared" si="184"/>
        <v>0</v>
      </c>
      <c r="M515" s="137">
        <f t="shared" si="184"/>
        <v>0</v>
      </c>
      <c r="N515" s="137">
        <f t="shared" si="184"/>
        <v>0</v>
      </c>
      <c r="O515" s="137">
        <f t="shared" si="184"/>
        <v>0</v>
      </c>
      <c r="P515" s="137">
        <f t="shared" si="184"/>
        <v>0</v>
      </c>
      <c r="Q515" s="137">
        <f t="shared" si="184"/>
        <v>0</v>
      </c>
      <c r="R515" s="22" t="s">
        <v>618</v>
      </c>
      <c r="S515" s="97"/>
      <c r="T515" s="97"/>
      <c r="U515" s="97"/>
      <c r="V515" s="97"/>
      <c r="W515" s="97"/>
      <c r="X515" s="97"/>
      <c r="Y515" s="97"/>
      <c r="Z515" s="97"/>
      <c r="AA515" s="97"/>
      <c r="AB515" s="97"/>
      <c r="AC515" s="97"/>
      <c r="AD515" s="97"/>
      <c r="AE515" s="97"/>
      <c r="AF515" s="97"/>
      <c r="AG515" s="97"/>
      <c r="AH515" s="97"/>
      <c r="AI515" s="97"/>
      <c r="AJ515" s="97"/>
      <c r="AK515" s="97"/>
      <c r="AL515" s="97"/>
      <c r="AM515" s="97"/>
      <c r="AN515" s="97"/>
      <c r="AO515" s="97"/>
      <c r="AP515" s="97"/>
      <c r="AQ515" s="97"/>
      <c r="AR515" s="97"/>
      <c r="AS515" s="97"/>
      <c r="AT515" s="97"/>
      <c r="AU515" s="97"/>
      <c r="AV515" s="97"/>
      <c r="AW515" s="97"/>
      <c r="AX515" s="97"/>
      <c r="AY515" s="97"/>
      <c r="AZ515" s="97"/>
      <c r="BA515" s="97"/>
      <c r="BB515" s="97"/>
      <c r="BC515" s="97"/>
      <c r="BD515" s="97"/>
      <c r="BE515" s="97"/>
      <c r="BF515" s="97"/>
      <c r="BG515" s="97"/>
      <c r="BH515" s="97"/>
      <c r="BI515" s="97"/>
      <c r="BJ515" s="97"/>
      <c r="BK515" s="97"/>
      <c r="BL515" s="97"/>
      <c r="BM515" s="97"/>
      <c r="BN515" s="97"/>
      <c r="BO515" s="97"/>
      <c r="BP515" s="97"/>
      <c r="BQ515" s="97"/>
      <c r="BR515" s="97"/>
      <c r="BS515" s="97"/>
      <c r="BT515" s="97"/>
      <c r="BU515" s="97"/>
      <c r="BV515" s="97"/>
      <c r="BW515" s="97"/>
      <c r="BX515" s="97"/>
      <c r="BY515" s="97"/>
      <c r="BZ515" s="97"/>
      <c r="CA515" s="97"/>
      <c r="CB515" s="97"/>
      <c r="CC515" s="97"/>
      <c r="CD515" s="97"/>
      <c r="CE515" s="97"/>
      <c r="CF515" s="97"/>
      <c r="CG515" s="97"/>
      <c r="CH515" s="97"/>
      <c r="CI515" s="97"/>
      <c r="CJ515" s="97"/>
      <c r="CK515" s="97"/>
      <c r="CL515" s="97"/>
      <c r="CM515" s="97"/>
      <c r="CN515" s="97"/>
      <c r="CO515" s="97"/>
      <c r="CP515" s="97"/>
      <c r="CQ515" s="97"/>
    </row>
    <row r="516" spans="1:95" ht="15" customHeight="1" outlineLevel="1">
      <c r="A516" s="97"/>
      <c r="B516" s="104" t="s">
        <v>89</v>
      </c>
      <c r="C516" s="138"/>
      <c r="D516" s="137">
        <f t="shared" ref="D516:Q516" si="185">Forecast_without_69_72_with_xx*Without_69_72_with_xx_stroke_value</f>
        <v>0</v>
      </c>
      <c r="E516" s="137">
        <f t="shared" si="185"/>
        <v>0</v>
      </c>
      <c r="F516" s="137">
        <f t="shared" si="185"/>
        <v>0</v>
      </c>
      <c r="G516" s="137">
        <f t="shared" si="185"/>
        <v>0</v>
      </c>
      <c r="H516" s="137">
        <f t="shared" si="185"/>
        <v>0</v>
      </c>
      <c r="I516" s="137">
        <f t="shared" si="185"/>
        <v>0</v>
      </c>
      <c r="J516" s="137">
        <f t="shared" si="185"/>
        <v>0</v>
      </c>
      <c r="K516" s="137">
        <f t="shared" si="185"/>
        <v>0</v>
      </c>
      <c r="L516" s="137">
        <f t="shared" si="185"/>
        <v>0</v>
      </c>
      <c r="M516" s="137">
        <f t="shared" si="185"/>
        <v>0</v>
      </c>
      <c r="N516" s="137">
        <f t="shared" si="185"/>
        <v>0</v>
      </c>
      <c r="O516" s="137">
        <f t="shared" si="185"/>
        <v>0</v>
      </c>
      <c r="P516" s="137">
        <f t="shared" si="185"/>
        <v>0</v>
      </c>
      <c r="Q516" s="137">
        <f t="shared" si="185"/>
        <v>0</v>
      </c>
      <c r="R516" s="22" t="s">
        <v>619</v>
      </c>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7"/>
      <c r="AY516" s="97"/>
      <c r="AZ516" s="97"/>
      <c r="BA516" s="97"/>
      <c r="BB516" s="97"/>
      <c r="BC516" s="97"/>
      <c r="BD516" s="97"/>
      <c r="BE516" s="97"/>
      <c r="BF516" s="97"/>
      <c r="BG516" s="97"/>
      <c r="BH516" s="97"/>
      <c r="BI516" s="97"/>
      <c r="BJ516" s="97"/>
      <c r="BK516" s="97"/>
      <c r="BL516" s="97"/>
      <c r="BM516" s="97"/>
      <c r="BN516" s="97"/>
      <c r="BO516" s="97"/>
      <c r="BP516" s="97"/>
      <c r="BQ516" s="97"/>
      <c r="BR516" s="97"/>
      <c r="BS516" s="97"/>
      <c r="BT516" s="97"/>
      <c r="BU516" s="97"/>
      <c r="BV516" s="97"/>
      <c r="BW516" s="97"/>
      <c r="BX516" s="97"/>
      <c r="BY516" s="97"/>
      <c r="BZ516" s="97"/>
      <c r="CA516" s="97"/>
      <c r="CB516" s="97"/>
      <c r="CC516" s="97"/>
      <c r="CD516" s="97"/>
      <c r="CE516" s="97"/>
      <c r="CF516" s="97"/>
      <c r="CG516" s="97"/>
      <c r="CH516" s="97"/>
      <c r="CI516" s="97"/>
      <c r="CJ516" s="97"/>
      <c r="CK516" s="97"/>
      <c r="CL516" s="97"/>
      <c r="CM516" s="97"/>
      <c r="CN516" s="97"/>
      <c r="CO516" s="97"/>
      <c r="CP516" s="97"/>
      <c r="CQ516" s="97"/>
    </row>
    <row r="517" spans="1:95" ht="15" customHeight="1" outlineLevel="1">
      <c r="A517" s="97"/>
      <c r="B517" s="104" t="s">
        <v>90</v>
      </c>
      <c r="C517" s="138"/>
      <c r="D517" s="137">
        <f t="shared" ref="D517:Q517" si="186">Forecast_without_72_75_with_xx*Without_72_75_with_xx_stroke_value</f>
        <v>0</v>
      </c>
      <c r="E517" s="137">
        <f t="shared" si="186"/>
        <v>0</v>
      </c>
      <c r="F517" s="137">
        <f t="shared" si="186"/>
        <v>0</v>
      </c>
      <c r="G517" s="137">
        <f t="shared" si="186"/>
        <v>0</v>
      </c>
      <c r="H517" s="137">
        <f t="shared" si="186"/>
        <v>0</v>
      </c>
      <c r="I517" s="137">
        <f t="shared" si="186"/>
        <v>0</v>
      </c>
      <c r="J517" s="137">
        <f t="shared" si="186"/>
        <v>0</v>
      </c>
      <c r="K517" s="137">
        <f t="shared" si="186"/>
        <v>0</v>
      </c>
      <c r="L517" s="137">
        <f t="shared" si="186"/>
        <v>0</v>
      </c>
      <c r="M517" s="137">
        <f t="shared" si="186"/>
        <v>0</v>
      </c>
      <c r="N517" s="137">
        <f t="shared" si="186"/>
        <v>0</v>
      </c>
      <c r="O517" s="137">
        <f t="shared" si="186"/>
        <v>0</v>
      </c>
      <c r="P517" s="137">
        <f t="shared" si="186"/>
        <v>0</v>
      </c>
      <c r="Q517" s="137">
        <f t="shared" si="186"/>
        <v>0</v>
      </c>
      <c r="R517" s="22" t="s">
        <v>620</v>
      </c>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7"/>
      <c r="AY517" s="97"/>
      <c r="AZ517" s="97"/>
      <c r="BA517" s="97"/>
      <c r="BB517" s="97"/>
      <c r="BC517" s="97"/>
      <c r="BD517" s="97"/>
      <c r="BE517" s="97"/>
      <c r="BF517" s="97"/>
      <c r="BG517" s="97"/>
      <c r="BH517" s="97"/>
      <c r="BI517" s="97"/>
      <c r="BJ517" s="97"/>
      <c r="BK517" s="97"/>
      <c r="BL517" s="97"/>
      <c r="BM517" s="97"/>
      <c r="BN517" s="97"/>
      <c r="BO517" s="97"/>
      <c r="BP517" s="97"/>
      <c r="BQ517" s="97"/>
      <c r="BR517" s="97"/>
      <c r="BS517" s="97"/>
      <c r="BT517" s="97"/>
      <c r="BU517" s="97"/>
      <c r="BV517" s="97"/>
      <c r="BW517" s="97"/>
      <c r="BX517" s="97"/>
      <c r="BY517" s="97"/>
      <c r="BZ517" s="97"/>
      <c r="CA517" s="97"/>
      <c r="CB517" s="97"/>
      <c r="CC517" s="97"/>
      <c r="CD517" s="97"/>
      <c r="CE517" s="97"/>
      <c r="CF517" s="97"/>
      <c r="CG517" s="97"/>
      <c r="CH517" s="97"/>
      <c r="CI517" s="97"/>
      <c r="CJ517" s="97"/>
      <c r="CK517" s="97"/>
      <c r="CL517" s="97"/>
      <c r="CM517" s="97"/>
      <c r="CN517" s="97"/>
      <c r="CO517" s="97"/>
      <c r="CP517" s="97"/>
      <c r="CQ517" s="97"/>
    </row>
    <row r="518" spans="1:95" ht="15" customHeight="1" outlineLevel="1">
      <c r="A518" s="97"/>
      <c r="B518" s="104" t="s">
        <v>91</v>
      </c>
      <c r="C518" s="138"/>
      <c r="D518" s="137">
        <f t="shared" ref="D518:Q518" si="187">Forecast_without_75_78_with_xx*Without_75_78_with_xx_stroke_value</f>
        <v>0</v>
      </c>
      <c r="E518" s="137">
        <f t="shared" si="187"/>
        <v>0</v>
      </c>
      <c r="F518" s="137">
        <f t="shared" si="187"/>
        <v>0</v>
      </c>
      <c r="G518" s="137">
        <f t="shared" si="187"/>
        <v>0</v>
      </c>
      <c r="H518" s="137">
        <f t="shared" si="187"/>
        <v>0</v>
      </c>
      <c r="I518" s="137">
        <f t="shared" si="187"/>
        <v>0</v>
      </c>
      <c r="J518" s="137">
        <f t="shared" si="187"/>
        <v>0</v>
      </c>
      <c r="K518" s="137">
        <f t="shared" si="187"/>
        <v>0</v>
      </c>
      <c r="L518" s="137">
        <f t="shared" si="187"/>
        <v>0</v>
      </c>
      <c r="M518" s="137">
        <f t="shared" si="187"/>
        <v>0</v>
      </c>
      <c r="N518" s="137">
        <f t="shared" si="187"/>
        <v>0</v>
      </c>
      <c r="O518" s="137">
        <f t="shared" si="187"/>
        <v>0</v>
      </c>
      <c r="P518" s="137">
        <f t="shared" si="187"/>
        <v>0</v>
      </c>
      <c r="Q518" s="137">
        <f t="shared" si="187"/>
        <v>0</v>
      </c>
      <c r="R518" s="22" t="s">
        <v>621</v>
      </c>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7"/>
      <c r="AY518" s="97"/>
      <c r="AZ518" s="97"/>
      <c r="BA518" s="97"/>
      <c r="BB518" s="97"/>
      <c r="BC518" s="97"/>
      <c r="BD518" s="97"/>
      <c r="BE518" s="97"/>
      <c r="BF518" s="97"/>
      <c r="BG518" s="97"/>
      <c r="BH518" s="97"/>
      <c r="BI518" s="97"/>
      <c r="BJ518" s="97"/>
      <c r="BK518" s="97"/>
      <c r="BL518" s="97"/>
      <c r="BM518" s="97"/>
      <c r="BN518" s="97"/>
      <c r="BO518" s="97"/>
      <c r="BP518" s="97"/>
      <c r="BQ518" s="97"/>
      <c r="BR518" s="97"/>
      <c r="BS518" s="97"/>
      <c r="BT518" s="97"/>
      <c r="BU518" s="97"/>
      <c r="BV518" s="97"/>
      <c r="BW518" s="97"/>
      <c r="BX518" s="97"/>
      <c r="BY518" s="97"/>
      <c r="BZ518" s="97"/>
      <c r="CA518" s="97"/>
      <c r="CB518" s="97"/>
      <c r="CC518" s="97"/>
      <c r="CD518" s="97"/>
      <c r="CE518" s="97"/>
      <c r="CF518" s="97"/>
      <c r="CG518" s="97"/>
      <c r="CH518" s="97"/>
      <c r="CI518" s="97"/>
      <c r="CJ518" s="97"/>
      <c r="CK518" s="97"/>
      <c r="CL518" s="97"/>
      <c r="CM518" s="97"/>
      <c r="CN518" s="97"/>
      <c r="CO518" s="97"/>
      <c r="CP518" s="97"/>
      <c r="CQ518" s="97"/>
    </row>
    <row r="519" spans="1:95" ht="15" customHeight="1" outlineLevel="1">
      <c r="A519" s="97"/>
      <c r="B519" s="104" t="s">
        <v>92</v>
      </c>
      <c r="C519" s="138"/>
      <c r="D519" s="137">
        <f t="shared" ref="D519:Q519" si="188">Forecast_without_78_81_with_xx*Without_78_81_with_xx_stroke_value</f>
        <v>0</v>
      </c>
      <c r="E519" s="137">
        <f t="shared" si="188"/>
        <v>0</v>
      </c>
      <c r="F519" s="137">
        <f t="shared" si="188"/>
        <v>0</v>
      </c>
      <c r="G519" s="137">
        <f t="shared" si="188"/>
        <v>0</v>
      </c>
      <c r="H519" s="137">
        <f t="shared" si="188"/>
        <v>0</v>
      </c>
      <c r="I519" s="137">
        <f t="shared" si="188"/>
        <v>0</v>
      </c>
      <c r="J519" s="137">
        <f t="shared" si="188"/>
        <v>0</v>
      </c>
      <c r="K519" s="137">
        <f t="shared" si="188"/>
        <v>0</v>
      </c>
      <c r="L519" s="137">
        <f t="shared" si="188"/>
        <v>0</v>
      </c>
      <c r="M519" s="137">
        <f t="shared" si="188"/>
        <v>0</v>
      </c>
      <c r="N519" s="137">
        <f t="shared" si="188"/>
        <v>0</v>
      </c>
      <c r="O519" s="137">
        <f t="shared" si="188"/>
        <v>0</v>
      </c>
      <c r="P519" s="137">
        <f t="shared" si="188"/>
        <v>0</v>
      </c>
      <c r="Q519" s="137">
        <f t="shared" si="188"/>
        <v>0</v>
      </c>
      <c r="R519" s="22" t="s">
        <v>622</v>
      </c>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c r="CG519" s="97"/>
      <c r="CH519" s="97"/>
      <c r="CI519" s="97"/>
      <c r="CJ519" s="97"/>
      <c r="CK519" s="97"/>
      <c r="CL519" s="97"/>
      <c r="CM519" s="97"/>
      <c r="CN519" s="97"/>
      <c r="CO519" s="97"/>
      <c r="CP519" s="97"/>
      <c r="CQ519" s="97"/>
    </row>
    <row r="520" spans="1:95" ht="15" customHeight="1" outlineLevel="1">
      <c r="A520" s="97"/>
      <c r="B520" s="104" t="s">
        <v>93</v>
      </c>
      <c r="C520" s="139"/>
      <c r="D520" s="137">
        <f t="shared" ref="D520:Q520" si="189">Forecast_without_81_with_xx*Without_81_with_xx_stroke_value</f>
        <v>0</v>
      </c>
      <c r="E520" s="137">
        <f t="shared" si="189"/>
        <v>0</v>
      </c>
      <c r="F520" s="137">
        <f t="shared" si="189"/>
        <v>0</v>
      </c>
      <c r="G520" s="137">
        <f t="shared" si="189"/>
        <v>0</v>
      </c>
      <c r="H520" s="137">
        <f t="shared" si="189"/>
        <v>0</v>
      </c>
      <c r="I520" s="137">
        <f t="shared" si="189"/>
        <v>0</v>
      </c>
      <c r="J520" s="137">
        <f t="shared" si="189"/>
        <v>0</v>
      </c>
      <c r="K520" s="137">
        <f t="shared" si="189"/>
        <v>0</v>
      </c>
      <c r="L520" s="137">
        <f t="shared" si="189"/>
        <v>0</v>
      </c>
      <c r="M520" s="137">
        <f t="shared" si="189"/>
        <v>0</v>
      </c>
      <c r="N520" s="137">
        <f t="shared" si="189"/>
        <v>0</v>
      </c>
      <c r="O520" s="137">
        <f t="shared" si="189"/>
        <v>0</v>
      </c>
      <c r="P520" s="137">
        <f t="shared" si="189"/>
        <v>0</v>
      </c>
      <c r="Q520" s="137">
        <f t="shared" si="189"/>
        <v>0</v>
      </c>
      <c r="R520" s="22" t="s">
        <v>623</v>
      </c>
      <c r="S520" s="97"/>
      <c r="T520" s="97"/>
      <c r="U520" s="97"/>
      <c r="V520" s="97"/>
      <c r="W520" s="97"/>
      <c r="X520" s="97"/>
      <c r="Y520" s="97"/>
      <c r="Z520" s="97"/>
      <c r="AA520" s="97"/>
      <c r="AB520" s="97"/>
      <c r="AC520" s="97"/>
      <c r="AD520" s="97"/>
      <c r="AE520" s="97"/>
      <c r="AF520" s="97"/>
      <c r="AG520" s="97"/>
      <c r="AH520" s="97"/>
      <c r="AI520" s="97"/>
      <c r="AJ520" s="97"/>
      <c r="AK520" s="97"/>
      <c r="AL520" s="97"/>
      <c r="AM520" s="97"/>
      <c r="AN520" s="97"/>
      <c r="AO520" s="97"/>
      <c r="AP520" s="97"/>
      <c r="AQ520" s="97"/>
      <c r="AR520" s="97"/>
      <c r="AS520" s="97"/>
      <c r="AT520" s="97"/>
      <c r="AU520" s="97"/>
      <c r="AV520" s="97"/>
      <c r="AW520" s="97"/>
      <c r="AX520" s="97"/>
      <c r="AY520" s="97"/>
      <c r="AZ520" s="97"/>
      <c r="BA520" s="97"/>
      <c r="BB520" s="97"/>
      <c r="BC520" s="97"/>
      <c r="BD520" s="97"/>
      <c r="BE520" s="97"/>
      <c r="BF520" s="97"/>
      <c r="BG520" s="97"/>
      <c r="BH520" s="97"/>
      <c r="BI520" s="97"/>
      <c r="BJ520" s="97"/>
      <c r="BK520" s="97"/>
      <c r="BL520" s="97"/>
      <c r="BM520" s="97"/>
      <c r="BN520" s="97"/>
      <c r="BO520" s="97"/>
      <c r="BP520" s="97"/>
      <c r="BQ520" s="97"/>
      <c r="BR520" s="97"/>
      <c r="BS520" s="97"/>
      <c r="BT520" s="97"/>
      <c r="BU520" s="97"/>
      <c r="BV520" s="97"/>
      <c r="BW520" s="97"/>
      <c r="BX520" s="97"/>
      <c r="BY520" s="97"/>
      <c r="BZ520" s="97"/>
      <c r="CA520" s="97"/>
      <c r="CB520" s="97"/>
      <c r="CC520" s="97"/>
      <c r="CD520" s="97"/>
      <c r="CE520" s="97"/>
      <c r="CF520" s="97"/>
      <c r="CG520" s="97"/>
      <c r="CH520" s="97"/>
      <c r="CI520" s="97"/>
      <c r="CJ520" s="97"/>
      <c r="CK520" s="97"/>
      <c r="CL520" s="97"/>
      <c r="CM520" s="97"/>
      <c r="CN520" s="97"/>
      <c r="CO520" s="97"/>
      <c r="CP520" s="97"/>
      <c r="CQ520" s="97"/>
    </row>
    <row r="521" spans="1:95" ht="15" customHeight="1" outlineLevel="1">
      <c r="A521" s="97"/>
      <c r="B521" s="134"/>
      <c r="C521" s="134"/>
      <c r="D521" s="134"/>
      <c r="E521" s="134"/>
      <c r="F521" s="134"/>
      <c r="G521" s="134"/>
      <c r="H521" s="134"/>
      <c r="I521" s="134"/>
      <c r="J521" s="134"/>
      <c r="K521" s="134"/>
      <c r="L521" s="134"/>
      <c r="M521" s="134"/>
      <c r="N521" s="134"/>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c r="AN521" s="97"/>
      <c r="AO521" s="97"/>
      <c r="AP521" s="97"/>
      <c r="AQ521" s="97"/>
      <c r="AR521" s="97"/>
      <c r="AS521" s="97"/>
      <c r="AT521" s="97"/>
      <c r="AU521" s="97"/>
      <c r="AV521" s="97"/>
      <c r="AW521" s="97"/>
      <c r="AX521" s="97"/>
      <c r="AY521" s="97"/>
      <c r="AZ521" s="97"/>
      <c r="BA521" s="97"/>
      <c r="BB521" s="97"/>
      <c r="BC521" s="97"/>
      <c r="BD521" s="97"/>
      <c r="BE521" s="97"/>
      <c r="BF521" s="97"/>
      <c r="BG521" s="97"/>
      <c r="BH521" s="97"/>
      <c r="BI521" s="97"/>
      <c r="BJ521" s="97"/>
      <c r="BK521" s="97"/>
      <c r="BL521" s="97"/>
      <c r="BM521" s="97"/>
      <c r="BN521" s="97"/>
      <c r="BO521" s="97"/>
      <c r="BP521" s="97"/>
      <c r="BQ521" s="97"/>
      <c r="BR521" s="97"/>
      <c r="BS521" s="97"/>
      <c r="BT521" s="97"/>
      <c r="BU521" s="97"/>
      <c r="BV521" s="97"/>
      <c r="BW521" s="97"/>
      <c r="BX521" s="97"/>
      <c r="BY521" s="97"/>
      <c r="BZ521" s="97"/>
      <c r="CA521" s="97"/>
      <c r="CB521" s="97"/>
      <c r="CC521" s="97"/>
      <c r="CD521" s="97"/>
      <c r="CE521" s="97"/>
      <c r="CF521" s="97"/>
      <c r="CG521" s="97"/>
      <c r="CH521" s="97"/>
      <c r="CI521" s="97"/>
      <c r="CJ521" s="97"/>
      <c r="CK521" s="97"/>
      <c r="CL521" s="97"/>
      <c r="CM521" s="97"/>
      <c r="CN521" s="97"/>
      <c r="CO521" s="97"/>
      <c r="CP521" s="97"/>
      <c r="CQ521" s="97"/>
    </row>
    <row r="522" spans="1:95" ht="15" customHeight="1" outlineLevel="1">
      <c r="A522" s="97"/>
      <c r="B522" s="142" t="s">
        <v>624</v>
      </c>
      <c r="C522" s="141">
        <f>SUM(Forecast_without_45_with_xx_stroke_cost,Forecast_without_45_48_with_xx_stroke_cost,Forecast_without_48_51_with_xx_stroke_cost,Forecast_without_51_54_with_xx_stroke_cost,Forecast_without_54_57_with_xx_stroke_cost,Forecast_without_57_60_with_xx_stroke_cost,Forecast_without_60_63_with_xx_stroke_cost,Forecast_without_63_66_with_xx_stroke_cost,Forecast_without_66_69_with_xx_stroke_cost,Forecast_without_69_72_with_xx_stroke_cost,Forecast_without_72_75_with_xx_stroke_cost,Forecast_without_75_78_with_xx_stroke_cost,Forecast_without_78_81_with_xx_stroke_cost,Forecast_without_81_with_xx_stroke_cost,)</f>
        <v>0</v>
      </c>
      <c r="D522" s="24" t="s">
        <v>625</v>
      </c>
      <c r="E522" s="134"/>
      <c r="F522" s="134"/>
      <c r="G522" s="134"/>
      <c r="H522" s="134"/>
      <c r="I522" s="134"/>
      <c r="J522" s="134"/>
      <c r="K522" s="134"/>
      <c r="L522" s="134"/>
      <c r="M522" s="134"/>
      <c r="N522" s="134"/>
      <c r="O522" s="97"/>
      <c r="P522" s="97"/>
      <c r="Q522" s="97"/>
      <c r="R522" s="97"/>
      <c r="S522" s="97"/>
      <c r="T522" s="97"/>
      <c r="U522" s="97"/>
      <c r="V522" s="97"/>
      <c r="W522" s="97"/>
      <c r="X522" s="97"/>
      <c r="Y522" s="97"/>
      <c r="Z522" s="97"/>
      <c r="AA522" s="97"/>
      <c r="AB522" s="97"/>
      <c r="AC522" s="97"/>
      <c r="AD522" s="97"/>
      <c r="AE522" s="97"/>
      <c r="AF522" s="97"/>
      <c r="AG522" s="97"/>
      <c r="AH522" s="97"/>
      <c r="AI522" s="97"/>
      <c r="AJ522" s="97"/>
      <c r="AK522" s="97"/>
      <c r="AL522" s="97"/>
      <c r="AM522" s="97"/>
      <c r="AN522" s="97"/>
      <c r="AO522" s="97"/>
      <c r="AP522" s="97"/>
      <c r="AQ522" s="97"/>
      <c r="AR522" s="97"/>
      <c r="AS522" s="97"/>
      <c r="AT522" s="97"/>
      <c r="AU522" s="97"/>
      <c r="AV522" s="97"/>
      <c r="AW522" s="97"/>
      <c r="AX522" s="97"/>
      <c r="AY522" s="97"/>
      <c r="AZ522" s="97"/>
      <c r="BA522" s="97"/>
      <c r="BB522" s="97"/>
      <c r="BC522" s="97"/>
      <c r="BD522" s="97"/>
      <c r="BE522" s="97"/>
      <c r="BF522" s="97"/>
      <c r="BG522" s="97"/>
      <c r="BH522" s="97"/>
      <c r="BI522" s="97"/>
      <c r="BJ522" s="97"/>
      <c r="BK522" s="97"/>
      <c r="BL522" s="97"/>
      <c r="BM522" s="97"/>
      <c r="BN522" s="97"/>
      <c r="BO522" s="97"/>
      <c r="BP522" s="97"/>
      <c r="BQ522" s="97"/>
      <c r="BR522" s="97"/>
      <c r="BS522" s="97"/>
      <c r="BT522" s="97"/>
      <c r="BU522" s="97"/>
      <c r="BV522" s="97"/>
      <c r="BW522" s="97"/>
      <c r="BX522" s="97"/>
      <c r="BY522" s="97"/>
      <c r="BZ522" s="97"/>
      <c r="CA522" s="97"/>
      <c r="CB522" s="97"/>
      <c r="CC522" s="97"/>
      <c r="CD522" s="97"/>
      <c r="CE522" s="97"/>
      <c r="CF522" s="97"/>
      <c r="CG522" s="97"/>
      <c r="CH522" s="97"/>
      <c r="CI522" s="97"/>
      <c r="CJ522" s="97"/>
      <c r="CK522" s="97"/>
      <c r="CL522" s="97"/>
      <c r="CM522" s="97"/>
      <c r="CN522" s="97"/>
      <c r="CO522" s="97"/>
      <c r="CP522" s="97"/>
      <c r="CQ522" s="97"/>
    </row>
    <row r="523" spans="1:95" ht="15" customHeight="1" outlineLevel="1">
      <c r="A523" s="97"/>
      <c r="B523" s="134"/>
      <c r="C523" s="134"/>
      <c r="D523" s="24"/>
      <c r="E523" s="134"/>
      <c r="F523" s="134"/>
      <c r="G523" s="134"/>
      <c r="H523" s="134"/>
      <c r="I523" s="134"/>
      <c r="J523" s="134"/>
      <c r="K523" s="134"/>
      <c r="L523" s="134"/>
      <c r="M523" s="134"/>
      <c r="N523" s="134"/>
      <c r="O523" s="97"/>
      <c r="P523" s="97"/>
      <c r="Q523" s="97"/>
      <c r="R523" s="97"/>
      <c r="S523" s="97"/>
      <c r="T523" s="97"/>
      <c r="U523" s="97"/>
      <c r="V523" s="97"/>
      <c r="W523" s="97"/>
      <c r="X523" s="97"/>
      <c r="Y523" s="97"/>
      <c r="Z523" s="97"/>
      <c r="AA523" s="97"/>
      <c r="AB523" s="97"/>
      <c r="AC523" s="97"/>
      <c r="AD523" s="97"/>
      <c r="AE523" s="97"/>
      <c r="AF523" s="97"/>
      <c r="AG523" s="97"/>
      <c r="AH523" s="97"/>
      <c r="AI523" s="97"/>
      <c r="AJ523" s="97"/>
      <c r="AK523" s="97"/>
      <c r="AL523" s="97"/>
      <c r="AM523" s="97"/>
      <c r="AN523" s="97"/>
      <c r="AO523" s="97"/>
      <c r="AP523" s="97"/>
      <c r="AQ523" s="97"/>
      <c r="AR523" s="97"/>
      <c r="AS523" s="97"/>
      <c r="AT523" s="97"/>
      <c r="AU523" s="97"/>
      <c r="AV523" s="97"/>
      <c r="AW523" s="97"/>
      <c r="AX523" s="97"/>
      <c r="AY523" s="97"/>
      <c r="AZ523" s="97"/>
      <c r="BA523" s="97"/>
      <c r="BB523" s="97"/>
      <c r="BC523" s="97"/>
      <c r="BD523" s="97"/>
      <c r="BE523" s="97"/>
      <c r="BF523" s="97"/>
      <c r="BG523" s="97"/>
      <c r="BH523" s="97"/>
      <c r="BI523" s="97"/>
      <c r="BJ523" s="97"/>
      <c r="BK523" s="97"/>
      <c r="BL523" s="97"/>
      <c r="BM523" s="97"/>
      <c r="BN523" s="97"/>
      <c r="BO523" s="97"/>
      <c r="BP523" s="97"/>
      <c r="BQ523" s="97"/>
      <c r="BR523" s="97"/>
      <c r="BS523" s="97"/>
      <c r="BT523" s="97"/>
      <c r="BU523" s="97"/>
      <c r="BV523" s="97"/>
      <c r="BW523" s="97"/>
      <c r="BX523" s="97"/>
      <c r="BY523" s="97"/>
      <c r="BZ523" s="97"/>
      <c r="CA523" s="97"/>
      <c r="CB523" s="97"/>
      <c r="CC523" s="97"/>
      <c r="CD523" s="97"/>
      <c r="CE523" s="97"/>
      <c r="CF523" s="97"/>
      <c r="CG523" s="97"/>
      <c r="CH523" s="97"/>
      <c r="CI523" s="97"/>
      <c r="CJ523" s="97"/>
      <c r="CK523" s="97"/>
      <c r="CL523" s="97"/>
      <c r="CM523" s="97"/>
      <c r="CN523" s="97"/>
      <c r="CO523" s="97"/>
      <c r="CP523" s="97"/>
      <c r="CQ523" s="97"/>
    </row>
    <row r="524" spans="1:95" ht="15" customHeight="1" outlineLevel="1">
      <c r="A524" s="97"/>
      <c r="B524" s="134" t="s">
        <v>626</v>
      </c>
      <c r="C524" s="141">
        <f>Forecast_year_stroke_cost-Opening_year_stroke_cost</f>
        <v>0</v>
      </c>
      <c r="D524" s="24" t="s">
        <v>627</v>
      </c>
      <c r="E524" s="134"/>
      <c r="F524" s="134"/>
      <c r="G524" s="134"/>
      <c r="H524" s="134"/>
      <c r="I524" s="134"/>
      <c r="J524" s="134"/>
      <c r="K524" s="134"/>
      <c r="L524" s="134"/>
      <c r="M524" s="134"/>
      <c r="N524" s="134"/>
      <c r="O524" s="97"/>
      <c r="P524" s="97"/>
      <c r="Q524" s="97"/>
      <c r="R524" s="97"/>
      <c r="S524" s="97"/>
      <c r="T524" s="97"/>
      <c r="U524" s="97"/>
      <c r="V524" s="97"/>
      <c r="W524" s="97"/>
      <c r="X524" s="97"/>
      <c r="Y524" s="97"/>
      <c r="Z524" s="97"/>
      <c r="AA524" s="97"/>
      <c r="AB524" s="97"/>
      <c r="AC524" s="97"/>
      <c r="AD524" s="97"/>
      <c r="AE524" s="97"/>
      <c r="AF524" s="97"/>
      <c r="AG524" s="97"/>
      <c r="AH524" s="97"/>
      <c r="AI524" s="97"/>
      <c r="AJ524" s="97"/>
      <c r="AK524" s="97"/>
      <c r="AL524" s="97"/>
      <c r="AM524" s="97"/>
      <c r="AN524" s="97"/>
      <c r="AO524" s="97"/>
      <c r="AP524" s="97"/>
      <c r="AQ524" s="97"/>
      <c r="AR524" s="97"/>
      <c r="AS524" s="97"/>
      <c r="AT524" s="97"/>
      <c r="AU524" s="97"/>
      <c r="AV524" s="97"/>
      <c r="AW524" s="97"/>
      <c r="AX524" s="97"/>
      <c r="AY524" s="97"/>
      <c r="AZ524" s="97"/>
      <c r="BA524" s="97"/>
      <c r="BB524" s="97"/>
      <c r="BC524" s="97"/>
      <c r="BD524" s="97"/>
      <c r="BE524" s="97"/>
      <c r="BF524" s="97"/>
      <c r="BG524" s="97"/>
      <c r="BH524" s="97"/>
      <c r="BI524" s="97"/>
      <c r="BJ524" s="97"/>
      <c r="BK524" s="97"/>
      <c r="BL524" s="97"/>
      <c r="BM524" s="97"/>
      <c r="BN524" s="97"/>
      <c r="BO524" s="97"/>
      <c r="BP524" s="97"/>
      <c r="BQ524" s="97"/>
      <c r="BR524" s="97"/>
      <c r="BS524" s="97"/>
      <c r="BT524" s="97"/>
      <c r="BU524" s="97"/>
      <c r="BV524" s="97"/>
      <c r="BW524" s="97"/>
      <c r="BX524" s="97"/>
      <c r="BY524" s="97"/>
      <c r="BZ524" s="97"/>
      <c r="CA524" s="97"/>
      <c r="CB524" s="97"/>
      <c r="CC524" s="97"/>
      <c r="CD524" s="97"/>
      <c r="CE524" s="97"/>
      <c r="CF524" s="97"/>
      <c r="CG524" s="97"/>
      <c r="CH524" s="97"/>
      <c r="CI524" s="97"/>
      <c r="CJ524" s="97"/>
      <c r="CK524" s="97"/>
      <c r="CL524" s="97"/>
      <c r="CM524" s="97"/>
      <c r="CN524" s="97"/>
      <c r="CO524" s="97"/>
      <c r="CP524" s="97"/>
      <c r="CQ524" s="97"/>
    </row>
    <row r="525" spans="1:95" ht="14.45" outlineLevel="1">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97"/>
      <c r="AL525" s="97"/>
      <c r="AM525" s="97"/>
      <c r="AN525" s="97"/>
      <c r="AO525" s="97"/>
      <c r="AP525" s="97"/>
      <c r="AQ525" s="97"/>
      <c r="AR525" s="97"/>
      <c r="AS525" s="97"/>
      <c r="AT525" s="97"/>
      <c r="AU525" s="97"/>
      <c r="AV525" s="97"/>
      <c r="AW525" s="97"/>
      <c r="AX525" s="97"/>
      <c r="AY525" s="97"/>
      <c r="AZ525" s="97"/>
      <c r="BA525" s="97"/>
      <c r="BB525" s="97"/>
      <c r="BC525" s="97"/>
      <c r="BD525" s="97"/>
      <c r="BE525" s="97"/>
      <c r="BF525" s="97"/>
      <c r="BG525" s="97"/>
      <c r="BH525" s="97"/>
      <c r="BI525" s="97"/>
      <c r="BJ525" s="97"/>
      <c r="BK525" s="97"/>
      <c r="BL525" s="97"/>
      <c r="BM525" s="97"/>
      <c r="BN525" s="97"/>
      <c r="BO525" s="97"/>
      <c r="BP525" s="97"/>
      <c r="BQ525" s="97"/>
      <c r="BR525" s="97"/>
      <c r="BS525" s="97"/>
      <c r="BT525" s="97"/>
      <c r="BU525" s="97"/>
      <c r="BV525" s="97"/>
      <c r="BW525" s="97"/>
      <c r="BX525" s="97"/>
      <c r="BY525" s="97"/>
      <c r="BZ525" s="97"/>
      <c r="CA525" s="97"/>
      <c r="CB525" s="97"/>
      <c r="CC525" s="97"/>
      <c r="CD525" s="97"/>
      <c r="CE525" s="97"/>
      <c r="CF525" s="97"/>
      <c r="CG525" s="97"/>
      <c r="CH525" s="97"/>
      <c r="CI525" s="97"/>
      <c r="CJ525" s="97"/>
      <c r="CK525" s="97"/>
      <c r="CL525" s="97"/>
      <c r="CM525" s="97"/>
      <c r="CN525" s="97"/>
      <c r="CO525" s="97"/>
      <c r="CP525" s="97"/>
      <c r="CQ525" s="97"/>
    </row>
    <row r="526" spans="1:95" s="5" customFormat="1" ht="15.6" outlineLevel="1">
      <c r="B526" s="5" t="s">
        <v>628</v>
      </c>
    </row>
    <row r="527" spans="1:95" ht="15" customHeight="1" outlineLevel="1">
      <c r="A527" s="97"/>
      <c r="B527" s="134"/>
      <c r="C527" s="134"/>
      <c r="D527" s="134"/>
      <c r="E527" s="134"/>
      <c r="F527" s="134"/>
      <c r="G527" s="134"/>
      <c r="H527" s="134"/>
      <c r="I527" s="134"/>
      <c r="J527" s="134"/>
      <c r="K527" s="134"/>
      <c r="L527" s="134"/>
      <c r="M527" s="134"/>
      <c r="N527" s="134"/>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c r="AN527" s="97"/>
      <c r="AO527" s="97"/>
      <c r="AP527" s="97"/>
      <c r="AQ527" s="97"/>
      <c r="AR527" s="97"/>
      <c r="AS527" s="97"/>
      <c r="AT527" s="97"/>
      <c r="AU527" s="97"/>
      <c r="AV527" s="97"/>
      <c r="AW527" s="97"/>
      <c r="AX527" s="97"/>
      <c r="AY527" s="97"/>
      <c r="AZ527" s="97"/>
      <c r="BA527" s="97"/>
      <c r="BB527" s="97"/>
      <c r="BC527" s="97"/>
      <c r="BD527" s="97"/>
      <c r="BE527" s="97"/>
      <c r="BF527" s="97"/>
      <c r="BG527" s="97"/>
      <c r="BH527" s="97"/>
      <c r="BI527" s="97"/>
      <c r="BJ527" s="97"/>
      <c r="BK527" s="97"/>
      <c r="BL527" s="97"/>
      <c r="BM527" s="97"/>
      <c r="BN527" s="97"/>
      <c r="BO527" s="97"/>
      <c r="BP527" s="97"/>
      <c r="BQ527" s="97"/>
      <c r="BR527" s="97"/>
      <c r="BS527" s="97"/>
      <c r="BT527" s="97"/>
      <c r="BU527" s="97"/>
      <c r="BV527" s="97"/>
      <c r="BW527" s="97"/>
      <c r="BX527" s="97"/>
      <c r="BY527" s="97"/>
      <c r="BZ527" s="97"/>
      <c r="CA527" s="97"/>
      <c r="CB527" s="97"/>
      <c r="CC527" s="97"/>
      <c r="CD527" s="97"/>
      <c r="CE527" s="97"/>
      <c r="CF527" s="97"/>
      <c r="CG527" s="97"/>
      <c r="CH527" s="97"/>
      <c r="CI527" s="97"/>
      <c r="CJ527" s="97"/>
      <c r="CK527" s="97"/>
      <c r="CL527" s="97"/>
      <c r="CM527" s="97"/>
      <c r="CN527" s="97"/>
      <c r="CO527" s="97"/>
      <c r="CP527" s="97"/>
      <c r="CQ527" s="97"/>
    </row>
    <row r="528" spans="1:95" ht="15" customHeight="1" outlineLevel="1">
      <c r="A528" s="97"/>
      <c r="B528" s="122"/>
      <c r="C528" s="60" t="s">
        <v>79</v>
      </c>
      <c r="D528" s="61" t="s">
        <v>80</v>
      </c>
      <c r="E528" s="104" t="s">
        <v>81</v>
      </c>
      <c r="F528" s="104" t="s">
        <v>82</v>
      </c>
      <c r="G528" s="104" t="s">
        <v>83</v>
      </c>
      <c r="H528" s="104" t="s">
        <v>84</v>
      </c>
      <c r="I528" s="104" t="s">
        <v>85</v>
      </c>
      <c r="J528" s="104" t="s">
        <v>86</v>
      </c>
      <c r="K528" s="104" t="s">
        <v>87</v>
      </c>
      <c r="L528" s="104" t="s">
        <v>88</v>
      </c>
      <c r="M528" s="104" t="s">
        <v>89</v>
      </c>
      <c r="N528" s="104" t="s">
        <v>90</v>
      </c>
      <c r="O528" s="104" t="s">
        <v>91</v>
      </c>
      <c r="P528" s="104" t="s">
        <v>92</v>
      </c>
      <c r="Q528" s="104" t="s">
        <v>93</v>
      </c>
      <c r="R528" s="97"/>
      <c r="S528" s="97"/>
      <c r="T528" s="97"/>
      <c r="U528" s="97"/>
      <c r="V528" s="97"/>
      <c r="W528" s="97"/>
      <c r="X528" s="97"/>
      <c r="Y528" s="97"/>
      <c r="Z528" s="97"/>
      <c r="AA528" s="97"/>
      <c r="AB528" s="97"/>
      <c r="AC528" s="97"/>
      <c r="AD528" s="97"/>
      <c r="AE528" s="97"/>
      <c r="AF528" s="97"/>
      <c r="AG528" s="97"/>
      <c r="AH528" s="97"/>
      <c r="AI528" s="97"/>
      <c r="AJ528" s="97"/>
      <c r="AK528" s="97"/>
      <c r="AL528" s="97"/>
      <c r="AM528" s="97"/>
      <c r="AN528" s="97"/>
      <c r="AO528" s="97"/>
      <c r="AP528" s="97"/>
      <c r="AQ528" s="97"/>
      <c r="AR528" s="97"/>
      <c r="AS528" s="97"/>
      <c r="AT528" s="97"/>
      <c r="AU528" s="97"/>
      <c r="AV528" s="97"/>
      <c r="AW528" s="97"/>
      <c r="AX528" s="97"/>
      <c r="AY528" s="97"/>
      <c r="AZ528" s="97"/>
      <c r="BA528" s="97"/>
      <c r="BB528" s="97"/>
      <c r="BC528" s="97"/>
      <c r="BD528" s="97"/>
      <c r="BE528" s="97"/>
      <c r="BF528" s="97"/>
      <c r="BG528" s="97"/>
      <c r="BH528" s="97"/>
      <c r="BI528" s="97"/>
      <c r="BJ528" s="97"/>
      <c r="BK528" s="97"/>
      <c r="BL528" s="97"/>
      <c r="BM528" s="97"/>
      <c r="BN528" s="97"/>
      <c r="BO528" s="97"/>
      <c r="BP528" s="97"/>
      <c r="BQ528" s="97"/>
      <c r="BR528" s="97"/>
      <c r="BS528" s="97"/>
      <c r="BT528" s="97"/>
      <c r="BU528" s="97"/>
      <c r="BV528" s="97"/>
      <c r="BW528" s="97"/>
      <c r="BX528" s="97"/>
      <c r="BY528" s="97"/>
      <c r="BZ528" s="97"/>
      <c r="CA528" s="97"/>
      <c r="CB528" s="97"/>
      <c r="CC528" s="97"/>
      <c r="CD528" s="97"/>
      <c r="CE528" s="97"/>
      <c r="CF528" s="97"/>
      <c r="CG528" s="97"/>
      <c r="CH528" s="97"/>
      <c r="CI528" s="97"/>
      <c r="CJ528" s="97"/>
      <c r="CK528" s="97"/>
      <c r="CL528" s="97"/>
      <c r="CM528" s="97"/>
      <c r="CN528" s="97"/>
      <c r="CO528" s="97"/>
      <c r="CP528" s="97"/>
      <c r="CQ528" s="97"/>
    </row>
    <row r="529" spans="1:95" ht="15" customHeight="1" outlineLevel="1">
      <c r="A529" s="97"/>
      <c r="B529" s="60" t="s">
        <v>94</v>
      </c>
      <c r="C529" s="130"/>
      <c r="D529" s="135"/>
      <c r="E529" s="129"/>
      <c r="F529" s="129"/>
      <c r="G529" s="129"/>
      <c r="H529" s="129"/>
      <c r="I529" s="129"/>
      <c r="J529" s="129"/>
      <c r="K529" s="129"/>
      <c r="L529" s="129"/>
      <c r="M529" s="129"/>
      <c r="N529" s="129"/>
      <c r="O529" s="129"/>
      <c r="P529" s="129"/>
      <c r="Q529" s="130"/>
      <c r="R529" s="97"/>
      <c r="S529" s="97"/>
      <c r="T529" s="97"/>
      <c r="U529" s="97"/>
      <c r="V529" s="97"/>
      <c r="W529" s="97"/>
      <c r="X529" s="97"/>
      <c r="Y529" s="97"/>
      <c r="Z529" s="97"/>
      <c r="AA529" s="97"/>
      <c r="AB529" s="97"/>
      <c r="AC529" s="97"/>
      <c r="AD529" s="97"/>
      <c r="AE529" s="97"/>
      <c r="AF529" s="97"/>
      <c r="AG529" s="97"/>
      <c r="AH529" s="97"/>
      <c r="AI529" s="97"/>
      <c r="AJ529" s="97"/>
      <c r="AK529" s="97"/>
      <c r="AL529" s="97"/>
      <c r="AM529" s="97"/>
      <c r="AN529" s="97"/>
      <c r="AO529" s="97"/>
      <c r="AP529" s="97"/>
      <c r="AQ529" s="97"/>
      <c r="AR529" s="97"/>
      <c r="AS529" s="97"/>
      <c r="AT529" s="97"/>
      <c r="AU529" s="97"/>
      <c r="AV529" s="97"/>
      <c r="AW529" s="97"/>
      <c r="AX529" s="97"/>
      <c r="AY529" s="97"/>
      <c r="AZ529" s="97"/>
      <c r="BA529" s="97"/>
      <c r="BB529" s="97"/>
      <c r="BC529" s="97"/>
      <c r="BD529" s="97"/>
      <c r="BE529" s="97"/>
      <c r="BF529" s="97"/>
      <c r="BG529" s="97"/>
      <c r="BH529" s="97"/>
      <c r="BI529" s="97"/>
      <c r="BJ529" s="97"/>
      <c r="BK529" s="97"/>
      <c r="BL529" s="97"/>
      <c r="BM529" s="97"/>
      <c r="BN529" s="97"/>
      <c r="BO529" s="97"/>
      <c r="BP529" s="97"/>
      <c r="BQ529" s="97"/>
      <c r="BR529" s="97"/>
      <c r="BS529" s="97"/>
      <c r="BT529" s="97"/>
      <c r="BU529" s="97"/>
      <c r="BV529" s="97"/>
      <c r="BW529" s="97"/>
      <c r="BX529" s="97"/>
      <c r="BY529" s="97"/>
      <c r="BZ529" s="97"/>
      <c r="CA529" s="97"/>
      <c r="CB529" s="97"/>
      <c r="CC529" s="97"/>
      <c r="CD529" s="97"/>
      <c r="CE529" s="97"/>
      <c r="CF529" s="97"/>
      <c r="CG529" s="97"/>
      <c r="CH529" s="97"/>
      <c r="CI529" s="97"/>
      <c r="CJ529" s="97"/>
      <c r="CK529" s="97"/>
      <c r="CL529" s="97"/>
      <c r="CM529" s="97"/>
      <c r="CN529" s="97"/>
      <c r="CO529" s="97"/>
      <c r="CP529" s="97"/>
      <c r="CQ529" s="97"/>
    </row>
    <row r="530" spans="1:95" ht="15" customHeight="1" outlineLevel="1">
      <c r="A530" s="97"/>
      <c r="B530" s="61" t="s">
        <v>80</v>
      </c>
      <c r="C530" s="136"/>
      <c r="D530" s="137">
        <f t="shared" ref="D530:Q530" si="190">Opening_without_45_with_xx*Without_45_with_xx_dementia_value</f>
        <v>0</v>
      </c>
      <c r="E530" s="137">
        <f t="shared" si="190"/>
        <v>0</v>
      </c>
      <c r="F530" s="137">
        <f t="shared" si="190"/>
        <v>0</v>
      </c>
      <c r="G530" s="137">
        <f t="shared" si="190"/>
        <v>0</v>
      </c>
      <c r="H530" s="137">
        <f t="shared" si="190"/>
        <v>0</v>
      </c>
      <c r="I530" s="137">
        <f t="shared" si="190"/>
        <v>0</v>
      </c>
      <c r="J530" s="137">
        <f t="shared" si="190"/>
        <v>0</v>
      </c>
      <c r="K530" s="137">
        <f t="shared" si="190"/>
        <v>0</v>
      </c>
      <c r="L530" s="137">
        <f t="shared" si="190"/>
        <v>0</v>
      </c>
      <c r="M530" s="137">
        <f t="shared" si="190"/>
        <v>0</v>
      </c>
      <c r="N530" s="137">
        <f t="shared" si="190"/>
        <v>0</v>
      </c>
      <c r="O530" s="137">
        <f t="shared" si="190"/>
        <v>0</v>
      </c>
      <c r="P530" s="137">
        <f t="shared" si="190"/>
        <v>0</v>
      </c>
      <c r="Q530" s="137">
        <f t="shared" si="190"/>
        <v>0</v>
      </c>
      <c r="R530" s="22" t="s">
        <v>629</v>
      </c>
      <c r="S530" s="97"/>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97"/>
      <c r="AR530" s="97"/>
      <c r="AS530" s="97"/>
      <c r="AT530" s="97"/>
      <c r="AU530" s="97"/>
      <c r="AV530" s="97"/>
      <c r="AW530" s="97"/>
      <c r="AX530" s="97"/>
      <c r="AY530" s="97"/>
      <c r="AZ530" s="97"/>
      <c r="BA530" s="97"/>
      <c r="BB530" s="97"/>
      <c r="BC530" s="97"/>
      <c r="BD530" s="97"/>
      <c r="BE530" s="97"/>
      <c r="BF530" s="97"/>
      <c r="BG530" s="97"/>
      <c r="BH530" s="97"/>
      <c r="BI530" s="97"/>
      <c r="BJ530" s="97"/>
      <c r="BK530" s="97"/>
      <c r="BL530" s="97"/>
      <c r="BM530" s="97"/>
      <c r="BN530" s="97"/>
      <c r="BO530" s="97"/>
      <c r="BP530" s="97"/>
      <c r="BQ530" s="97"/>
      <c r="BR530" s="97"/>
      <c r="BS530" s="97"/>
      <c r="BT530" s="97"/>
      <c r="BU530" s="97"/>
      <c r="BV530" s="97"/>
      <c r="BW530" s="97"/>
      <c r="BX530" s="97"/>
      <c r="BY530" s="97"/>
      <c r="BZ530" s="97"/>
      <c r="CA530" s="97"/>
      <c r="CB530" s="97"/>
      <c r="CC530" s="97"/>
      <c r="CD530" s="97"/>
      <c r="CE530" s="97"/>
      <c r="CF530" s="97"/>
      <c r="CG530" s="97"/>
      <c r="CH530" s="97"/>
      <c r="CI530" s="97"/>
      <c r="CJ530" s="97"/>
      <c r="CK530" s="97"/>
      <c r="CL530" s="97"/>
      <c r="CM530" s="97"/>
      <c r="CN530" s="97"/>
      <c r="CO530" s="97"/>
      <c r="CP530" s="97"/>
      <c r="CQ530" s="97"/>
    </row>
    <row r="531" spans="1:95" ht="15" customHeight="1" outlineLevel="1">
      <c r="A531" s="97"/>
      <c r="B531" s="104" t="s">
        <v>81</v>
      </c>
      <c r="C531" s="138"/>
      <c r="D531" s="137">
        <f t="shared" ref="D531:Q531" si="191">Opening_without_45_48_with_xx*Without_45_48_with_xx_dementia_value</f>
        <v>0</v>
      </c>
      <c r="E531" s="137">
        <f t="shared" si="191"/>
        <v>0</v>
      </c>
      <c r="F531" s="137">
        <f t="shared" si="191"/>
        <v>0</v>
      </c>
      <c r="G531" s="137">
        <f t="shared" si="191"/>
        <v>0</v>
      </c>
      <c r="H531" s="137">
        <f t="shared" si="191"/>
        <v>0</v>
      </c>
      <c r="I531" s="137">
        <f t="shared" si="191"/>
        <v>0</v>
      </c>
      <c r="J531" s="137">
        <f t="shared" si="191"/>
        <v>0</v>
      </c>
      <c r="K531" s="137">
        <f t="shared" si="191"/>
        <v>0</v>
      </c>
      <c r="L531" s="137">
        <f t="shared" si="191"/>
        <v>0</v>
      </c>
      <c r="M531" s="137">
        <f t="shared" si="191"/>
        <v>0</v>
      </c>
      <c r="N531" s="137">
        <f t="shared" si="191"/>
        <v>0</v>
      </c>
      <c r="O531" s="137">
        <f t="shared" si="191"/>
        <v>0</v>
      </c>
      <c r="P531" s="137">
        <f t="shared" si="191"/>
        <v>0</v>
      </c>
      <c r="Q531" s="137">
        <f t="shared" si="191"/>
        <v>0</v>
      </c>
      <c r="R531" s="22" t="s">
        <v>630</v>
      </c>
      <c r="S531" s="97"/>
      <c r="T531" s="97"/>
      <c r="U531" s="97"/>
      <c r="V531" s="97"/>
      <c r="W531" s="97"/>
      <c r="X531" s="97"/>
      <c r="Y531" s="97"/>
      <c r="Z531" s="97"/>
      <c r="AA531" s="97"/>
      <c r="AB531" s="97"/>
      <c r="AC531" s="97"/>
      <c r="AD531" s="97"/>
      <c r="AE531" s="97"/>
      <c r="AF531" s="97"/>
      <c r="AG531" s="97"/>
      <c r="AH531" s="97"/>
      <c r="AI531" s="97"/>
      <c r="AJ531" s="97"/>
      <c r="AK531" s="97"/>
      <c r="AL531" s="97"/>
      <c r="AM531" s="97"/>
      <c r="AN531" s="97"/>
      <c r="AO531" s="97"/>
      <c r="AP531" s="97"/>
      <c r="AQ531" s="97"/>
      <c r="AR531" s="97"/>
      <c r="AS531" s="97"/>
      <c r="AT531" s="97"/>
      <c r="AU531" s="97"/>
      <c r="AV531" s="97"/>
      <c r="AW531" s="97"/>
      <c r="AX531" s="97"/>
      <c r="AY531" s="97"/>
      <c r="AZ531" s="97"/>
      <c r="BA531" s="97"/>
      <c r="BB531" s="97"/>
      <c r="BC531" s="97"/>
      <c r="BD531" s="97"/>
      <c r="BE531" s="97"/>
      <c r="BF531" s="97"/>
      <c r="BG531" s="97"/>
      <c r="BH531" s="97"/>
      <c r="BI531" s="97"/>
      <c r="BJ531" s="97"/>
      <c r="BK531" s="97"/>
      <c r="BL531" s="97"/>
      <c r="BM531" s="97"/>
      <c r="BN531" s="97"/>
      <c r="BO531" s="97"/>
      <c r="BP531" s="97"/>
      <c r="BQ531" s="97"/>
      <c r="BR531" s="97"/>
      <c r="BS531" s="97"/>
      <c r="BT531" s="97"/>
      <c r="BU531" s="97"/>
      <c r="BV531" s="97"/>
      <c r="BW531" s="97"/>
      <c r="BX531" s="97"/>
      <c r="BY531" s="97"/>
      <c r="BZ531" s="97"/>
      <c r="CA531" s="97"/>
      <c r="CB531" s="97"/>
      <c r="CC531" s="97"/>
      <c r="CD531" s="97"/>
      <c r="CE531" s="97"/>
      <c r="CF531" s="97"/>
      <c r="CG531" s="97"/>
      <c r="CH531" s="97"/>
      <c r="CI531" s="97"/>
      <c r="CJ531" s="97"/>
      <c r="CK531" s="97"/>
      <c r="CL531" s="97"/>
      <c r="CM531" s="97"/>
      <c r="CN531" s="97"/>
      <c r="CO531" s="97"/>
      <c r="CP531" s="97"/>
      <c r="CQ531" s="97"/>
    </row>
    <row r="532" spans="1:95" ht="15" customHeight="1" outlineLevel="1">
      <c r="A532" s="97"/>
      <c r="B532" s="104" t="s">
        <v>82</v>
      </c>
      <c r="C532" s="138"/>
      <c r="D532" s="137">
        <f t="shared" ref="D532:Q532" si="192">Opening_without_48_51_with_xx*Without_48_51_with_xx_dementia_value</f>
        <v>0</v>
      </c>
      <c r="E532" s="137">
        <f t="shared" si="192"/>
        <v>0</v>
      </c>
      <c r="F532" s="137">
        <f t="shared" si="192"/>
        <v>0</v>
      </c>
      <c r="G532" s="137">
        <f t="shared" si="192"/>
        <v>0</v>
      </c>
      <c r="H532" s="137">
        <f t="shared" si="192"/>
        <v>0</v>
      </c>
      <c r="I532" s="137">
        <f t="shared" si="192"/>
        <v>0</v>
      </c>
      <c r="J532" s="137">
        <f t="shared" si="192"/>
        <v>0</v>
      </c>
      <c r="K532" s="137">
        <f t="shared" si="192"/>
        <v>0</v>
      </c>
      <c r="L532" s="137">
        <f t="shared" si="192"/>
        <v>0</v>
      </c>
      <c r="M532" s="137">
        <f t="shared" si="192"/>
        <v>0</v>
      </c>
      <c r="N532" s="137">
        <f t="shared" si="192"/>
        <v>0</v>
      </c>
      <c r="O532" s="137">
        <f t="shared" si="192"/>
        <v>0</v>
      </c>
      <c r="P532" s="137">
        <f t="shared" si="192"/>
        <v>0</v>
      </c>
      <c r="Q532" s="137">
        <f t="shared" si="192"/>
        <v>0</v>
      </c>
      <c r="R532" s="22" t="s">
        <v>631</v>
      </c>
      <c r="S532" s="97"/>
      <c r="T532" s="97"/>
      <c r="U532" s="97"/>
      <c r="V532" s="97"/>
      <c r="W532" s="97"/>
      <c r="X532" s="97"/>
      <c r="Y532" s="97"/>
      <c r="Z532" s="97"/>
      <c r="AA532" s="97"/>
      <c r="AB532" s="97"/>
      <c r="AC532" s="97"/>
      <c r="AD532" s="97"/>
      <c r="AE532" s="97"/>
      <c r="AF532" s="97"/>
      <c r="AG532" s="97"/>
      <c r="AH532" s="97"/>
      <c r="AI532" s="97"/>
      <c r="AJ532" s="97"/>
      <c r="AK532" s="97"/>
      <c r="AL532" s="97"/>
      <c r="AM532" s="97"/>
      <c r="AN532" s="97"/>
      <c r="AO532" s="97"/>
      <c r="AP532" s="97"/>
      <c r="AQ532" s="97"/>
      <c r="AR532" s="97"/>
      <c r="AS532" s="97"/>
      <c r="AT532" s="97"/>
      <c r="AU532" s="97"/>
      <c r="AV532" s="97"/>
      <c r="AW532" s="97"/>
      <c r="AX532" s="97"/>
      <c r="AY532" s="97"/>
      <c r="AZ532" s="97"/>
      <c r="BA532" s="97"/>
      <c r="BB532" s="97"/>
      <c r="BC532" s="97"/>
      <c r="BD532" s="97"/>
      <c r="BE532" s="97"/>
      <c r="BF532" s="97"/>
      <c r="BG532" s="97"/>
      <c r="BH532" s="97"/>
      <c r="BI532" s="97"/>
      <c r="BJ532" s="97"/>
      <c r="BK532" s="97"/>
      <c r="BL532" s="97"/>
      <c r="BM532" s="97"/>
      <c r="BN532" s="97"/>
      <c r="BO532" s="97"/>
      <c r="BP532" s="97"/>
      <c r="BQ532" s="97"/>
      <c r="BR532" s="97"/>
      <c r="BS532" s="97"/>
      <c r="BT532" s="97"/>
      <c r="BU532" s="97"/>
      <c r="BV532" s="97"/>
      <c r="BW532" s="97"/>
      <c r="BX532" s="97"/>
      <c r="BY532" s="97"/>
      <c r="BZ532" s="97"/>
      <c r="CA532" s="97"/>
      <c r="CB532" s="97"/>
      <c r="CC532" s="97"/>
      <c r="CD532" s="97"/>
      <c r="CE532" s="97"/>
      <c r="CF532" s="97"/>
      <c r="CG532" s="97"/>
      <c r="CH532" s="97"/>
      <c r="CI532" s="97"/>
      <c r="CJ532" s="97"/>
      <c r="CK532" s="97"/>
      <c r="CL532" s="97"/>
      <c r="CM532" s="97"/>
      <c r="CN532" s="97"/>
      <c r="CO532" s="97"/>
      <c r="CP532" s="97"/>
      <c r="CQ532" s="97"/>
    </row>
    <row r="533" spans="1:95" ht="15" customHeight="1" outlineLevel="1">
      <c r="A533" s="97"/>
      <c r="B533" s="104" t="s">
        <v>83</v>
      </c>
      <c r="C533" s="138"/>
      <c r="D533" s="137">
        <f t="shared" ref="D533:Q533" si="193">Opening_without_51_54_with_xx*Without_51_54_with_xx_dementia_value</f>
        <v>0</v>
      </c>
      <c r="E533" s="137">
        <f t="shared" si="193"/>
        <v>0</v>
      </c>
      <c r="F533" s="137">
        <f t="shared" si="193"/>
        <v>0</v>
      </c>
      <c r="G533" s="137">
        <f t="shared" si="193"/>
        <v>0</v>
      </c>
      <c r="H533" s="137">
        <f t="shared" si="193"/>
        <v>0</v>
      </c>
      <c r="I533" s="137">
        <f t="shared" si="193"/>
        <v>0</v>
      </c>
      <c r="J533" s="137">
        <f t="shared" si="193"/>
        <v>0</v>
      </c>
      <c r="K533" s="137">
        <f t="shared" si="193"/>
        <v>0</v>
      </c>
      <c r="L533" s="137">
        <f t="shared" si="193"/>
        <v>0</v>
      </c>
      <c r="M533" s="137">
        <f t="shared" si="193"/>
        <v>0</v>
      </c>
      <c r="N533" s="137">
        <f t="shared" si="193"/>
        <v>0</v>
      </c>
      <c r="O533" s="137">
        <f t="shared" si="193"/>
        <v>0</v>
      </c>
      <c r="P533" s="137">
        <f t="shared" si="193"/>
        <v>0</v>
      </c>
      <c r="Q533" s="137">
        <f t="shared" si="193"/>
        <v>0</v>
      </c>
      <c r="R533" s="22" t="s">
        <v>632</v>
      </c>
      <c r="S533" s="97"/>
      <c r="T533" s="97"/>
      <c r="U533" s="97"/>
      <c r="V533" s="97"/>
      <c r="W533" s="97"/>
      <c r="X533" s="97"/>
      <c r="Y533" s="97"/>
      <c r="Z533" s="97"/>
      <c r="AA533" s="97"/>
      <c r="AB533" s="97"/>
      <c r="AC533" s="97"/>
      <c r="AD533" s="97"/>
      <c r="AE533" s="97"/>
      <c r="AF533" s="97"/>
      <c r="AG533" s="97"/>
      <c r="AH533" s="97"/>
      <c r="AI533" s="97"/>
      <c r="AJ533" s="97"/>
      <c r="AK533" s="97"/>
      <c r="AL533" s="97"/>
      <c r="AM533" s="97"/>
      <c r="AN533" s="97"/>
      <c r="AO533" s="97"/>
      <c r="AP533" s="97"/>
      <c r="AQ533" s="97"/>
      <c r="AR533" s="97"/>
      <c r="AS533" s="97"/>
      <c r="AT533" s="97"/>
      <c r="AU533" s="97"/>
      <c r="AV533" s="97"/>
      <c r="AW533" s="97"/>
      <c r="AX533" s="97"/>
      <c r="AY533" s="97"/>
      <c r="AZ533" s="97"/>
      <c r="BA533" s="97"/>
      <c r="BB533" s="97"/>
      <c r="BC533" s="97"/>
      <c r="BD533" s="97"/>
      <c r="BE533" s="97"/>
      <c r="BF533" s="97"/>
      <c r="BG533" s="97"/>
      <c r="BH533" s="97"/>
      <c r="BI533" s="97"/>
      <c r="BJ533" s="97"/>
      <c r="BK533" s="97"/>
      <c r="BL533" s="97"/>
      <c r="BM533" s="97"/>
      <c r="BN533" s="97"/>
      <c r="BO533" s="97"/>
      <c r="BP533" s="97"/>
      <c r="BQ533" s="97"/>
      <c r="BR533" s="97"/>
      <c r="BS533" s="97"/>
      <c r="BT533" s="97"/>
      <c r="BU533" s="97"/>
      <c r="BV533" s="97"/>
      <c r="BW533" s="97"/>
      <c r="BX533" s="97"/>
      <c r="BY533" s="97"/>
      <c r="BZ533" s="97"/>
      <c r="CA533" s="97"/>
      <c r="CB533" s="97"/>
      <c r="CC533" s="97"/>
      <c r="CD533" s="97"/>
      <c r="CE533" s="97"/>
      <c r="CF533" s="97"/>
      <c r="CG533" s="97"/>
      <c r="CH533" s="97"/>
      <c r="CI533" s="97"/>
      <c r="CJ533" s="97"/>
      <c r="CK533" s="97"/>
      <c r="CL533" s="97"/>
      <c r="CM533" s="97"/>
      <c r="CN533" s="97"/>
      <c r="CO533" s="97"/>
      <c r="CP533" s="97"/>
      <c r="CQ533" s="97"/>
    </row>
    <row r="534" spans="1:95" ht="15" customHeight="1" outlineLevel="1">
      <c r="A534" s="97"/>
      <c r="B534" s="104" t="s">
        <v>84</v>
      </c>
      <c r="C534" s="138"/>
      <c r="D534" s="137">
        <f t="shared" ref="D534:Q534" si="194">Opening_without_54_57_with_xx*Without_54_57_with_xx_dementia_value</f>
        <v>0</v>
      </c>
      <c r="E534" s="137">
        <f t="shared" si="194"/>
        <v>0</v>
      </c>
      <c r="F534" s="137">
        <f t="shared" si="194"/>
        <v>0</v>
      </c>
      <c r="G534" s="137">
        <f t="shared" si="194"/>
        <v>0</v>
      </c>
      <c r="H534" s="137">
        <f t="shared" si="194"/>
        <v>0</v>
      </c>
      <c r="I534" s="137">
        <f t="shared" si="194"/>
        <v>0</v>
      </c>
      <c r="J534" s="137">
        <f t="shared" si="194"/>
        <v>0</v>
      </c>
      <c r="K534" s="137">
        <f t="shared" si="194"/>
        <v>0</v>
      </c>
      <c r="L534" s="137">
        <f t="shared" si="194"/>
        <v>0</v>
      </c>
      <c r="M534" s="137">
        <f t="shared" si="194"/>
        <v>0</v>
      </c>
      <c r="N534" s="137">
        <f t="shared" si="194"/>
        <v>0</v>
      </c>
      <c r="O534" s="137">
        <f t="shared" si="194"/>
        <v>0</v>
      </c>
      <c r="P534" s="137">
        <f t="shared" si="194"/>
        <v>0</v>
      </c>
      <c r="Q534" s="137">
        <f t="shared" si="194"/>
        <v>0</v>
      </c>
      <c r="R534" s="22" t="s">
        <v>633</v>
      </c>
      <c r="S534" s="97"/>
      <c r="T534" s="97"/>
      <c r="U534" s="97"/>
      <c r="V534" s="97"/>
      <c r="W534" s="97"/>
      <c r="X534" s="97"/>
      <c r="Y534" s="97"/>
      <c r="Z534" s="97"/>
      <c r="AA534" s="97"/>
      <c r="AB534" s="97"/>
      <c r="AC534" s="97"/>
      <c r="AD534" s="97"/>
      <c r="AE534" s="97"/>
      <c r="AF534" s="97"/>
      <c r="AG534" s="97"/>
      <c r="AH534" s="97"/>
      <c r="AI534" s="97"/>
      <c r="AJ534" s="97"/>
      <c r="AK534" s="97"/>
      <c r="AL534" s="97"/>
      <c r="AM534" s="97"/>
      <c r="AN534" s="97"/>
      <c r="AO534" s="97"/>
      <c r="AP534" s="97"/>
      <c r="AQ534" s="97"/>
      <c r="AR534" s="97"/>
      <c r="AS534" s="97"/>
      <c r="AT534" s="97"/>
      <c r="AU534" s="97"/>
      <c r="AV534" s="97"/>
      <c r="AW534" s="97"/>
      <c r="AX534" s="97"/>
      <c r="AY534" s="97"/>
      <c r="AZ534" s="97"/>
      <c r="BA534" s="97"/>
      <c r="BB534" s="97"/>
      <c r="BC534" s="97"/>
      <c r="BD534" s="97"/>
      <c r="BE534" s="97"/>
      <c r="BF534" s="97"/>
      <c r="BG534" s="97"/>
      <c r="BH534" s="97"/>
      <c r="BI534" s="97"/>
      <c r="BJ534" s="97"/>
      <c r="BK534" s="97"/>
      <c r="BL534" s="97"/>
      <c r="BM534" s="97"/>
      <c r="BN534" s="97"/>
      <c r="BO534" s="97"/>
      <c r="BP534" s="97"/>
      <c r="BQ534" s="97"/>
      <c r="BR534" s="97"/>
      <c r="BS534" s="97"/>
      <c r="BT534" s="97"/>
      <c r="BU534" s="97"/>
      <c r="BV534" s="97"/>
      <c r="BW534" s="97"/>
      <c r="BX534" s="97"/>
      <c r="BY534" s="97"/>
      <c r="BZ534" s="97"/>
      <c r="CA534" s="97"/>
      <c r="CB534" s="97"/>
      <c r="CC534" s="97"/>
      <c r="CD534" s="97"/>
      <c r="CE534" s="97"/>
      <c r="CF534" s="97"/>
      <c r="CG534" s="97"/>
      <c r="CH534" s="97"/>
      <c r="CI534" s="97"/>
      <c r="CJ534" s="97"/>
      <c r="CK534" s="97"/>
      <c r="CL534" s="97"/>
      <c r="CM534" s="97"/>
      <c r="CN534" s="97"/>
      <c r="CO534" s="97"/>
      <c r="CP534" s="97"/>
      <c r="CQ534" s="97"/>
    </row>
    <row r="535" spans="1:95" ht="15" customHeight="1" outlineLevel="1">
      <c r="A535" s="97"/>
      <c r="B535" s="104" t="s">
        <v>85</v>
      </c>
      <c r="C535" s="138"/>
      <c r="D535" s="137">
        <f t="shared" ref="D535:Q535" si="195">Opening_without_57_60_with_xx*Without_57_60_with_xx_dementia_value</f>
        <v>0</v>
      </c>
      <c r="E535" s="137">
        <f t="shared" si="195"/>
        <v>0</v>
      </c>
      <c r="F535" s="137">
        <f t="shared" si="195"/>
        <v>0</v>
      </c>
      <c r="G535" s="137">
        <f t="shared" si="195"/>
        <v>0</v>
      </c>
      <c r="H535" s="137">
        <f t="shared" si="195"/>
        <v>0</v>
      </c>
      <c r="I535" s="137">
        <f t="shared" si="195"/>
        <v>0</v>
      </c>
      <c r="J535" s="137">
        <f t="shared" si="195"/>
        <v>0</v>
      </c>
      <c r="K535" s="137">
        <f t="shared" si="195"/>
        <v>0</v>
      </c>
      <c r="L535" s="137">
        <f t="shared" si="195"/>
        <v>0</v>
      </c>
      <c r="M535" s="137">
        <f t="shared" si="195"/>
        <v>0</v>
      </c>
      <c r="N535" s="137">
        <f t="shared" si="195"/>
        <v>0</v>
      </c>
      <c r="O535" s="137">
        <f t="shared" si="195"/>
        <v>0</v>
      </c>
      <c r="P535" s="137">
        <f t="shared" si="195"/>
        <v>0</v>
      </c>
      <c r="Q535" s="137">
        <f t="shared" si="195"/>
        <v>0</v>
      </c>
      <c r="R535" s="22" t="s">
        <v>634</v>
      </c>
      <c r="S535" s="97"/>
      <c r="T535" s="97"/>
      <c r="U535" s="97"/>
      <c r="V535" s="97"/>
      <c r="W535" s="97"/>
      <c r="X535" s="97"/>
      <c r="Y535" s="97"/>
      <c r="Z535" s="97"/>
      <c r="AA535" s="97"/>
      <c r="AB535" s="97"/>
      <c r="AC535" s="97"/>
      <c r="AD535" s="97"/>
      <c r="AE535" s="97"/>
      <c r="AF535" s="97"/>
      <c r="AG535" s="97"/>
      <c r="AH535" s="97"/>
      <c r="AI535" s="97"/>
      <c r="AJ535" s="97"/>
      <c r="AK535" s="97"/>
      <c r="AL535" s="97"/>
      <c r="AM535" s="97"/>
      <c r="AN535" s="97"/>
      <c r="AO535" s="97"/>
      <c r="AP535" s="97"/>
      <c r="AQ535" s="97"/>
      <c r="AR535" s="97"/>
      <c r="AS535" s="97"/>
      <c r="AT535" s="97"/>
      <c r="AU535" s="97"/>
      <c r="AV535" s="97"/>
      <c r="AW535" s="97"/>
      <c r="AX535" s="97"/>
      <c r="AY535" s="97"/>
      <c r="AZ535" s="97"/>
      <c r="BA535" s="97"/>
      <c r="BB535" s="97"/>
      <c r="BC535" s="97"/>
      <c r="BD535" s="97"/>
      <c r="BE535" s="97"/>
      <c r="BF535" s="97"/>
      <c r="BG535" s="97"/>
      <c r="BH535" s="97"/>
      <c r="BI535" s="97"/>
      <c r="BJ535" s="97"/>
      <c r="BK535" s="97"/>
      <c r="BL535" s="97"/>
      <c r="BM535" s="97"/>
      <c r="BN535" s="97"/>
      <c r="BO535" s="97"/>
      <c r="BP535" s="97"/>
      <c r="BQ535" s="97"/>
      <c r="BR535" s="97"/>
      <c r="BS535" s="97"/>
      <c r="BT535" s="97"/>
      <c r="BU535" s="97"/>
      <c r="BV535" s="97"/>
      <c r="BW535" s="97"/>
      <c r="BX535" s="97"/>
      <c r="BY535" s="97"/>
      <c r="BZ535" s="97"/>
      <c r="CA535" s="97"/>
      <c r="CB535" s="97"/>
      <c r="CC535" s="97"/>
      <c r="CD535" s="97"/>
      <c r="CE535" s="97"/>
      <c r="CF535" s="97"/>
      <c r="CG535" s="97"/>
      <c r="CH535" s="97"/>
      <c r="CI535" s="97"/>
      <c r="CJ535" s="97"/>
      <c r="CK535" s="97"/>
      <c r="CL535" s="97"/>
      <c r="CM535" s="97"/>
      <c r="CN535" s="97"/>
      <c r="CO535" s="97"/>
      <c r="CP535" s="97"/>
      <c r="CQ535" s="97"/>
    </row>
    <row r="536" spans="1:95" ht="15" customHeight="1" outlineLevel="1">
      <c r="A536" s="97"/>
      <c r="B536" s="104" t="s">
        <v>86</v>
      </c>
      <c r="C536" s="138"/>
      <c r="D536" s="137">
        <f t="shared" ref="D536:Q536" si="196">Opening_without_60_63_with_xx*Without_60_63_with_xx_dementia_value</f>
        <v>0</v>
      </c>
      <c r="E536" s="137">
        <f t="shared" si="196"/>
        <v>0</v>
      </c>
      <c r="F536" s="137">
        <f t="shared" si="196"/>
        <v>0</v>
      </c>
      <c r="G536" s="137">
        <f t="shared" si="196"/>
        <v>0</v>
      </c>
      <c r="H536" s="137">
        <f t="shared" si="196"/>
        <v>0</v>
      </c>
      <c r="I536" s="137">
        <f t="shared" si="196"/>
        <v>0</v>
      </c>
      <c r="J536" s="137">
        <f t="shared" si="196"/>
        <v>0</v>
      </c>
      <c r="K536" s="137">
        <f t="shared" si="196"/>
        <v>0</v>
      </c>
      <c r="L536" s="137">
        <f t="shared" si="196"/>
        <v>0</v>
      </c>
      <c r="M536" s="137">
        <f t="shared" si="196"/>
        <v>0</v>
      </c>
      <c r="N536" s="137">
        <f t="shared" si="196"/>
        <v>0</v>
      </c>
      <c r="O536" s="137">
        <f t="shared" si="196"/>
        <v>0</v>
      </c>
      <c r="P536" s="137">
        <f t="shared" si="196"/>
        <v>0</v>
      </c>
      <c r="Q536" s="137">
        <f t="shared" si="196"/>
        <v>0</v>
      </c>
      <c r="R536" s="22" t="s">
        <v>635</v>
      </c>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7"/>
      <c r="AY536" s="97"/>
      <c r="AZ536" s="97"/>
      <c r="BA536" s="97"/>
      <c r="BB536" s="97"/>
      <c r="BC536" s="97"/>
      <c r="BD536" s="97"/>
      <c r="BE536" s="97"/>
      <c r="BF536" s="97"/>
      <c r="BG536" s="97"/>
      <c r="BH536" s="97"/>
      <c r="BI536" s="97"/>
      <c r="BJ536" s="97"/>
      <c r="BK536" s="97"/>
      <c r="BL536" s="97"/>
      <c r="BM536" s="97"/>
      <c r="BN536" s="97"/>
      <c r="BO536" s="97"/>
      <c r="BP536" s="97"/>
      <c r="BQ536" s="97"/>
      <c r="BR536" s="97"/>
      <c r="BS536" s="97"/>
      <c r="BT536" s="97"/>
      <c r="BU536" s="97"/>
      <c r="BV536" s="97"/>
      <c r="BW536" s="97"/>
      <c r="BX536" s="97"/>
      <c r="BY536" s="97"/>
      <c r="BZ536" s="97"/>
      <c r="CA536" s="97"/>
      <c r="CB536" s="97"/>
      <c r="CC536" s="97"/>
      <c r="CD536" s="97"/>
      <c r="CE536" s="97"/>
      <c r="CF536" s="97"/>
      <c r="CG536" s="97"/>
      <c r="CH536" s="97"/>
      <c r="CI536" s="97"/>
      <c r="CJ536" s="97"/>
      <c r="CK536" s="97"/>
      <c r="CL536" s="97"/>
      <c r="CM536" s="97"/>
      <c r="CN536" s="97"/>
      <c r="CO536" s="97"/>
      <c r="CP536" s="97"/>
      <c r="CQ536" s="97"/>
    </row>
    <row r="537" spans="1:95" ht="15" customHeight="1" outlineLevel="1">
      <c r="A537" s="97"/>
      <c r="B537" s="104" t="s">
        <v>87</v>
      </c>
      <c r="C537" s="138"/>
      <c r="D537" s="137">
        <f t="shared" ref="D537:Q537" si="197">Opening_without_63_66_with_xx*Without_63_66_with_xx_dementia_value</f>
        <v>0</v>
      </c>
      <c r="E537" s="137">
        <f t="shared" si="197"/>
        <v>0</v>
      </c>
      <c r="F537" s="137">
        <f t="shared" si="197"/>
        <v>0</v>
      </c>
      <c r="G537" s="137">
        <f t="shared" si="197"/>
        <v>0</v>
      </c>
      <c r="H537" s="137">
        <f t="shared" si="197"/>
        <v>0</v>
      </c>
      <c r="I537" s="137">
        <f t="shared" si="197"/>
        <v>0</v>
      </c>
      <c r="J537" s="137">
        <f t="shared" si="197"/>
        <v>0</v>
      </c>
      <c r="K537" s="137">
        <f t="shared" si="197"/>
        <v>0</v>
      </c>
      <c r="L537" s="137">
        <f t="shared" si="197"/>
        <v>0</v>
      </c>
      <c r="M537" s="137">
        <f t="shared" si="197"/>
        <v>0</v>
      </c>
      <c r="N537" s="137">
        <f t="shared" si="197"/>
        <v>0</v>
      </c>
      <c r="O537" s="137">
        <f t="shared" si="197"/>
        <v>0</v>
      </c>
      <c r="P537" s="137">
        <f t="shared" si="197"/>
        <v>0</v>
      </c>
      <c r="Q537" s="137">
        <f t="shared" si="197"/>
        <v>0</v>
      </c>
      <c r="R537" s="22" t="s">
        <v>636</v>
      </c>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97"/>
      <c r="AY537" s="97"/>
      <c r="AZ537" s="97"/>
      <c r="BA537" s="97"/>
      <c r="BB537" s="97"/>
      <c r="BC537" s="97"/>
      <c r="BD537" s="97"/>
      <c r="BE537" s="97"/>
      <c r="BF537" s="97"/>
      <c r="BG537" s="97"/>
      <c r="BH537" s="97"/>
      <c r="BI537" s="97"/>
      <c r="BJ537" s="97"/>
      <c r="BK537" s="97"/>
      <c r="BL537" s="97"/>
      <c r="BM537" s="97"/>
      <c r="BN537" s="97"/>
      <c r="BO537" s="97"/>
      <c r="BP537" s="97"/>
      <c r="BQ537" s="97"/>
      <c r="BR537" s="97"/>
      <c r="BS537" s="97"/>
      <c r="BT537" s="97"/>
      <c r="BU537" s="97"/>
      <c r="BV537" s="97"/>
      <c r="BW537" s="97"/>
      <c r="BX537" s="97"/>
      <c r="BY537" s="97"/>
      <c r="BZ537" s="97"/>
      <c r="CA537" s="97"/>
      <c r="CB537" s="97"/>
      <c r="CC537" s="97"/>
      <c r="CD537" s="97"/>
      <c r="CE537" s="97"/>
      <c r="CF537" s="97"/>
      <c r="CG537" s="97"/>
      <c r="CH537" s="97"/>
      <c r="CI537" s="97"/>
      <c r="CJ537" s="97"/>
      <c r="CK537" s="97"/>
      <c r="CL537" s="97"/>
      <c r="CM537" s="97"/>
      <c r="CN537" s="97"/>
      <c r="CO537" s="97"/>
      <c r="CP537" s="97"/>
      <c r="CQ537" s="97"/>
    </row>
    <row r="538" spans="1:95" ht="15" customHeight="1" outlineLevel="1">
      <c r="A538" s="97"/>
      <c r="B538" s="104" t="s">
        <v>88</v>
      </c>
      <c r="C538" s="138"/>
      <c r="D538" s="137">
        <f t="shared" ref="D538:Q538" si="198">Opening_without_66_69_with_xx*Without_66_69_with_xx_dementia_value</f>
        <v>0</v>
      </c>
      <c r="E538" s="137">
        <f t="shared" si="198"/>
        <v>0</v>
      </c>
      <c r="F538" s="137">
        <f t="shared" si="198"/>
        <v>0</v>
      </c>
      <c r="G538" s="137">
        <f t="shared" si="198"/>
        <v>0</v>
      </c>
      <c r="H538" s="137">
        <f t="shared" si="198"/>
        <v>0</v>
      </c>
      <c r="I538" s="137">
        <f t="shared" si="198"/>
        <v>0</v>
      </c>
      <c r="J538" s="137">
        <f t="shared" si="198"/>
        <v>0</v>
      </c>
      <c r="K538" s="137">
        <f t="shared" si="198"/>
        <v>0</v>
      </c>
      <c r="L538" s="137">
        <f t="shared" si="198"/>
        <v>0</v>
      </c>
      <c r="M538" s="137">
        <f t="shared" si="198"/>
        <v>0</v>
      </c>
      <c r="N538" s="137">
        <f t="shared" si="198"/>
        <v>0</v>
      </c>
      <c r="O538" s="137">
        <f t="shared" si="198"/>
        <v>0</v>
      </c>
      <c r="P538" s="137">
        <f t="shared" si="198"/>
        <v>0</v>
      </c>
      <c r="Q538" s="137">
        <f t="shared" si="198"/>
        <v>0</v>
      </c>
      <c r="R538" s="22" t="s">
        <v>637</v>
      </c>
      <c r="S538" s="97"/>
      <c r="T538" s="97"/>
      <c r="U538" s="97"/>
      <c r="V538" s="97"/>
      <c r="W538" s="97"/>
      <c r="X538" s="97"/>
      <c r="Y538" s="97"/>
      <c r="Z538" s="97"/>
      <c r="AA538" s="97"/>
      <c r="AB538" s="97"/>
      <c r="AC538" s="97"/>
      <c r="AD538" s="97"/>
      <c r="AE538" s="97"/>
      <c r="AF538" s="97"/>
      <c r="AG538" s="97"/>
      <c r="AH538" s="97"/>
      <c r="AI538" s="97"/>
      <c r="AJ538" s="97"/>
      <c r="AK538" s="97"/>
      <c r="AL538" s="97"/>
      <c r="AM538" s="97"/>
      <c r="AN538" s="97"/>
      <c r="AO538" s="97"/>
      <c r="AP538" s="97"/>
      <c r="AQ538" s="97"/>
      <c r="AR538" s="97"/>
      <c r="AS538" s="97"/>
      <c r="AT538" s="97"/>
      <c r="AU538" s="97"/>
      <c r="AV538" s="97"/>
      <c r="AW538" s="97"/>
      <c r="AX538" s="97"/>
      <c r="AY538" s="97"/>
      <c r="AZ538" s="97"/>
      <c r="BA538" s="97"/>
      <c r="BB538" s="97"/>
      <c r="BC538" s="97"/>
      <c r="BD538" s="97"/>
      <c r="BE538" s="97"/>
      <c r="BF538" s="97"/>
      <c r="BG538" s="97"/>
      <c r="BH538" s="97"/>
      <c r="BI538" s="97"/>
      <c r="BJ538" s="97"/>
      <c r="BK538" s="97"/>
      <c r="BL538" s="97"/>
      <c r="BM538" s="97"/>
      <c r="BN538" s="97"/>
      <c r="BO538" s="97"/>
      <c r="BP538" s="97"/>
      <c r="BQ538" s="97"/>
      <c r="BR538" s="97"/>
      <c r="BS538" s="97"/>
      <c r="BT538" s="97"/>
      <c r="BU538" s="97"/>
      <c r="BV538" s="97"/>
      <c r="BW538" s="97"/>
      <c r="BX538" s="97"/>
      <c r="BY538" s="97"/>
      <c r="BZ538" s="97"/>
      <c r="CA538" s="97"/>
      <c r="CB538" s="97"/>
      <c r="CC538" s="97"/>
      <c r="CD538" s="97"/>
      <c r="CE538" s="97"/>
      <c r="CF538" s="97"/>
      <c r="CG538" s="97"/>
      <c r="CH538" s="97"/>
      <c r="CI538" s="97"/>
      <c r="CJ538" s="97"/>
      <c r="CK538" s="97"/>
      <c r="CL538" s="97"/>
      <c r="CM538" s="97"/>
      <c r="CN538" s="97"/>
      <c r="CO538" s="97"/>
      <c r="CP538" s="97"/>
      <c r="CQ538" s="97"/>
    </row>
    <row r="539" spans="1:95" ht="15" customHeight="1" outlineLevel="1">
      <c r="A539" s="97"/>
      <c r="B539" s="104" t="s">
        <v>89</v>
      </c>
      <c r="C539" s="138"/>
      <c r="D539" s="137">
        <f t="shared" ref="D539:Q539" si="199">Opening_without_69_72_with_xx*Without_69_72_with_xx_dementia_value</f>
        <v>0</v>
      </c>
      <c r="E539" s="137">
        <f t="shared" si="199"/>
        <v>0</v>
      </c>
      <c r="F539" s="137">
        <f t="shared" si="199"/>
        <v>0</v>
      </c>
      <c r="G539" s="137">
        <f t="shared" si="199"/>
        <v>0</v>
      </c>
      <c r="H539" s="137">
        <f t="shared" si="199"/>
        <v>0</v>
      </c>
      <c r="I539" s="137">
        <f t="shared" si="199"/>
        <v>0</v>
      </c>
      <c r="J539" s="137">
        <f t="shared" si="199"/>
        <v>0</v>
      </c>
      <c r="K539" s="137">
        <f t="shared" si="199"/>
        <v>0</v>
      </c>
      <c r="L539" s="137">
        <f t="shared" si="199"/>
        <v>0</v>
      </c>
      <c r="M539" s="137">
        <f t="shared" si="199"/>
        <v>0</v>
      </c>
      <c r="N539" s="137">
        <f t="shared" si="199"/>
        <v>0</v>
      </c>
      <c r="O539" s="137">
        <f t="shared" si="199"/>
        <v>0</v>
      </c>
      <c r="P539" s="137">
        <f t="shared" si="199"/>
        <v>0</v>
      </c>
      <c r="Q539" s="137">
        <f t="shared" si="199"/>
        <v>0</v>
      </c>
      <c r="R539" s="22" t="s">
        <v>638</v>
      </c>
      <c r="S539" s="97"/>
      <c r="T539" s="97"/>
      <c r="U539" s="97"/>
      <c r="V539" s="97"/>
      <c r="W539" s="97"/>
      <c r="X539" s="97"/>
      <c r="Y539" s="97"/>
      <c r="Z539" s="97"/>
      <c r="AA539" s="97"/>
      <c r="AB539" s="97"/>
      <c r="AC539" s="97"/>
      <c r="AD539" s="97"/>
      <c r="AE539" s="97"/>
      <c r="AF539" s="97"/>
      <c r="AG539" s="97"/>
      <c r="AH539" s="97"/>
      <c r="AI539" s="97"/>
      <c r="AJ539" s="97"/>
      <c r="AK539" s="97"/>
      <c r="AL539" s="97"/>
      <c r="AM539" s="97"/>
      <c r="AN539" s="97"/>
      <c r="AO539" s="97"/>
      <c r="AP539" s="97"/>
      <c r="AQ539" s="97"/>
      <c r="AR539" s="97"/>
      <c r="AS539" s="97"/>
      <c r="AT539" s="97"/>
      <c r="AU539" s="97"/>
      <c r="AV539" s="97"/>
      <c r="AW539" s="97"/>
      <c r="AX539" s="97"/>
      <c r="AY539" s="97"/>
      <c r="AZ539" s="97"/>
      <c r="BA539" s="97"/>
      <c r="BB539" s="97"/>
      <c r="BC539" s="97"/>
      <c r="BD539" s="97"/>
      <c r="BE539" s="97"/>
      <c r="BF539" s="97"/>
      <c r="BG539" s="97"/>
      <c r="BH539" s="97"/>
      <c r="BI539" s="97"/>
      <c r="BJ539" s="97"/>
      <c r="BK539" s="97"/>
      <c r="BL539" s="97"/>
      <c r="BM539" s="97"/>
      <c r="BN539" s="97"/>
      <c r="BO539" s="97"/>
      <c r="BP539" s="97"/>
      <c r="BQ539" s="97"/>
      <c r="BR539" s="97"/>
      <c r="BS539" s="97"/>
      <c r="BT539" s="97"/>
      <c r="BU539" s="97"/>
      <c r="BV539" s="97"/>
      <c r="BW539" s="97"/>
      <c r="BX539" s="97"/>
      <c r="BY539" s="97"/>
      <c r="BZ539" s="97"/>
      <c r="CA539" s="97"/>
      <c r="CB539" s="97"/>
      <c r="CC539" s="97"/>
      <c r="CD539" s="97"/>
      <c r="CE539" s="97"/>
      <c r="CF539" s="97"/>
      <c r="CG539" s="97"/>
      <c r="CH539" s="97"/>
      <c r="CI539" s="97"/>
      <c r="CJ539" s="97"/>
      <c r="CK539" s="97"/>
      <c r="CL539" s="97"/>
      <c r="CM539" s="97"/>
      <c r="CN539" s="97"/>
      <c r="CO539" s="97"/>
      <c r="CP539" s="97"/>
      <c r="CQ539" s="97"/>
    </row>
    <row r="540" spans="1:95" ht="15" customHeight="1" outlineLevel="1">
      <c r="A540" s="97"/>
      <c r="B540" s="104" t="s">
        <v>90</v>
      </c>
      <c r="C540" s="138"/>
      <c r="D540" s="137">
        <f t="shared" ref="D540:Q540" si="200">Opening_without_72_75_with_xx*Without_72_75_with_xx_dementia_value</f>
        <v>0</v>
      </c>
      <c r="E540" s="137">
        <f t="shared" si="200"/>
        <v>0</v>
      </c>
      <c r="F540" s="137">
        <f t="shared" si="200"/>
        <v>0</v>
      </c>
      <c r="G540" s="137">
        <f t="shared" si="200"/>
        <v>0</v>
      </c>
      <c r="H540" s="137">
        <f t="shared" si="200"/>
        <v>0</v>
      </c>
      <c r="I540" s="137">
        <f t="shared" si="200"/>
        <v>0</v>
      </c>
      <c r="J540" s="137">
        <f t="shared" si="200"/>
        <v>0</v>
      </c>
      <c r="K540" s="137">
        <f t="shared" si="200"/>
        <v>0</v>
      </c>
      <c r="L540" s="137">
        <f t="shared" si="200"/>
        <v>0</v>
      </c>
      <c r="M540" s="137">
        <f t="shared" si="200"/>
        <v>0</v>
      </c>
      <c r="N540" s="137">
        <f t="shared" si="200"/>
        <v>0</v>
      </c>
      <c r="O540" s="137">
        <f t="shared" si="200"/>
        <v>0</v>
      </c>
      <c r="P540" s="137">
        <f t="shared" si="200"/>
        <v>0</v>
      </c>
      <c r="Q540" s="137">
        <f t="shared" si="200"/>
        <v>0</v>
      </c>
      <c r="R540" s="22" t="s">
        <v>639</v>
      </c>
      <c r="S540" s="97"/>
      <c r="T540" s="97"/>
      <c r="U540" s="97"/>
      <c r="V540" s="97"/>
      <c r="W540" s="97"/>
      <c r="X540" s="97"/>
      <c r="Y540" s="97"/>
      <c r="Z540" s="97"/>
      <c r="AA540" s="97"/>
      <c r="AB540" s="97"/>
      <c r="AC540" s="97"/>
      <c r="AD540" s="97"/>
      <c r="AE540" s="97"/>
      <c r="AF540" s="97"/>
      <c r="AG540" s="97"/>
      <c r="AH540" s="97"/>
      <c r="AI540" s="97"/>
      <c r="AJ540" s="97"/>
      <c r="AK540" s="97"/>
      <c r="AL540" s="97"/>
      <c r="AM540" s="97"/>
      <c r="AN540" s="97"/>
      <c r="AO540" s="97"/>
      <c r="AP540" s="97"/>
      <c r="AQ540" s="97"/>
      <c r="AR540" s="97"/>
      <c r="AS540" s="97"/>
      <c r="AT540" s="97"/>
      <c r="AU540" s="97"/>
      <c r="AV540" s="97"/>
      <c r="AW540" s="97"/>
      <c r="AX540" s="97"/>
      <c r="AY540" s="97"/>
      <c r="AZ540" s="97"/>
      <c r="BA540" s="97"/>
      <c r="BB540" s="97"/>
      <c r="BC540" s="97"/>
      <c r="BD540" s="97"/>
      <c r="BE540" s="97"/>
      <c r="BF540" s="97"/>
      <c r="BG540" s="97"/>
      <c r="BH540" s="97"/>
      <c r="BI540" s="97"/>
      <c r="BJ540" s="97"/>
      <c r="BK540" s="97"/>
      <c r="BL540" s="97"/>
      <c r="BM540" s="97"/>
      <c r="BN540" s="97"/>
      <c r="BO540" s="97"/>
      <c r="BP540" s="97"/>
      <c r="BQ540" s="97"/>
      <c r="BR540" s="97"/>
      <c r="BS540" s="97"/>
      <c r="BT540" s="97"/>
      <c r="BU540" s="97"/>
      <c r="BV540" s="97"/>
      <c r="BW540" s="97"/>
      <c r="BX540" s="97"/>
      <c r="BY540" s="97"/>
      <c r="BZ540" s="97"/>
      <c r="CA540" s="97"/>
      <c r="CB540" s="97"/>
      <c r="CC540" s="97"/>
      <c r="CD540" s="97"/>
      <c r="CE540" s="97"/>
      <c r="CF540" s="97"/>
      <c r="CG540" s="97"/>
      <c r="CH540" s="97"/>
      <c r="CI540" s="97"/>
      <c r="CJ540" s="97"/>
      <c r="CK540" s="97"/>
      <c r="CL540" s="97"/>
      <c r="CM540" s="97"/>
      <c r="CN540" s="97"/>
      <c r="CO540" s="97"/>
      <c r="CP540" s="97"/>
      <c r="CQ540" s="97"/>
    </row>
    <row r="541" spans="1:95" ht="15" customHeight="1" outlineLevel="1">
      <c r="A541" s="97"/>
      <c r="B541" s="104" t="s">
        <v>91</v>
      </c>
      <c r="C541" s="138"/>
      <c r="D541" s="137">
        <f t="shared" ref="D541:Q541" si="201">Opening_without_75_78_with_xx*Without_75_78_with_xx_dementia_value</f>
        <v>0</v>
      </c>
      <c r="E541" s="137">
        <f t="shared" si="201"/>
        <v>0</v>
      </c>
      <c r="F541" s="137">
        <f t="shared" si="201"/>
        <v>0</v>
      </c>
      <c r="G541" s="137">
        <f t="shared" si="201"/>
        <v>0</v>
      </c>
      <c r="H541" s="137">
        <f t="shared" si="201"/>
        <v>0</v>
      </c>
      <c r="I541" s="137">
        <f t="shared" si="201"/>
        <v>0</v>
      </c>
      <c r="J541" s="137">
        <f t="shared" si="201"/>
        <v>0</v>
      </c>
      <c r="K541" s="137">
        <f t="shared" si="201"/>
        <v>0</v>
      </c>
      <c r="L541" s="137">
        <f t="shared" si="201"/>
        <v>0</v>
      </c>
      <c r="M541" s="137">
        <f t="shared" si="201"/>
        <v>0</v>
      </c>
      <c r="N541" s="137">
        <f t="shared" si="201"/>
        <v>0</v>
      </c>
      <c r="O541" s="137">
        <f t="shared" si="201"/>
        <v>0</v>
      </c>
      <c r="P541" s="137">
        <f t="shared" si="201"/>
        <v>0</v>
      </c>
      <c r="Q541" s="137">
        <f t="shared" si="201"/>
        <v>0</v>
      </c>
      <c r="R541" s="22" t="s">
        <v>640</v>
      </c>
      <c r="S541" s="97"/>
      <c r="T541" s="97"/>
      <c r="U541" s="97"/>
      <c r="V541" s="97"/>
      <c r="W541" s="97"/>
      <c r="X541" s="97"/>
      <c r="Y541" s="97"/>
      <c r="Z541" s="97"/>
      <c r="AA541" s="97"/>
      <c r="AB541" s="97"/>
      <c r="AC541" s="97"/>
      <c r="AD541" s="97"/>
      <c r="AE541" s="97"/>
      <c r="AF541" s="97"/>
      <c r="AG541" s="97"/>
      <c r="AH541" s="97"/>
      <c r="AI541" s="97"/>
      <c r="AJ541" s="97"/>
      <c r="AK541" s="97"/>
      <c r="AL541" s="97"/>
      <c r="AM541" s="97"/>
      <c r="AN541" s="97"/>
      <c r="AO541" s="97"/>
      <c r="AP541" s="97"/>
      <c r="AQ541" s="97"/>
      <c r="AR541" s="97"/>
      <c r="AS541" s="97"/>
      <c r="AT541" s="97"/>
      <c r="AU541" s="97"/>
      <c r="AV541" s="97"/>
      <c r="AW541" s="97"/>
      <c r="AX541" s="97"/>
      <c r="AY541" s="97"/>
      <c r="AZ541" s="97"/>
      <c r="BA541" s="97"/>
      <c r="BB541" s="97"/>
      <c r="BC541" s="97"/>
      <c r="BD541" s="97"/>
      <c r="BE541" s="97"/>
      <c r="BF541" s="97"/>
      <c r="BG541" s="97"/>
      <c r="BH541" s="97"/>
      <c r="BI541" s="97"/>
      <c r="BJ541" s="97"/>
      <c r="BK541" s="97"/>
      <c r="BL541" s="97"/>
      <c r="BM541" s="97"/>
      <c r="BN541" s="97"/>
      <c r="BO541" s="97"/>
      <c r="BP541" s="97"/>
      <c r="BQ541" s="97"/>
      <c r="BR541" s="97"/>
      <c r="BS541" s="97"/>
      <c r="BT541" s="97"/>
      <c r="BU541" s="97"/>
      <c r="BV541" s="97"/>
      <c r="BW541" s="97"/>
      <c r="BX541" s="97"/>
      <c r="BY541" s="97"/>
      <c r="BZ541" s="97"/>
      <c r="CA541" s="97"/>
      <c r="CB541" s="97"/>
      <c r="CC541" s="97"/>
      <c r="CD541" s="97"/>
      <c r="CE541" s="97"/>
      <c r="CF541" s="97"/>
      <c r="CG541" s="97"/>
      <c r="CH541" s="97"/>
      <c r="CI541" s="97"/>
      <c r="CJ541" s="97"/>
      <c r="CK541" s="97"/>
      <c r="CL541" s="97"/>
      <c r="CM541" s="97"/>
      <c r="CN541" s="97"/>
      <c r="CO541" s="97"/>
      <c r="CP541" s="97"/>
      <c r="CQ541" s="97"/>
    </row>
    <row r="542" spans="1:95" ht="15" customHeight="1" outlineLevel="1">
      <c r="A542" s="97"/>
      <c r="B542" s="104" t="s">
        <v>92</v>
      </c>
      <c r="C542" s="138"/>
      <c r="D542" s="137">
        <f t="shared" ref="D542:Q542" si="202">Opening_without_78_81_with_xx*Without_78_81_with_xx_dementia_value</f>
        <v>0</v>
      </c>
      <c r="E542" s="137">
        <f t="shared" si="202"/>
        <v>0</v>
      </c>
      <c r="F542" s="137">
        <f t="shared" si="202"/>
        <v>0</v>
      </c>
      <c r="G542" s="137">
        <f t="shared" si="202"/>
        <v>0</v>
      </c>
      <c r="H542" s="137">
        <f t="shared" si="202"/>
        <v>0</v>
      </c>
      <c r="I542" s="137">
        <f t="shared" si="202"/>
        <v>0</v>
      </c>
      <c r="J542" s="137">
        <f t="shared" si="202"/>
        <v>0</v>
      </c>
      <c r="K542" s="137">
        <f t="shared" si="202"/>
        <v>0</v>
      </c>
      <c r="L542" s="137">
        <f t="shared" si="202"/>
        <v>0</v>
      </c>
      <c r="M542" s="137">
        <f t="shared" si="202"/>
        <v>0</v>
      </c>
      <c r="N542" s="137">
        <f t="shared" si="202"/>
        <v>0</v>
      </c>
      <c r="O542" s="137">
        <f t="shared" si="202"/>
        <v>0</v>
      </c>
      <c r="P542" s="137">
        <f t="shared" si="202"/>
        <v>0</v>
      </c>
      <c r="Q542" s="137">
        <f t="shared" si="202"/>
        <v>0</v>
      </c>
      <c r="R542" s="22" t="s">
        <v>641</v>
      </c>
      <c r="S542" s="97"/>
      <c r="T542" s="97"/>
      <c r="U542" s="97"/>
      <c r="V542" s="97"/>
      <c r="W542" s="97"/>
      <c r="X542" s="97"/>
      <c r="Y542" s="97"/>
      <c r="Z542" s="97"/>
      <c r="AA542" s="97"/>
      <c r="AB542" s="97"/>
      <c r="AC542" s="97"/>
      <c r="AD542" s="97"/>
      <c r="AE542" s="97"/>
      <c r="AF542" s="97"/>
      <c r="AG542" s="97"/>
      <c r="AH542" s="97"/>
      <c r="AI542" s="97"/>
      <c r="AJ542" s="97"/>
      <c r="AK542" s="97"/>
      <c r="AL542" s="97"/>
      <c r="AM542" s="97"/>
      <c r="AN542" s="97"/>
      <c r="AO542" s="97"/>
      <c r="AP542" s="97"/>
      <c r="AQ542" s="97"/>
      <c r="AR542" s="97"/>
      <c r="AS542" s="97"/>
      <c r="AT542" s="97"/>
      <c r="AU542" s="97"/>
      <c r="AV542" s="97"/>
      <c r="AW542" s="97"/>
      <c r="AX542" s="97"/>
      <c r="AY542" s="97"/>
      <c r="AZ542" s="97"/>
      <c r="BA542" s="97"/>
      <c r="BB542" s="97"/>
      <c r="BC542" s="97"/>
      <c r="BD542" s="97"/>
      <c r="BE542" s="97"/>
      <c r="BF542" s="97"/>
      <c r="BG542" s="97"/>
      <c r="BH542" s="97"/>
      <c r="BI542" s="97"/>
      <c r="BJ542" s="97"/>
      <c r="BK542" s="97"/>
      <c r="BL542" s="97"/>
      <c r="BM542" s="97"/>
      <c r="BN542" s="97"/>
      <c r="BO542" s="97"/>
      <c r="BP542" s="97"/>
      <c r="BQ542" s="97"/>
      <c r="BR542" s="97"/>
      <c r="BS542" s="97"/>
      <c r="BT542" s="97"/>
      <c r="BU542" s="97"/>
      <c r="BV542" s="97"/>
      <c r="BW542" s="97"/>
      <c r="BX542" s="97"/>
      <c r="BY542" s="97"/>
      <c r="BZ542" s="97"/>
      <c r="CA542" s="97"/>
      <c r="CB542" s="97"/>
      <c r="CC542" s="97"/>
      <c r="CD542" s="97"/>
      <c r="CE542" s="97"/>
      <c r="CF542" s="97"/>
      <c r="CG542" s="97"/>
      <c r="CH542" s="97"/>
      <c r="CI542" s="97"/>
      <c r="CJ542" s="97"/>
      <c r="CK542" s="97"/>
      <c r="CL542" s="97"/>
      <c r="CM542" s="97"/>
      <c r="CN542" s="97"/>
      <c r="CO542" s="97"/>
      <c r="CP542" s="97"/>
      <c r="CQ542" s="97"/>
    </row>
    <row r="543" spans="1:95" ht="15" customHeight="1" outlineLevel="1">
      <c r="A543" s="97"/>
      <c r="B543" s="104" t="s">
        <v>93</v>
      </c>
      <c r="C543" s="139"/>
      <c r="D543" s="137">
        <f t="shared" ref="D543:Q543" si="203">Opening_without_81_with_xx*Without_81_with_xx_dementia_value</f>
        <v>0</v>
      </c>
      <c r="E543" s="137">
        <f t="shared" si="203"/>
        <v>0</v>
      </c>
      <c r="F543" s="137">
        <f t="shared" si="203"/>
        <v>0</v>
      </c>
      <c r="G543" s="137">
        <f t="shared" si="203"/>
        <v>0</v>
      </c>
      <c r="H543" s="137">
        <f t="shared" si="203"/>
        <v>0</v>
      </c>
      <c r="I543" s="137">
        <f t="shared" si="203"/>
        <v>0</v>
      </c>
      <c r="J543" s="137">
        <f t="shared" si="203"/>
        <v>0</v>
      </c>
      <c r="K543" s="137">
        <f t="shared" si="203"/>
        <v>0</v>
      </c>
      <c r="L543" s="137">
        <f t="shared" si="203"/>
        <v>0</v>
      </c>
      <c r="M543" s="137">
        <f t="shared" si="203"/>
        <v>0</v>
      </c>
      <c r="N543" s="137">
        <f t="shared" si="203"/>
        <v>0</v>
      </c>
      <c r="O543" s="137">
        <f t="shared" si="203"/>
        <v>0</v>
      </c>
      <c r="P543" s="137">
        <f t="shared" si="203"/>
        <v>0</v>
      </c>
      <c r="Q543" s="137">
        <f t="shared" si="203"/>
        <v>0</v>
      </c>
      <c r="R543" s="22" t="s">
        <v>642</v>
      </c>
      <c r="S543" s="97"/>
      <c r="T543" s="97"/>
      <c r="U543" s="97"/>
      <c r="V543" s="97"/>
      <c r="W543" s="97"/>
      <c r="X543" s="97"/>
      <c r="Y543" s="97"/>
      <c r="Z543" s="97"/>
      <c r="AA543" s="97"/>
      <c r="AB543" s="97"/>
      <c r="AC543" s="97"/>
      <c r="AD543" s="97"/>
      <c r="AE543" s="97"/>
      <c r="AF543" s="97"/>
      <c r="AG543" s="97"/>
      <c r="AH543" s="97"/>
      <c r="AI543" s="97"/>
      <c r="AJ543" s="97"/>
      <c r="AK543" s="97"/>
      <c r="AL543" s="97"/>
      <c r="AM543" s="97"/>
      <c r="AN543" s="97"/>
      <c r="AO543" s="97"/>
      <c r="AP543" s="97"/>
      <c r="AQ543" s="97"/>
      <c r="AR543" s="97"/>
      <c r="AS543" s="97"/>
      <c r="AT543" s="97"/>
      <c r="AU543" s="97"/>
      <c r="AV543" s="97"/>
      <c r="AW543" s="97"/>
      <c r="AX543" s="97"/>
      <c r="AY543" s="97"/>
      <c r="AZ543" s="97"/>
      <c r="BA543" s="97"/>
      <c r="BB543" s="97"/>
      <c r="BC543" s="97"/>
      <c r="BD543" s="97"/>
      <c r="BE543" s="97"/>
      <c r="BF543" s="97"/>
      <c r="BG543" s="97"/>
      <c r="BH543" s="97"/>
      <c r="BI543" s="97"/>
      <c r="BJ543" s="97"/>
      <c r="BK543" s="97"/>
      <c r="BL543" s="97"/>
      <c r="BM543" s="97"/>
      <c r="BN543" s="97"/>
      <c r="BO543" s="97"/>
      <c r="BP543" s="97"/>
      <c r="BQ543" s="97"/>
      <c r="BR543" s="97"/>
      <c r="BS543" s="97"/>
      <c r="BT543" s="97"/>
      <c r="BU543" s="97"/>
      <c r="BV543" s="97"/>
      <c r="BW543" s="97"/>
      <c r="BX543" s="97"/>
      <c r="BY543" s="97"/>
      <c r="BZ543" s="97"/>
      <c r="CA543" s="97"/>
      <c r="CB543" s="97"/>
      <c r="CC543" s="97"/>
      <c r="CD543" s="97"/>
      <c r="CE543" s="97"/>
      <c r="CF543" s="97"/>
      <c r="CG543" s="97"/>
      <c r="CH543" s="97"/>
      <c r="CI543" s="97"/>
      <c r="CJ543" s="97"/>
      <c r="CK543" s="97"/>
      <c r="CL543" s="97"/>
      <c r="CM543" s="97"/>
      <c r="CN543" s="97"/>
      <c r="CO543" s="97"/>
      <c r="CP543" s="97"/>
      <c r="CQ543" s="97"/>
    </row>
    <row r="544" spans="1:95" ht="15" customHeight="1" outlineLevel="1">
      <c r="A544" s="97"/>
      <c r="B544" s="134"/>
      <c r="C544" s="134"/>
      <c r="D544" s="134"/>
      <c r="E544" s="134"/>
      <c r="F544" s="134"/>
      <c r="G544" s="134"/>
      <c r="H544" s="134"/>
      <c r="I544" s="134"/>
      <c r="J544" s="134"/>
      <c r="K544" s="134"/>
      <c r="L544" s="134"/>
      <c r="M544" s="134"/>
      <c r="N544" s="134"/>
      <c r="O544" s="97"/>
      <c r="P544" s="97"/>
      <c r="Q544" s="97"/>
      <c r="R544" s="97"/>
      <c r="S544" s="97"/>
      <c r="T544" s="97"/>
      <c r="U544" s="97"/>
      <c r="V544" s="97"/>
      <c r="W544" s="97"/>
      <c r="X544" s="97"/>
      <c r="Y544" s="97"/>
      <c r="Z544" s="97"/>
      <c r="AA544" s="97"/>
      <c r="AB544" s="97"/>
      <c r="AC544" s="97"/>
      <c r="AD544" s="97"/>
      <c r="AE544" s="97"/>
      <c r="AF544" s="97"/>
      <c r="AG544" s="97"/>
      <c r="AH544" s="97"/>
      <c r="AI544" s="97"/>
      <c r="AJ544" s="97"/>
      <c r="AK544" s="97"/>
      <c r="AL544" s="97"/>
      <c r="AM544" s="97"/>
      <c r="AN544" s="97"/>
      <c r="AO544" s="97"/>
      <c r="AP544" s="97"/>
      <c r="AQ544" s="97"/>
      <c r="AR544" s="97"/>
      <c r="AS544" s="97"/>
      <c r="AT544" s="97"/>
      <c r="AU544" s="97"/>
      <c r="AV544" s="97"/>
      <c r="AW544" s="97"/>
      <c r="AX544" s="97"/>
      <c r="AY544" s="97"/>
      <c r="AZ544" s="97"/>
      <c r="BA544" s="97"/>
      <c r="BB544" s="97"/>
      <c r="BC544" s="97"/>
      <c r="BD544" s="97"/>
      <c r="BE544" s="97"/>
      <c r="BF544" s="97"/>
      <c r="BG544" s="97"/>
      <c r="BH544" s="97"/>
      <c r="BI544" s="97"/>
      <c r="BJ544" s="97"/>
      <c r="BK544" s="97"/>
      <c r="BL544" s="97"/>
      <c r="BM544" s="97"/>
      <c r="BN544" s="97"/>
      <c r="BO544" s="97"/>
      <c r="BP544" s="97"/>
      <c r="BQ544" s="97"/>
      <c r="BR544" s="97"/>
      <c r="BS544" s="97"/>
      <c r="BT544" s="97"/>
      <c r="BU544" s="97"/>
      <c r="BV544" s="97"/>
      <c r="BW544" s="97"/>
      <c r="BX544" s="97"/>
      <c r="BY544" s="97"/>
      <c r="BZ544" s="97"/>
      <c r="CA544" s="97"/>
      <c r="CB544" s="97"/>
      <c r="CC544" s="97"/>
      <c r="CD544" s="97"/>
      <c r="CE544" s="97"/>
      <c r="CF544" s="97"/>
      <c r="CG544" s="97"/>
      <c r="CH544" s="97"/>
      <c r="CI544" s="97"/>
      <c r="CJ544" s="97"/>
      <c r="CK544" s="97"/>
      <c r="CL544" s="97"/>
      <c r="CM544" s="97"/>
      <c r="CN544" s="97"/>
      <c r="CO544" s="97"/>
      <c r="CP544" s="97"/>
      <c r="CQ544" s="97"/>
    </row>
    <row r="545" spans="1:95" ht="15" customHeight="1" outlineLevel="1">
      <c r="A545" s="97"/>
      <c r="B545" s="142" t="s">
        <v>643</v>
      </c>
      <c r="C545" s="141">
        <f>SUM(Opening_without_45_with_xx_dementia_cost,Opening_without_45_48_with_xx_dementia_cost,Opening_without_48_51_with_xx_dementia_cost,Opening_without_51_54_with_xx_dementia_cost,Opening_without_54_57_with_xx_dementia_cost,Opening_without_57_60_with_xx_dementia_cost,Opening_without_60_63_with_xx_dementia_cost,Opening_without_63_66_with_xx_dementia_cost,Opening_without_66_69_with_xx_dementia_cost,Opening_without_69_72_with_xx_dementia_cost,Opening_without_72_75_with_xx_dementia_cost,Opening_without_75_78_with_xx_dementia_cost,Opening_without_78_81_with_xx_dementia_cost,Opening_without_81_with_xx_dementia_cost)</f>
        <v>0</v>
      </c>
      <c r="D545" s="24" t="s">
        <v>644</v>
      </c>
      <c r="E545" s="134"/>
      <c r="F545" s="134"/>
      <c r="G545" s="134"/>
      <c r="H545" s="134"/>
      <c r="I545" s="134"/>
      <c r="J545" s="134"/>
      <c r="K545" s="134"/>
      <c r="L545" s="134"/>
      <c r="M545" s="134"/>
      <c r="N545" s="134"/>
      <c r="O545" s="97"/>
      <c r="P545" s="97"/>
      <c r="Q545" s="97"/>
      <c r="R545" s="97"/>
      <c r="S545" s="97"/>
      <c r="T545" s="97"/>
      <c r="U545" s="97"/>
      <c r="V545" s="97"/>
      <c r="W545" s="97"/>
      <c r="X545" s="97"/>
      <c r="Y545" s="97"/>
      <c r="Z545" s="97"/>
      <c r="AA545" s="97"/>
      <c r="AB545" s="97"/>
      <c r="AC545" s="97"/>
      <c r="AD545" s="97"/>
      <c r="AE545" s="97"/>
      <c r="AF545" s="97"/>
      <c r="AG545" s="97"/>
      <c r="AH545" s="97"/>
      <c r="AI545" s="97"/>
      <c r="AJ545" s="97"/>
      <c r="AK545" s="97"/>
      <c r="AL545" s="97"/>
      <c r="AM545" s="97"/>
      <c r="AN545" s="97"/>
      <c r="AO545" s="97"/>
      <c r="AP545" s="97"/>
      <c r="AQ545" s="97"/>
      <c r="AR545" s="97"/>
      <c r="AS545" s="97"/>
      <c r="AT545" s="97"/>
      <c r="AU545" s="97"/>
      <c r="AV545" s="97"/>
      <c r="AW545" s="97"/>
      <c r="AX545" s="97"/>
      <c r="AY545" s="97"/>
      <c r="AZ545" s="97"/>
      <c r="BA545" s="97"/>
      <c r="BB545" s="97"/>
      <c r="BC545" s="97"/>
      <c r="BD545" s="97"/>
      <c r="BE545" s="97"/>
      <c r="BF545" s="97"/>
      <c r="BG545" s="97"/>
      <c r="BH545" s="97"/>
      <c r="BI545" s="97"/>
      <c r="BJ545" s="97"/>
      <c r="BK545" s="97"/>
      <c r="BL545" s="97"/>
      <c r="BM545" s="97"/>
      <c r="BN545" s="97"/>
      <c r="BO545" s="97"/>
      <c r="BP545" s="97"/>
      <c r="BQ545" s="97"/>
      <c r="BR545" s="97"/>
      <c r="BS545" s="97"/>
      <c r="BT545" s="97"/>
      <c r="BU545" s="97"/>
      <c r="BV545" s="97"/>
      <c r="BW545" s="97"/>
      <c r="BX545" s="97"/>
      <c r="BY545" s="97"/>
      <c r="BZ545" s="97"/>
      <c r="CA545" s="97"/>
      <c r="CB545" s="97"/>
      <c r="CC545" s="97"/>
      <c r="CD545" s="97"/>
      <c r="CE545" s="97"/>
      <c r="CF545" s="97"/>
      <c r="CG545" s="97"/>
      <c r="CH545" s="97"/>
      <c r="CI545" s="97"/>
      <c r="CJ545" s="97"/>
      <c r="CK545" s="97"/>
      <c r="CL545" s="97"/>
      <c r="CM545" s="97"/>
      <c r="CN545" s="97"/>
      <c r="CO545" s="97"/>
      <c r="CP545" s="97"/>
      <c r="CQ545" s="97"/>
    </row>
    <row r="546" spans="1:95" ht="15" customHeight="1" outlineLevel="1">
      <c r="A546" s="97"/>
      <c r="B546" s="134"/>
      <c r="C546" s="134"/>
      <c r="D546" s="134"/>
      <c r="E546" s="134"/>
      <c r="F546" s="134"/>
      <c r="G546" s="134"/>
      <c r="H546" s="134"/>
      <c r="I546" s="134"/>
      <c r="J546" s="134"/>
      <c r="K546" s="134"/>
      <c r="L546" s="134"/>
      <c r="M546" s="134"/>
      <c r="N546" s="134"/>
      <c r="O546" s="97"/>
      <c r="P546" s="97"/>
      <c r="Q546" s="97"/>
      <c r="R546" s="97"/>
      <c r="S546" s="97"/>
      <c r="T546" s="97"/>
      <c r="U546" s="97"/>
      <c r="V546" s="97"/>
      <c r="W546" s="97"/>
      <c r="X546" s="97"/>
      <c r="Y546" s="97"/>
      <c r="Z546" s="97"/>
      <c r="AA546" s="97"/>
      <c r="AB546" s="97"/>
      <c r="AC546" s="97"/>
      <c r="AD546" s="97"/>
      <c r="AE546" s="97"/>
      <c r="AF546" s="97"/>
      <c r="AG546" s="97"/>
      <c r="AH546" s="97"/>
      <c r="AI546" s="97"/>
      <c r="AJ546" s="97"/>
      <c r="AK546" s="97"/>
      <c r="AL546" s="97"/>
      <c r="AM546" s="97"/>
      <c r="AN546" s="97"/>
      <c r="AO546" s="97"/>
      <c r="AP546" s="97"/>
      <c r="AQ546" s="97"/>
      <c r="AR546" s="97"/>
      <c r="AS546" s="97"/>
      <c r="AT546" s="97"/>
      <c r="AU546" s="97"/>
      <c r="AV546" s="97"/>
      <c r="AW546" s="97"/>
      <c r="AX546" s="97"/>
      <c r="AY546" s="97"/>
      <c r="AZ546" s="97"/>
      <c r="BA546" s="97"/>
      <c r="BB546" s="97"/>
      <c r="BC546" s="97"/>
      <c r="BD546" s="97"/>
      <c r="BE546" s="97"/>
      <c r="BF546" s="97"/>
      <c r="BG546" s="97"/>
      <c r="BH546" s="97"/>
      <c r="BI546" s="97"/>
      <c r="BJ546" s="97"/>
      <c r="BK546" s="97"/>
      <c r="BL546" s="97"/>
      <c r="BM546" s="97"/>
      <c r="BN546" s="97"/>
      <c r="BO546" s="97"/>
      <c r="BP546" s="97"/>
      <c r="BQ546" s="97"/>
      <c r="BR546" s="97"/>
      <c r="BS546" s="97"/>
      <c r="BT546" s="97"/>
      <c r="BU546" s="97"/>
      <c r="BV546" s="97"/>
      <c r="BW546" s="97"/>
      <c r="BX546" s="97"/>
      <c r="BY546" s="97"/>
      <c r="BZ546" s="97"/>
      <c r="CA546" s="97"/>
      <c r="CB546" s="97"/>
      <c r="CC546" s="97"/>
      <c r="CD546" s="97"/>
      <c r="CE546" s="97"/>
      <c r="CF546" s="97"/>
      <c r="CG546" s="97"/>
      <c r="CH546" s="97"/>
      <c r="CI546" s="97"/>
      <c r="CJ546" s="97"/>
      <c r="CK546" s="97"/>
      <c r="CL546" s="97"/>
      <c r="CM546" s="97"/>
      <c r="CN546" s="97"/>
      <c r="CO546" s="97"/>
      <c r="CP546" s="97"/>
      <c r="CQ546" s="97"/>
    </row>
    <row r="547" spans="1:95" s="5" customFormat="1" ht="15.6" outlineLevel="1">
      <c r="B547" s="5" t="s">
        <v>645</v>
      </c>
    </row>
    <row r="548" spans="1:95" ht="15" customHeight="1" outlineLevel="1">
      <c r="A548" s="97"/>
      <c r="B548" s="134"/>
      <c r="C548" s="134"/>
      <c r="D548" s="134"/>
      <c r="E548" s="134"/>
      <c r="F548" s="134"/>
      <c r="G548" s="134"/>
      <c r="H548" s="134"/>
      <c r="I548" s="134"/>
      <c r="J548" s="134"/>
      <c r="K548" s="134"/>
      <c r="L548" s="134"/>
      <c r="M548" s="134"/>
      <c r="N548" s="134"/>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7"/>
      <c r="AN548" s="97"/>
      <c r="AO548" s="97"/>
      <c r="AP548" s="97"/>
      <c r="AQ548" s="97"/>
      <c r="AR548" s="97"/>
      <c r="AS548" s="97"/>
      <c r="AT548" s="97"/>
      <c r="AU548" s="97"/>
      <c r="AV548" s="97"/>
      <c r="AW548" s="97"/>
      <c r="AX548" s="97"/>
      <c r="AY548" s="97"/>
      <c r="AZ548" s="97"/>
      <c r="BA548" s="97"/>
      <c r="BB548" s="97"/>
      <c r="BC548" s="97"/>
      <c r="BD548" s="97"/>
      <c r="BE548" s="97"/>
      <c r="BF548" s="97"/>
      <c r="BG548" s="97"/>
      <c r="BH548" s="97"/>
      <c r="BI548" s="97"/>
      <c r="BJ548" s="97"/>
      <c r="BK548" s="97"/>
      <c r="BL548" s="97"/>
      <c r="BM548" s="97"/>
      <c r="BN548" s="97"/>
      <c r="BO548" s="97"/>
      <c r="BP548" s="97"/>
      <c r="BQ548" s="97"/>
      <c r="BR548" s="97"/>
      <c r="BS548" s="97"/>
      <c r="BT548" s="97"/>
      <c r="BU548" s="97"/>
      <c r="BV548" s="97"/>
      <c r="BW548" s="97"/>
      <c r="BX548" s="97"/>
      <c r="BY548" s="97"/>
      <c r="BZ548" s="97"/>
      <c r="CA548" s="97"/>
      <c r="CB548" s="97"/>
      <c r="CC548" s="97"/>
      <c r="CD548" s="97"/>
      <c r="CE548" s="97"/>
      <c r="CF548" s="97"/>
      <c r="CG548" s="97"/>
      <c r="CH548" s="97"/>
      <c r="CI548" s="97"/>
      <c r="CJ548" s="97"/>
      <c r="CK548" s="97"/>
      <c r="CL548" s="97"/>
      <c r="CM548" s="97"/>
      <c r="CN548" s="97"/>
      <c r="CO548" s="97"/>
      <c r="CP548" s="97"/>
      <c r="CQ548" s="97"/>
    </row>
    <row r="549" spans="1:95" ht="15" customHeight="1" outlineLevel="1">
      <c r="A549" s="97"/>
      <c r="B549" s="122"/>
      <c r="C549" s="60" t="s">
        <v>79</v>
      </c>
      <c r="D549" s="61" t="s">
        <v>80</v>
      </c>
      <c r="E549" s="104" t="s">
        <v>81</v>
      </c>
      <c r="F549" s="104" t="s">
        <v>82</v>
      </c>
      <c r="G549" s="104" t="s">
        <v>83</v>
      </c>
      <c r="H549" s="104" t="s">
        <v>84</v>
      </c>
      <c r="I549" s="104" t="s">
        <v>85</v>
      </c>
      <c r="J549" s="104" t="s">
        <v>86</v>
      </c>
      <c r="K549" s="104" t="s">
        <v>87</v>
      </c>
      <c r="L549" s="104" t="s">
        <v>88</v>
      </c>
      <c r="M549" s="104" t="s">
        <v>89</v>
      </c>
      <c r="N549" s="104" t="s">
        <v>90</v>
      </c>
      <c r="O549" s="104" t="s">
        <v>91</v>
      </c>
      <c r="P549" s="104" t="s">
        <v>92</v>
      </c>
      <c r="Q549" s="104" t="s">
        <v>93</v>
      </c>
      <c r="R549" s="97"/>
      <c r="S549" s="97"/>
      <c r="T549" s="97"/>
      <c r="U549" s="97"/>
      <c r="V549" s="97"/>
      <c r="W549" s="97"/>
      <c r="X549" s="97"/>
      <c r="Y549" s="97"/>
      <c r="Z549" s="97"/>
      <c r="AA549" s="97"/>
      <c r="AB549" s="97"/>
      <c r="AC549" s="97"/>
      <c r="AD549" s="97"/>
      <c r="AE549" s="97"/>
      <c r="AF549" s="97"/>
      <c r="AG549" s="97"/>
      <c r="AH549" s="97"/>
      <c r="AI549" s="97"/>
      <c r="AJ549" s="97"/>
      <c r="AK549" s="97"/>
      <c r="AL549" s="97"/>
      <c r="AM549" s="97"/>
      <c r="AN549" s="97"/>
      <c r="AO549" s="97"/>
      <c r="AP549" s="97"/>
      <c r="AQ549" s="97"/>
      <c r="AR549" s="97"/>
      <c r="AS549" s="97"/>
      <c r="AT549" s="97"/>
      <c r="AU549" s="97"/>
      <c r="AV549" s="97"/>
      <c r="AW549" s="97"/>
      <c r="AX549" s="97"/>
      <c r="AY549" s="97"/>
      <c r="AZ549" s="97"/>
      <c r="BA549" s="97"/>
      <c r="BB549" s="97"/>
      <c r="BC549" s="97"/>
      <c r="BD549" s="97"/>
      <c r="BE549" s="97"/>
      <c r="BF549" s="97"/>
      <c r="BG549" s="97"/>
      <c r="BH549" s="97"/>
      <c r="BI549" s="97"/>
      <c r="BJ549" s="97"/>
      <c r="BK549" s="97"/>
      <c r="BL549" s="97"/>
      <c r="BM549" s="97"/>
      <c r="BN549" s="97"/>
      <c r="BO549" s="97"/>
      <c r="BP549" s="97"/>
      <c r="BQ549" s="97"/>
      <c r="BR549" s="97"/>
      <c r="BS549" s="97"/>
      <c r="BT549" s="97"/>
      <c r="BU549" s="97"/>
      <c r="BV549" s="97"/>
      <c r="BW549" s="97"/>
      <c r="BX549" s="97"/>
      <c r="BY549" s="97"/>
      <c r="BZ549" s="97"/>
      <c r="CA549" s="97"/>
      <c r="CB549" s="97"/>
      <c r="CC549" s="97"/>
      <c r="CD549" s="97"/>
      <c r="CE549" s="97"/>
      <c r="CF549" s="97"/>
      <c r="CG549" s="97"/>
      <c r="CH549" s="97"/>
      <c r="CI549" s="97"/>
      <c r="CJ549" s="97"/>
      <c r="CK549" s="97"/>
      <c r="CL549" s="97"/>
      <c r="CM549" s="97"/>
      <c r="CN549" s="97"/>
      <c r="CO549" s="97"/>
      <c r="CP549" s="97"/>
      <c r="CQ549" s="97"/>
    </row>
    <row r="550" spans="1:95" ht="15" customHeight="1" outlineLevel="1">
      <c r="A550" s="97"/>
      <c r="B550" s="60" t="s">
        <v>94</v>
      </c>
      <c r="C550" s="130"/>
      <c r="D550" s="135"/>
      <c r="E550" s="129"/>
      <c r="F550" s="129"/>
      <c r="G550" s="129"/>
      <c r="H550" s="129"/>
      <c r="I550" s="129"/>
      <c r="J550" s="129"/>
      <c r="K550" s="129"/>
      <c r="L550" s="129"/>
      <c r="M550" s="129"/>
      <c r="N550" s="129"/>
      <c r="O550" s="129"/>
      <c r="P550" s="129"/>
      <c r="Q550" s="130"/>
      <c r="R550" s="97"/>
      <c r="S550" s="97"/>
      <c r="T550" s="97"/>
      <c r="U550" s="97"/>
      <c r="V550" s="97"/>
      <c r="W550" s="97"/>
      <c r="X550" s="97"/>
      <c r="Y550" s="97"/>
      <c r="Z550" s="97"/>
      <c r="AA550" s="97"/>
      <c r="AB550" s="97"/>
      <c r="AC550" s="97"/>
      <c r="AD550" s="97"/>
      <c r="AE550" s="97"/>
      <c r="AF550" s="97"/>
      <c r="AG550" s="97"/>
      <c r="AH550" s="97"/>
      <c r="AI550" s="97"/>
      <c r="AJ550" s="97"/>
      <c r="AK550" s="97"/>
      <c r="AL550" s="97"/>
      <c r="AM550" s="97"/>
      <c r="AN550" s="97"/>
      <c r="AO550" s="97"/>
      <c r="AP550" s="97"/>
      <c r="AQ550" s="97"/>
      <c r="AR550" s="97"/>
      <c r="AS550" s="97"/>
      <c r="AT550" s="97"/>
      <c r="AU550" s="97"/>
      <c r="AV550" s="97"/>
      <c r="AW550" s="97"/>
      <c r="AX550" s="97"/>
      <c r="AY550" s="97"/>
      <c r="AZ550" s="97"/>
      <c r="BA550" s="97"/>
      <c r="BB550" s="97"/>
      <c r="BC550" s="97"/>
      <c r="BD550" s="97"/>
      <c r="BE550" s="97"/>
      <c r="BF550" s="97"/>
      <c r="BG550" s="97"/>
      <c r="BH550" s="97"/>
      <c r="BI550" s="97"/>
      <c r="BJ550" s="97"/>
      <c r="BK550" s="97"/>
      <c r="BL550" s="97"/>
      <c r="BM550" s="97"/>
      <c r="BN550" s="97"/>
      <c r="BO550" s="97"/>
      <c r="BP550" s="97"/>
      <c r="BQ550" s="97"/>
      <c r="BR550" s="97"/>
      <c r="BS550" s="97"/>
      <c r="BT550" s="97"/>
      <c r="BU550" s="97"/>
      <c r="BV550" s="97"/>
      <c r="BW550" s="97"/>
      <c r="BX550" s="97"/>
      <c r="BY550" s="97"/>
      <c r="BZ550" s="97"/>
      <c r="CA550" s="97"/>
      <c r="CB550" s="97"/>
      <c r="CC550" s="97"/>
      <c r="CD550" s="97"/>
      <c r="CE550" s="97"/>
      <c r="CF550" s="97"/>
      <c r="CG550" s="97"/>
      <c r="CH550" s="97"/>
      <c r="CI550" s="97"/>
      <c r="CJ550" s="97"/>
      <c r="CK550" s="97"/>
      <c r="CL550" s="97"/>
      <c r="CM550" s="97"/>
      <c r="CN550" s="97"/>
      <c r="CO550" s="97"/>
      <c r="CP550" s="97"/>
      <c r="CQ550" s="97"/>
    </row>
    <row r="551" spans="1:95" ht="15" customHeight="1" outlineLevel="1">
      <c r="A551" s="97"/>
      <c r="B551" s="61" t="s">
        <v>80</v>
      </c>
      <c r="C551" s="136"/>
      <c r="D551" s="137">
        <f t="shared" ref="D551:Q551" si="204">Forecast_without_45_with_xx*Without_45_with_xx_dementia_value</f>
        <v>0</v>
      </c>
      <c r="E551" s="137">
        <f t="shared" si="204"/>
        <v>0</v>
      </c>
      <c r="F551" s="137">
        <f t="shared" si="204"/>
        <v>0</v>
      </c>
      <c r="G551" s="137">
        <f t="shared" si="204"/>
        <v>0</v>
      </c>
      <c r="H551" s="137">
        <f t="shared" si="204"/>
        <v>0</v>
      </c>
      <c r="I551" s="137">
        <f t="shared" si="204"/>
        <v>0</v>
      </c>
      <c r="J551" s="137">
        <f t="shared" si="204"/>
        <v>0</v>
      </c>
      <c r="K551" s="137">
        <f t="shared" si="204"/>
        <v>0</v>
      </c>
      <c r="L551" s="137">
        <f t="shared" si="204"/>
        <v>0</v>
      </c>
      <c r="M551" s="137">
        <f t="shared" si="204"/>
        <v>0</v>
      </c>
      <c r="N551" s="137">
        <f t="shared" si="204"/>
        <v>0</v>
      </c>
      <c r="O551" s="137">
        <f t="shared" si="204"/>
        <v>0</v>
      </c>
      <c r="P551" s="137">
        <f t="shared" si="204"/>
        <v>0</v>
      </c>
      <c r="Q551" s="137">
        <f t="shared" si="204"/>
        <v>0</v>
      </c>
      <c r="R551" s="22" t="s">
        <v>646</v>
      </c>
      <c r="S551" s="97"/>
      <c r="T551" s="97"/>
      <c r="U551" s="97"/>
      <c r="V551" s="97"/>
      <c r="W551" s="97"/>
      <c r="X551" s="97"/>
      <c r="Y551" s="97"/>
      <c r="Z551" s="97"/>
      <c r="AA551" s="97"/>
      <c r="AB551" s="97"/>
      <c r="AC551" s="97"/>
      <c r="AD551" s="97"/>
      <c r="AE551" s="97"/>
      <c r="AF551" s="97"/>
      <c r="AG551" s="97"/>
      <c r="AH551" s="97"/>
      <c r="AI551" s="97"/>
      <c r="AJ551" s="97"/>
      <c r="AK551" s="97"/>
      <c r="AL551" s="97"/>
      <c r="AM551" s="97"/>
      <c r="AN551" s="97"/>
      <c r="AO551" s="97"/>
      <c r="AP551" s="97"/>
      <c r="AQ551" s="97"/>
      <c r="AR551" s="97"/>
      <c r="AS551" s="97"/>
      <c r="AT551" s="97"/>
      <c r="AU551" s="97"/>
      <c r="AV551" s="97"/>
      <c r="AW551" s="97"/>
      <c r="AX551" s="97"/>
      <c r="AY551" s="97"/>
      <c r="AZ551" s="97"/>
      <c r="BA551" s="97"/>
      <c r="BB551" s="97"/>
      <c r="BC551" s="97"/>
      <c r="BD551" s="97"/>
      <c r="BE551" s="97"/>
      <c r="BF551" s="97"/>
      <c r="BG551" s="97"/>
      <c r="BH551" s="97"/>
      <c r="BI551" s="97"/>
      <c r="BJ551" s="97"/>
      <c r="BK551" s="97"/>
      <c r="BL551" s="97"/>
      <c r="BM551" s="97"/>
      <c r="BN551" s="97"/>
      <c r="BO551" s="97"/>
      <c r="BP551" s="97"/>
      <c r="BQ551" s="97"/>
      <c r="BR551" s="97"/>
      <c r="BS551" s="97"/>
      <c r="BT551" s="97"/>
      <c r="BU551" s="97"/>
      <c r="BV551" s="97"/>
      <c r="BW551" s="97"/>
      <c r="BX551" s="97"/>
      <c r="BY551" s="97"/>
      <c r="BZ551" s="97"/>
      <c r="CA551" s="97"/>
      <c r="CB551" s="97"/>
      <c r="CC551" s="97"/>
      <c r="CD551" s="97"/>
      <c r="CE551" s="97"/>
      <c r="CF551" s="97"/>
      <c r="CG551" s="97"/>
      <c r="CH551" s="97"/>
      <c r="CI551" s="97"/>
      <c r="CJ551" s="97"/>
      <c r="CK551" s="97"/>
      <c r="CL551" s="97"/>
      <c r="CM551" s="97"/>
      <c r="CN551" s="97"/>
      <c r="CO551" s="97"/>
      <c r="CP551" s="97"/>
      <c r="CQ551" s="97"/>
    </row>
    <row r="552" spans="1:95" ht="15" customHeight="1" outlineLevel="1">
      <c r="A552" s="97"/>
      <c r="B552" s="104" t="s">
        <v>81</v>
      </c>
      <c r="C552" s="138"/>
      <c r="D552" s="137">
        <f t="shared" ref="D552:Q552" si="205">Forecast_without_45_48_with_xx*Without_45_48_with_xx_dementia_value</f>
        <v>0</v>
      </c>
      <c r="E552" s="137">
        <f t="shared" si="205"/>
        <v>0</v>
      </c>
      <c r="F552" s="137">
        <f t="shared" si="205"/>
        <v>0</v>
      </c>
      <c r="G552" s="137">
        <f t="shared" si="205"/>
        <v>0</v>
      </c>
      <c r="H552" s="137">
        <f t="shared" si="205"/>
        <v>0</v>
      </c>
      <c r="I552" s="137">
        <f t="shared" si="205"/>
        <v>0</v>
      </c>
      <c r="J552" s="137">
        <f t="shared" si="205"/>
        <v>0</v>
      </c>
      <c r="K552" s="137">
        <f t="shared" si="205"/>
        <v>0</v>
      </c>
      <c r="L552" s="137">
        <f t="shared" si="205"/>
        <v>0</v>
      </c>
      <c r="M552" s="137">
        <f t="shared" si="205"/>
        <v>0</v>
      </c>
      <c r="N552" s="137">
        <f t="shared" si="205"/>
        <v>0</v>
      </c>
      <c r="O552" s="137">
        <f t="shared" si="205"/>
        <v>0</v>
      </c>
      <c r="P552" s="137">
        <f t="shared" si="205"/>
        <v>0</v>
      </c>
      <c r="Q552" s="137">
        <f t="shared" si="205"/>
        <v>0</v>
      </c>
      <c r="R552" s="22" t="s">
        <v>647</v>
      </c>
      <c r="S552" s="97"/>
      <c r="T552" s="97"/>
      <c r="U552" s="97"/>
      <c r="V552" s="97"/>
      <c r="W552" s="97"/>
      <c r="X552" s="97"/>
      <c r="Y552" s="97"/>
      <c r="Z552" s="97"/>
      <c r="AA552" s="97"/>
      <c r="AB552" s="97"/>
      <c r="AC552" s="97"/>
      <c r="AD552" s="97"/>
      <c r="AE552" s="97"/>
      <c r="AF552" s="97"/>
      <c r="AG552" s="97"/>
      <c r="AH552" s="97"/>
      <c r="AI552" s="97"/>
      <c r="AJ552" s="97"/>
      <c r="AK552" s="97"/>
      <c r="AL552" s="97"/>
      <c r="AM552" s="97"/>
      <c r="AN552" s="97"/>
      <c r="AO552" s="97"/>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c r="BM552" s="97"/>
      <c r="BN552" s="97"/>
      <c r="BO552" s="97"/>
      <c r="BP552" s="97"/>
      <c r="BQ552" s="97"/>
      <c r="BR552" s="97"/>
      <c r="BS552" s="97"/>
      <c r="BT552" s="97"/>
      <c r="BU552" s="97"/>
      <c r="BV552" s="97"/>
      <c r="BW552" s="97"/>
      <c r="BX552" s="97"/>
      <c r="BY552" s="97"/>
      <c r="BZ552" s="97"/>
      <c r="CA552" s="97"/>
      <c r="CB552" s="97"/>
      <c r="CC552" s="97"/>
      <c r="CD552" s="97"/>
      <c r="CE552" s="97"/>
      <c r="CF552" s="97"/>
      <c r="CG552" s="97"/>
      <c r="CH552" s="97"/>
      <c r="CI552" s="97"/>
      <c r="CJ552" s="97"/>
      <c r="CK552" s="97"/>
      <c r="CL552" s="97"/>
      <c r="CM552" s="97"/>
      <c r="CN552" s="97"/>
      <c r="CO552" s="97"/>
      <c r="CP552" s="97"/>
      <c r="CQ552" s="97"/>
    </row>
    <row r="553" spans="1:95" ht="15" customHeight="1" outlineLevel="1">
      <c r="A553" s="97"/>
      <c r="B553" s="104" t="s">
        <v>82</v>
      </c>
      <c r="C553" s="138"/>
      <c r="D553" s="137">
        <f t="shared" ref="D553:Q553" si="206">Forecast_without_48_51_with_xx*Without_48_51_with_xx_dementia_value</f>
        <v>0</v>
      </c>
      <c r="E553" s="137">
        <f t="shared" si="206"/>
        <v>0</v>
      </c>
      <c r="F553" s="137">
        <f t="shared" si="206"/>
        <v>0</v>
      </c>
      <c r="G553" s="137">
        <f t="shared" si="206"/>
        <v>0</v>
      </c>
      <c r="H553" s="137">
        <f t="shared" si="206"/>
        <v>0</v>
      </c>
      <c r="I553" s="137">
        <f t="shared" si="206"/>
        <v>0</v>
      </c>
      <c r="J553" s="137">
        <f t="shared" si="206"/>
        <v>0</v>
      </c>
      <c r="K553" s="137">
        <f t="shared" si="206"/>
        <v>0</v>
      </c>
      <c r="L553" s="137">
        <f t="shared" si="206"/>
        <v>0</v>
      </c>
      <c r="M553" s="137">
        <f t="shared" si="206"/>
        <v>0</v>
      </c>
      <c r="N553" s="137">
        <f t="shared" si="206"/>
        <v>0</v>
      </c>
      <c r="O553" s="137">
        <f t="shared" si="206"/>
        <v>0</v>
      </c>
      <c r="P553" s="137">
        <f t="shared" si="206"/>
        <v>0</v>
      </c>
      <c r="Q553" s="137">
        <f t="shared" si="206"/>
        <v>0</v>
      </c>
      <c r="R553" s="22" t="s">
        <v>648</v>
      </c>
      <c r="S553" s="97"/>
      <c r="T553" s="97"/>
      <c r="U553" s="97"/>
      <c r="V553" s="97"/>
      <c r="W553" s="97"/>
      <c r="X553" s="97"/>
      <c r="Y553" s="97"/>
      <c r="Z553" s="97"/>
      <c r="AA553" s="97"/>
      <c r="AB553" s="97"/>
      <c r="AC553" s="97"/>
      <c r="AD553" s="97"/>
      <c r="AE553" s="97"/>
      <c r="AF553" s="97"/>
      <c r="AG553" s="97"/>
      <c r="AH553" s="97"/>
      <c r="AI553" s="97"/>
      <c r="AJ553" s="97"/>
      <c r="AK553" s="97"/>
      <c r="AL553" s="97"/>
      <c r="AM553" s="97"/>
      <c r="AN553" s="97"/>
      <c r="AO553" s="97"/>
      <c r="AP553" s="97"/>
      <c r="AQ553" s="97"/>
      <c r="AR553" s="97"/>
      <c r="AS553" s="97"/>
      <c r="AT553" s="97"/>
      <c r="AU553" s="97"/>
      <c r="AV553" s="97"/>
      <c r="AW553" s="97"/>
      <c r="AX553" s="97"/>
      <c r="AY553" s="97"/>
      <c r="AZ553" s="97"/>
      <c r="BA553" s="97"/>
      <c r="BB553" s="97"/>
      <c r="BC553" s="97"/>
      <c r="BD553" s="97"/>
      <c r="BE553" s="97"/>
      <c r="BF553" s="97"/>
      <c r="BG553" s="97"/>
      <c r="BH553" s="97"/>
      <c r="BI553" s="97"/>
      <c r="BJ553" s="97"/>
      <c r="BK553" s="97"/>
      <c r="BL553" s="97"/>
      <c r="BM553" s="97"/>
      <c r="BN553" s="97"/>
      <c r="BO553" s="97"/>
      <c r="BP553" s="97"/>
      <c r="BQ553" s="97"/>
      <c r="BR553" s="97"/>
      <c r="BS553" s="97"/>
      <c r="BT553" s="97"/>
      <c r="BU553" s="97"/>
      <c r="BV553" s="97"/>
      <c r="BW553" s="97"/>
      <c r="BX553" s="97"/>
      <c r="BY553" s="97"/>
      <c r="BZ553" s="97"/>
      <c r="CA553" s="97"/>
      <c r="CB553" s="97"/>
      <c r="CC553" s="97"/>
      <c r="CD553" s="97"/>
      <c r="CE553" s="97"/>
      <c r="CF553" s="97"/>
      <c r="CG553" s="97"/>
      <c r="CH553" s="97"/>
      <c r="CI553" s="97"/>
      <c r="CJ553" s="97"/>
      <c r="CK553" s="97"/>
      <c r="CL553" s="97"/>
      <c r="CM553" s="97"/>
      <c r="CN553" s="97"/>
      <c r="CO553" s="97"/>
      <c r="CP553" s="97"/>
      <c r="CQ553" s="97"/>
    </row>
    <row r="554" spans="1:95" ht="15" customHeight="1" outlineLevel="1">
      <c r="A554" s="97"/>
      <c r="B554" s="104" t="s">
        <v>83</v>
      </c>
      <c r="C554" s="138"/>
      <c r="D554" s="137">
        <f t="shared" ref="D554:Q554" si="207">Forecast_without_51_54_with_xx*Without_51_54_with_xx_dementia_value</f>
        <v>0</v>
      </c>
      <c r="E554" s="137">
        <f t="shared" si="207"/>
        <v>0</v>
      </c>
      <c r="F554" s="137">
        <f t="shared" si="207"/>
        <v>0</v>
      </c>
      <c r="G554" s="137">
        <f t="shared" si="207"/>
        <v>0</v>
      </c>
      <c r="H554" s="137">
        <f t="shared" si="207"/>
        <v>0</v>
      </c>
      <c r="I554" s="137">
        <f t="shared" si="207"/>
        <v>0</v>
      </c>
      <c r="J554" s="137">
        <f t="shared" si="207"/>
        <v>0</v>
      </c>
      <c r="K554" s="137">
        <f t="shared" si="207"/>
        <v>0</v>
      </c>
      <c r="L554" s="137">
        <f t="shared" si="207"/>
        <v>0</v>
      </c>
      <c r="M554" s="137">
        <f t="shared" si="207"/>
        <v>0</v>
      </c>
      <c r="N554" s="137">
        <f t="shared" si="207"/>
        <v>0</v>
      </c>
      <c r="O554" s="137">
        <f t="shared" si="207"/>
        <v>0</v>
      </c>
      <c r="P554" s="137">
        <f t="shared" si="207"/>
        <v>0</v>
      </c>
      <c r="Q554" s="137">
        <f t="shared" si="207"/>
        <v>0</v>
      </c>
      <c r="R554" s="22" t="s">
        <v>649</v>
      </c>
      <c r="S554" s="97"/>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7"/>
      <c r="AW554" s="97"/>
      <c r="AX554" s="97"/>
      <c r="AY554" s="97"/>
      <c r="AZ554" s="97"/>
      <c r="BA554" s="97"/>
      <c r="BB554" s="97"/>
      <c r="BC554" s="97"/>
      <c r="BD554" s="97"/>
      <c r="BE554" s="97"/>
      <c r="BF554" s="97"/>
      <c r="BG554" s="97"/>
      <c r="BH554" s="97"/>
      <c r="BI554" s="97"/>
      <c r="BJ554" s="97"/>
      <c r="BK554" s="97"/>
      <c r="BL554" s="97"/>
      <c r="BM554" s="97"/>
      <c r="BN554" s="97"/>
      <c r="BO554" s="97"/>
      <c r="BP554" s="97"/>
      <c r="BQ554" s="97"/>
      <c r="BR554" s="97"/>
      <c r="BS554" s="97"/>
      <c r="BT554" s="97"/>
      <c r="BU554" s="97"/>
      <c r="BV554" s="97"/>
      <c r="BW554" s="97"/>
      <c r="BX554" s="97"/>
      <c r="BY554" s="97"/>
      <c r="BZ554" s="97"/>
      <c r="CA554" s="97"/>
      <c r="CB554" s="97"/>
      <c r="CC554" s="97"/>
      <c r="CD554" s="97"/>
      <c r="CE554" s="97"/>
      <c r="CF554" s="97"/>
      <c r="CG554" s="97"/>
      <c r="CH554" s="97"/>
      <c r="CI554" s="97"/>
      <c r="CJ554" s="97"/>
      <c r="CK554" s="97"/>
      <c r="CL554" s="97"/>
      <c r="CM554" s="97"/>
      <c r="CN554" s="97"/>
      <c r="CO554" s="97"/>
      <c r="CP554" s="97"/>
      <c r="CQ554" s="97"/>
    </row>
    <row r="555" spans="1:95" ht="15" customHeight="1" outlineLevel="1">
      <c r="A555" s="97"/>
      <c r="B555" s="104" t="s">
        <v>84</v>
      </c>
      <c r="C555" s="138"/>
      <c r="D555" s="137">
        <f t="shared" ref="D555:Q555" si="208">Forecast_without_54_57_with_xx*Without_54_57_with_xx_dementia_value</f>
        <v>0</v>
      </c>
      <c r="E555" s="137">
        <f t="shared" si="208"/>
        <v>0</v>
      </c>
      <c r="F555" s="137">
        <f t="shared" si="208"/>
        <v>0</v>
      </c>
      <c r="G555" s="137">
        <f t="shared" si="208"/>
        <v>0</v>
      </c>
      <c r="H555" s="137">
        <f t="shared" si="208"/>
        <v>0</v>
      </c>
      <c r="I555" s="137">
        <f t="shared" si="208"/>
        <v>0</v>
      </c>
      <c r="J555" s="137">
        <f t="shared" si="208"/>
        <v>0</v>
      </c>
      <c r="K555" s="137">
        <f t="shared" si="208"/>
        <v>0</v>
      </c>
      <c r="L555" s="137">
        <f t="shared" si="208"/>
        <v>0</v>
      </c>
      <c r="M555" s="137">
        <f t="shared" si="208"/>
        <v>0</v>
      </c>
      <c r="N555" s="137">
        <f t="shared" si="208"/>
        <v>0</v>
      </c>
      <c r="O555" s="137">
        <f t="shared" si="208"/>
        <v>0</v>
      </c>
      <c r="P555" s="137">
        <f t="shared" si="208"/>
        <v>0</v>
      </c>
      <c r="Q555" s="137">
        <f t="shared" si="208"/>
        <v>0</v>
      </c>
      <c r="R555" s="22" t="s">
        <v>650</v>
      </c>
      <c r="S555" s="97"/>
      <c r="T555" s="97"/>
      <c r="U555" s="97"/>
      <c r="V555" s="97"/>
      <c r="W555" s="97"/>
      <c r="X555" s="97"/>
      <c r="Y555" s="97"/>
      <c r="Z555" s="97"/>
      <c r="AA555" s="97"/>
      <c r="AB555" s="97"/>
      <c r="AC555" s="97"/>
      <c r="AD555" s="97"/>
      <c r="AE555" s="97"/>
      <c r="AF555" s="97"/>
      <c r="AG555" s="97"/>
      <c r="AH555" s="97"/>
      <c r="AI555" s="97"/>
      <c r="AJ555" s="97"/>
      <c r="AK555" s="97"/>
      <c r="AL555" s="97"/>
      <c r="AM555" s="97"/>
      <c r="AN555" s="97"/>
      <c r="AO555" s="97"/>
      <c r="AP555" s="97"/>
      <c r="AQ555" s="97"/>
      <c r="AR555" s="97"/>
      <c r="AS555" s="97"/>
      <c r="AT555" s="97"/>
      <c r="AU555" s="97"/>
      <c r="AV555" s="97"/>
      <c r="AW555" s="97"/>
      <c r="AX555" s="97"/>
      <c r="AY555" s="97"/>
      <c r="AZ555" s="97"/>
      <c r="BA555" s="97"/>
      <c r="BB555" s="97"/>
      <c r="BC555" s="97"/>
      <c r="BD555" s="97"/>
      <c r="BE555" s="97"/>
      <c r="BF555" s="97"/>
      <c r="BG555" s="97"/>
      <c r="BH555" s="97"/>
      <c r="BI555" s="97"/>
      <c r="BJ555" s="97"/>
      <c r="BK555" s="97"/>
      <c r="BL555" s="97"/>
      <c r="BM555" s="97"/>
      <c r="BN555" s="97"/>
      <c r="BO555" s="97"/>
      <c r="BP555" s="97"/>
      <c r="BQ555" s="97"/>
      <c r="BR555" s="97"/>
      <c r="BS555" s="97"/>
      <c r="BT555" s="97"/>
      <c r="BU555" s="97"/>
      <c r="BV555" s="97"/>
      <c r="BW555" s="97"/>
      <c r="BX555" s="97"/>
      <c r="BY555" s="97"/>
      <c r="BZ555" s="97"/>
      <c r="CA555" s="97"/>
      <c r="CB555" s="97"/>
      <c r="CC555" s="97"/>
      <c r="CD555" s="97"/>
      <c r="CE555" s="97"/>
      <c r="CF555" s="97"/>
      <c r="CG555" s="97"/>
      <c r="CH555" s="97"/>
      <c r="CI555" s="97"/>
      <c r="CJ555" s="97"/>
      <c r="CK555" s="97"/>
      <c r="CL555" s="97"/>
      <c r="CM555" s="97"/>
      <c r="CN555" s="97"/>
      <c r="CO555" s="97"/>
      <c r="CP555" s="97"/>
      <c r="CQ555" s="97"/>
    </row>
    <row r="556" spans="1:95" ht="15" customHeight="1" outlineLevel="1">
      <c r="A556" s="97"/>
      <c r="B556" s="104" t="s">
        <v>85</v>
      </c>
      <c r="C556" s="138"/>
      <c r="D556" s="137">
        <f t="shared" ref="D556:Q556" si="209">Forecast_without_57_60_with_xx*Without_57_60_with_xx_dementia_value</f>
        <v>0</v>
      </c>
      <c r="E556" s="137">
        <f t="shared" si="209"/>
        <v>0</v>
      </c>
      <c r="F556" s="137">
        <f t="shared" si="209"/>
        <v>0</v>
      </c>
      <c r="G556" s="137">
        <f t="shared" si="209"/>
        <v>0</v>
      </c>
      <c r="H556" s="137">
        <f t="shared" si="209"/>
        <v>0</v>
      </c>
      <c r="I556" s="137">
        <f t="shared" si="209"/>
        <v>0</v>
      </c>
      <c r="J556" s="137">
        <f t="shared" si="209"/>
        <v>0</v>
      </c>
      <c r="K556" s="137">
        <f t="shared" si="209"/>
        <v>0</v>
      </c>
      <c r="L556" s="137">
        <f t="shared" si="209"/>
        <v>0</v>
      </c>
      <c r="M556" s="137">
        <f t="shared" si="209"/>
        <v>0</v>
      </c>
      <c r="N556" s="137">
        <f t="shared" si="209"/>
        <v>0</v>
      </c>
      <c r="O556" s="137">
        <f t="shared" si="209"/>
        <v>0</v>
      </c>
      <c r="P556" s="137">
        <f t="shared" si="209"/>
        <v>0</v>
      </c>
      <c r="Q556" s="137">
        <f t="shared" si="209"/>
        <v>0</v>
      </c>
      <c r="R556" s="22" t="s">
        <v>651</v>
      </c>
      <c r="S556" s="97"/>
      <c r="T556" s="97"/>
      <c r="U556" s="97"/>
      <c r="V556" s="97"/>
      <c r="W556" s="97"/>
      <c r="X556" s="97"/>
      <c r="Y556" s="97"/>
      <c r="Z556" s="97"/>
      <c r="AA556" s="97"/>
      <c r="AB556" s="97"/>
      <c r="AC556" s="97"/>
      <c r="AD556" s="97"/>
      <c r="AE556" s="97"/>
      <c r="AF556" s="97"/>
      <c r="AG556" s="97"/>
      <c r="AH556" s="97"/>
      <c r="AI556" s="97"/>
      <c r="AJ556" s="97"/>
      <c r="AK556" s="97"/>
      <c r="AL556" s="97"/>
      <c r="AM556" s="97"/>
      <c r="AN556" s="97"/>
      <c r="AO556" s="97"/>
      <c r="AP556" s="97"/>
      <c r="AQ556" s="97"/>
      <c r="AR556" s="97"/>
      <c r="AS556" s="97"/>
      <c r="AT556" s="97"/>
      <c r="AU556" s="97"/>
      <c r="AV556" s="97"/>
      <c r="AW556" s="97"/>
      <c r="AX556" s="97"/>
      <c r="AY556" s="97"/>
      <c r="AZ556" s="97"/>
      <c r="BA556" s="97"/>
      <c r="BB556" s="97"/>
      <c r="BC556" s="97"/>
      <c r="BD556" s="97"/>
      <c r="BE556" s="97"/>
      <c r="BF556" s="97"/>
      <c r="BG556" s="97"/>
      <c r="BH556" s="97"/>
      <c r="BI556" s="97"/>
      <c r="BJ556" s="97"/>
      <c r="BK556" s="97"/>
      <c r="BL556" s="97"/>
      <c r="BM556" s="97"/>
      <c r="BN556" s="97"/>
      <c r="BO556" s="97"/>
      <c r="BP556" s="97"/>
      <c r="BQ556" s="97"/>
      <c r="BR556" s="97"/>
      <c r="BS556" s="97"/>
      <c r="BT556" s="97"/>
      <c r="BU556" s="97"/>
      <c r="BV556" s="97"/>
      <c r="BW556" s="97"/>
      <c r="BX556" s="97"/>
      <c r="BY556" s="97"/>
      <c r="BZ556" s="97"/>
      <c r="CA556" s="97"/>
      <c r="CB556" s="97"/>
      <c r="CC556" s="97"/>
      <c r="CD556" s="97"/>
      <c r="CE556" s="97"/>
      <c r="CF556" s="97"/>
      <c r="CG556" s="97"/>
      <c r="CH556" s="97"/>
      <c r="CI556" s="97"/>
      <c r="CJ556" s="97"/>
      <c r="CK556" s="97"/>
      <c r="CL556" s="97"/>
      <c r="CM556" s="97"/>
      <c r="CN556" s="97"/>
      <c r="CO556" s="97"/>
      <c r="CP556" s="97"/>
      <c r="CQ556" s="97"/>
    </row>
    <row r="557" spans="1:95" ht="15" customHeight="1" outlineLevel="1">
      <c r="A557" s="97"/>
      <c r="B557" s="104" t="s">
        <v>86</v>
      </c>
      <c r="C557" s="138"/>
      <c r="D557" s="137">
        <f t="shared" ref="D557:Q557" si="210">Forecast_without_60_63_with_xx*Without_60_63_with_xx_dementia_value</f>
        <v>0</v>
      </c>
      <c r="E557" s="137">
        <f t="shared" si="210"/>
        <v>0</v>
      </c>
      <c r="F557" s="137">
        <f t="shared" si="210"/>
        <v>0</v>
      </c>
      <c r="G557" s="137">
        <f t="shared" si="210"/>
        <v>0</v>
      </c>
      <c r="H557" s="137">
        <f t="shared" si="210"/>
        <v>0</v>
      </c>
      <c r="I557" s="137">
        <f t="shared" si="210"/>
        <v>0</v>
      </c>
      <c r="J557" s="137">
        <f t="shared" si="210"/>
        <v>0</v>
      </c>
      <c r="K557" s="137">
        <f t="shared" si="210"/>
        <v>0</v>
      </c>
      <c r="L557" s="137">
        <f t="shared" si="210"/>
        <v>0</v>
      </c>
      <c r="M557" s="137">
        <f t="shared" si="210"/>
        <v>0</v>
      </c>
      <c r="N557" s="137">
        <f t="shared" si="210"/>
        <v>0</v>
      </c>
      <c r="O557" s="137">
        <f t="shared" si="210"/>
        <v>0</v>
      </c>
      <c r="P557" s="137">
        <f t="shared" si="210"/>
        <v>0</v>
      </c>
      <c r="Q557" s="137">
        <f t="shared" si="210"/>
        <v>0</v>
      </c>
      <c r="R557" s="22" t="s">
        <v>652</v>
      </c>
      <c r="S557" s="97"/>
      <c r="T557" s="97"/>
      <c r="U557" s="97"/>
      <c r="V557" s="97"/>
      <c r="W557" s="97"/>
      <c r="X557" s="97"/>
      <c r="Y557" s="97"/>
      <c r="Z557" s="97"/>
      <c r="AA557" s="97"/>
      <c r="AB557" s="97"/>
      <c r="AC557" s="97"/>
      <c r="AD557" s="97"/>
      <c r="AE557" s="97"/>
      <c r="AF557" s="97"/>
      <c r="AG557" s="97"/>
      <c r="AH557" s="97"/>
      <c r="AI557" s="97"/>
      <c r="AJ557" s="97"/>
      <c r="AK557" s="97"/>
      <c r="AL557" s="97"/>
      <c r="AM557" s="97"/>
      <c r="AN557" s="97"/>
      <c r="AO557" s="97"/>
      <c r="AP557" s="97"/>
      <c r="AQ557" s="97"/>
      <c r="AR557" s="97"/>
      <c r="AS557" s="97"/>
      <c r="AT557" s="97"/>
      <c r="AU557" s="97"/>
      <c r="AV557" s="97"/>
      <c r="AW557" s="97"/>
      <c r="AX557" s="97"/>
      <c r="AY557" s="97"/>
      <c r="AZ557" s="97"/>
      <c r="BA557" s="97"/>
      <c r="BB557" s="97"/>
      <c r="BC557" s="97"/>
      <c r="BD557" s="97"/>
      <c r="BE557" s="97"/>
      <c r="BF557" s="97"/>
      <c r="BG557" s="97"/>
      <c r="BH557" s="97"/>
      <c r="BI557" s="97"/>
      <c r="BJ557" s="97"/>
      <c r="BK557" s="97"/>
      <c r="BL557" s="97"/>
      <c r="BM557" s="97"/>
      <c r="BN557" s="97"/>
      <c r="BO557" s="97"/>
      <c r="BP557" s="97"/>
      <c r="BQ557" s="97"/>
      <c r="BR557" s="97"/>
      <c r="BS557" s="97"/>
      <c r="BT557" s="97"/>
      <c r="BU557" s="97"/>
      <c r="BV557" s="97"/>
      <c r="BW557" s="97"/>
      <c r="BX557" s="97"/>
      <c r="BY557" s="97"/>
      <c r="BZ557" s="97"/>
      <c r="CA557" s="97"/>
      <c r="CB557" s="97"/>
      <c r="CC557" s="97"/>
      <c r="CD557" s="97"/>
      <c r="CE557" s="97"/>
      <c r="CF557" s="97"/>
      <c r="CG557" s="97"/>
      <c r="CH557" s="97"/>
      <c r="CI557" s="97"/>
      <c r="CJ557" s="97"/>
      <c r="CK557" s="97"/>
      <c r="CL557" s="97"/>
      <c r="CM557" s="97"/>
      <c r="CN557" s="97"/>
      <c r="CO557" s="97"/>
      <c r="CP557" s="97"/>
      <c r="CQ557" s="97"/>
    </row>
    <row r="558" spans="1:95" ht="15" customHeight="1" outlineLevel="1">
      <c r="A558" s="97"/>
      <c r="B558" s="104" t="s">
        <v>87</v>
      </c>
      <c r="C558" s="138"/>
      <c r="D558" s="137">
        <f t="shared" ref="D558:Q558" si="211">Forecast_without_63_66_with_xx*Without_63_66_with_xx_dementia_value</f>
        <v>0</v>
      </c>
      <c r="E558" s="137">
        <f t="shared" si="211"/>
        <v>0</v>
      </c>
      <c r="F558" s="137">
        <f t="shared" si="211"/>
        <v>0</v>
      </c>
      <c r="G558" s="137">
        <f t="shared" si="211"/>
        <v>0</v>
      </c>
      <c r="H558" s="137">
        <f t="shared" si="211"/>
        <v>0</v>
      </c>
      <c r="I558" s="137">
        <f t="shared" si="211"/>
        <v>0</v>
      </c>
      <c r="J558" s="137">
        <f t="shared" si="211"/>
        <v>0</v>
      </c>
      <c r="K558" s="137">
        <f t="shared" si="211"/>
        <v>0</v>
      </c>
      <c r="L558" s="137">
        <f t="shared" si="211"/>
        <v>0</v>
      </c>
      <c r="M558" s="137">
        <f t="shared" si="211"/>
        <v>0</v>
      </c>
      <c r="N558" s="137">
        <f t="shared" si="211"/>
        <v>0</v>
      </c>
      <c r="O558" s="137">
        <f t="shared" si="211"/>
        <v>0</v>
      </c>
      <c r="P558" s="137">
        <f t="shared" si="211"/>
        <v>0</v>
      </c>
      <c r="Q558" s="137">
        <f t="shared" si="211"/>
        <v>0</v>
      </c>
      <c r="R558" s="22" t="s">
        <v>653</v>
      </c>
      <c r="S558" s="97"/>
      <c r="T558" s="97"/>
      <c r="U558" s="97"/>
      <c r="V558" s="97"/>
      <c r="W558" s="97"/>
      <c r="X558" s="97"/>
      <c r="Y558" s="97"/>
      <c r="Z558" s="97"/>
      <c r="AA558" s="97"/>
      <c r="AB558" s="97"/>
      <c r="AC558" s="97"/>
      <c r="AD558" s="97"/>
      <c r="AE558" s="97"/>
      <c r="AF558" s="97"/>
      <c r="AG558" s="97"/>
      <c r="AH558" s="97"/>
      <c r="AI558" s="97"/>
      <c r="AJ558" s="97"/>
      <c r="AK558" s="97"/>
      <c r="AL558" s="97"/>
      <c r="AM558" s="97"/>
      <c r="AN558" s="97"/>
      <c r="AO558" s="97"/>
      <c r="AP558" s="97"/>
      <c r="AQ558" s="97"/>
      <c r="AR558" s="97"/>
      <c r="AS558" s="97"/>
      <c r="AT558" s="97"/>
      <c r="AU558" s="97"/>
      <c r="AV558" s="97"/>
      <c r="AW558" s="97"/>
      <c r="AX558" s="97"/>
      <c r="AY558" s="97"/>
      <c r="AZ558" s="97"/>
      <c r="BA558" s="97"/>
      <c r="BB558" s="97"/>
      <c r="BC558" s="97"/>
      <c r="BD558" s="97"/>
      <c r="BE558" s="97"/>
      <c r="BF558" s="97"/>
      <c r="BG558" s="97"/>
      <c r="BH558" s="97"/>
      <c r="BI558" s="97"/>
      <c r="BJ558" s="97"/>
      <c r="BK558" s="97"/>
      <c r="BL558" s="97"/>
      <c r="BM558" s="97"/>
      <c r="BN558" s="97"/>
      <c r="BO558" s="97"/>
      <c r="BP558" s="97"/>
      <c r="BQ558" s="97"/>
      <c r="BR558" s="97"/>
      <c r="BS558" s="97"/>
      <c r="BT558" s="97"/>
      <c r="BU558" s="97"/>
      <c r="BV558" s="97"/>
      <c r="BW558" s="97"/>
      <c r="BX558" s="97"/>
      <c r="BY558" s="97"/>
      <c r="BZ558" s="97"/>
      <c r="CA558" s="97"/>
      <c r="CB558" s="97"/>
      <c r="CC558" s="97"/>
      <c r="CD558" s="97"/>
      <c r="CE558" s="97"/>
      <c r="CF558" s="97"/>
      <c r="CG558" s="97"/>
      <c r="CH558" s="97"/>
      <c r="CI558" s="97"/>
      <c r="CJ558" s="97"/>
      <c r="CK558" s="97"/>
      <c r="CL558" s="97"/>
      <c r="CM558" s="97"/>
      <c r="CN558" s="97"/>
      <c r="CO558" s="97"/>
      <c r="CP558" s="97"/>
      <c r="CQ558" s="97"/>
    </row>
    <row r="559" spans="1:95" ht="15" customHeight="1" outlineLevel="1">
      <c r="A559" s="97"/>
      <c r="B559" s="104" t="s">
        <v>88</v>
      </c>
      <c r="C559" s="138"/>
      <c r="D559" s="137">
        <f t="shared" ref="D559:Q559" si="212">Forecast_without_66_69_with_xx*Without_66_69_with_xx_dementia_value</f>
        <v>0</v>
      </c>
      <c r="E559" s="137">
        <f t="shared" si="212"/>
        <v>0</v>
      </c>
      <c r="F559" s="137">
        <f t="shared" si="212"/>
        <v>0</v>
      </c>
      <c r="G559" s="137">
        <f t="shared" si="212"/>
        <v>0</v>
      </c>
      <c r="H559" s="137">
        <f t="shared" si="212"/>
        <v>0</v>
      </c>
      <c r="I559" s="137">
        <f t="shared" si="212"/>
        <v>0</v>
      </c>
      <c r="J559" s="137">
        <f t="shared" si="212"/>
        <v>0</v>
      </c>
      <c r="K559" s="137">
        <f t="shared" si="212"/>
        <v>0</v>
      </c>
      <c r="L559" s="137">
        <f t="shared" si="212"/>
        <v>0</v>
      </c>
      <c r="M559" s="137">
        <f t="shared" si="212"/>
        <v>0</v>
      </c>
      <c r="N559" s="137">
        <f t="shared" si="212"/>
        <v>0</v>
      </c>
      <c r="O559" s="137">
        <f t="shared" si="212"/>
        <v>0</v>
      </c>
      <c r="P559" s="137">
        <f t="shared" si="212"/>
        <v>0</v>
      </c>
      <c r="Q559" s="137">
        <f t="shared" si="212"/>
        <v>0</v>
      </c>
      <c r="R559" s="22" t="s">
        <v>654</v>
      </c>
      <c r="S559" s="97"/>
      <c r="T559" s="97"/>
      <c r="U559" s="97"/>
      <c r="V559" s="97"/>
      <c r="W559" s="97"/>
      <c r="X559" s="97"/>
      <c r="Y559" s="97"/>
      <c r="Z559" s="97"/>
      <c r="AA559" s="97"/>
      <c r="AB559" s="97"/>
      <c r="AC559" s="97"/>
      <c r="AD559" s="97"/>
      <c r="AE559" s="97"/>
      <c r="AF559" s="97"/>
      <c r="AG559" s="97"/>
      <c r="AH559" s="97"/>
      <c r="AI559" s="97"/>
      <c r="AJ559" s="97"/>
      <c r="AK559" s="97"/>
      <c r="AL559" s="97"/>
      <c r="AM559" s="97"/>
      <c r="AN559" s="97"/>
      <c r="AO559" s="97"/>
      <c r="AP559" s="97"/>
      <c r="AQ559" s="97"/>
      <c r="AR559" s="97"/>
      <c r="AS559" s="97"/>
      <c r="AT559" s="97"/>
      <c r="AU559" s="97"/>
      <c r="AV559" s="97"/>
      <c r="AW559" s="97"/>
      <c r="AX559" s="97"/>
      <c r="AY559" s="97"/>
      <c r="AZ559" s="97"/>
      <c r="BA559" s="97"/>
      <c r="BB559" s="97"/>
      <c r="BC559" s="97"/>
      <c r="BD559" s="97"/>
      <c r="BE559" s="97"/>
      <c r="BF559" s="97"/>
      <c r="BG559" s="97"/>
      <c r="BH559" s="97"/>
      <c r="BI559" s="97"/>
      <c r="BJ559" s="97"/>
      <c r="BK559" s="97"/>
      <c r="BL559" s="97"/>
      <c r="BM559" s="97"/>
      <c r="BN559" s="97"/>
      <c r="BO559" s="97"/>
      <c r="BP559" s="97"/>
      <c r="BQ559" s="97"/>
      <c r="BR559" s="97"/>
      <c r="BS559" s="97"/>
      <c r="BT559" s="97"/>
      <c r="BU559" s="97"/>
      <c r="BV559" s="97"/>
      <c r="BW559" s="97"/>
      <c r="BX559" s="97"/>
      <c r="BY559" s="97"/>
      <c r="BZ559" s="97"/>
      <c r="CA559" s="97"/>
      <c r="CB559" s="97"/>
      <c r="CC559" s="97"/>
      <c r="CD559" s="97"/>
      <c r="CE559" s="97"/>
      <c r="CF559" s="97"/>
      <c r="CG559" s="97"/>
      <c r="CH559" s="97"/>
      <c r="CI559" s="97"/>
      <c r="CJ559" s="97"/>
      <c r="CK559" s="97"/>
      <c r="CL559" s="97"/>
      <c r="CM559" s="97"/>
      <c r="CN559" s="97"/>
      <c r="CO559" s="97"/>
      <c r="CP559" s="97"/>
      <c r="CQ559" s="97"/>
    </row>
    <row r="560" spans="1:95" ht="15" customHeight="1" outlineLevel="1">
      <c r="A560" s="97"/>
      <c r="B560" s="104" t="s">
        <v>89</v>
      </c>
      <c r="C560" s="138"/>
      <c r="D560" s="137">
        <f t="shared" ref="D560:Q560" si="213">Forecast_without_69_72_with_xx*Without_69_72_with_xx_dementia_value</f>
        <v>0</v>
      </c>
      <c r="E560" s="137">
        <f t="shared" si="213"/>
        <v>0</v>
      </c>
      <c r="F560" s="137">
        <f t="shared" si="213"/>
        <v>0</v>
      </c>
      <c r="G560" s="137">
        <f t="shared" si="213"/>
        <v>0</v>
      </c>
      <c r="H560" s="137">
        <f t="shared" si="213"/>
        <v>0</v>
      </c>
      <c r="I560" s="137">
        <f t="shared" si="213"/>
        <v>0</v>
      </c>
      <c r="J560" s="137">
        <f t="shared" si="213"/>
        <v>0</v>
      </c>
      <c r="K560" s="137">
        <f t="shared" si="213"/>
        <v>0</v>
      </c>
      <c r="L560" s="137">
        <f t="shared" si="213"/>
        <v>0</v>
      </c>
      <c r="M560" s="137">
        <f t="shared" si="213"/>
        <v>0</v>
      </c>
      <c r="N560" s="137">
        <f t="shared" si="213"/>
        <v>0</v>
      </c>
      <c r="O560" s="137">
        <f t="shared" si="213"/>
        <v>0</v>
      </c>
      <c r="P560" s="137">
        <f t="shared" si="213"/>
        <v>0</v>
      </c>
      <c r="Q560" s="137">
        <f t="shared" si="213"/>
        <v>0</v>
      </c>
      <c r="R560" s="22" t="s">
        <v>655</v>
      </c>
      <c r="S560" s="97"/>
      <c r="T560" s="97"/>
      <c r="U560" s="97"/>
      <c r="V560" s="97"/>
      <c r="W560" s="97"/>
      <c r="X560" s="97"/>
      <c r="Y560" s="97"/>
      <c r="Z560" s="97"/>
      <c r="AA560" s="97"/>
      <c r="AB560" s="97"/>
      <c r="AC560" s="97"/>
      <c r="AD560" s="97"/>
      <c r="AE560" s="97"/>
      <c r="AF560" s="97"/>
      <c r="AG560" s="97"/>
      <c r="AH560" s="97"/>
      <c r="AI560" s="97"/>
      <c r="AJ560" s="97"/>
      <c r="AK560" s="97"/>
      <c r="AL560" s="97"/>
      <c r="AM560" s="97"/>
      <c r="AN560" s="97"/>
      <c r="AO560" s="97"/>
      <c r="AP560" s="97"/>
      <c r="AQ560" s="97"/>
      <c r="AR560" s="97"/>
      <c r="AS560" s="97"/>
      <c r="AT560" s="97"/>
      <c r="AU560" s="97"/>
      <c r="AV560" s="97"/>
      <c r="AW560" s="97"/>
      <c r="AX560" s="97"/>
      <c r="AY560" s="97"/>
      <c r="AZ560" s="97"/>
      <c r="BA560" s="97"/>
      <c r="BB560" s="97"/>
      <c r="BC560" s="97"/>
      <c r="BD560" s="97"/>
      <c r="BE560" s="97"/>
      <c r="BF560" s="97"/>
      <c r="BG560" s="97"/>
      <c r="BH560" s="97"/>
      <c r="BI560" s="97"/>
      <c r="BJ560" s="97"/>
      <c r="BK560" s="97"/>
      <c r="BL560" s="97"/>
      <c r="BM560" s="97"/>
      <c r="BN560" s="97"/>
      <c r="BO560" s="97"/>
      <c r="BP560" s="97"/>
      <c r="BQ560" s="97"/>
      <c r="BR560" s="97"/>
      <c r="BS560" s="97"/>
      <c r="BT560" s="97"/>
      <c r="BU560" s="97"/>
      <c r="BV560" s="97"/>
      <c r="BW560" s="97"/>
      <c r="BX560" s="97"/>
      <c r="BY560" s="97"/>
      <c r="BZ560" s="97"/>
      <c r="CA560" s="97"/>
      <c r="CB560" s="97"/>
      <c r="CC560" s="97"/>
      <c r="CD560" s="97"/>
      <c r="CE560" s="97"/>
      <c r="CF560" s="97"/>
      <c r="CG560" s="97"/>
      <c r="CH560" s="97"/>
      <c r="CI560" s="97"/>
      <c r="CJ560" s="97"/>
      <c r="CK560" s="97"/>
      <c r="CL560" s="97"/>
      <c r="CM560" s="97"/>
      <c r="CN560" s="97"/>
      <c r="CO560" s="97"/>
      <c r="CP560" s="97"/>
      <c r="CQ560" s="97"/>
    </row>
    <row r="561" spans="1:95" ht="15" customHeight="1" outlineLevel="1">
      <c r="A561" s="97"/>
      <c r="B561" s="104" t="s">
        <v>90</v>
      </c>
      <c r="C561" s="138"/>
      <c r="D561" s="137">
        <f t="shared" ref="D561:Q561" si="214">Forecast_without_72_75_with_xx*Without_72_75_with_xx_dementia_value</f>
        <v>0</v>
      </c>
      <c r="E561" s="137">
        <f t="shared" si="214"/>
        <v>0</v>
      </c>
      <c r="F561" s="137">
        <f t="shared" si="214"/>
        <v>0</v>
      </c>
      <c r="G561" s="137">
        <f t="shared" si="214"/>
        <v>0</v>
      </c>
      <c r="H561" s="137">
        <f t="shared" si="214"/>
        <v>0</v>
      </c>
      <c r="I561" s="137">
        <f t="shared" si="214"/>
        <v>0</v>
      </c>
      <c r="J561" s="137">
        <f t="shared" si="214"/>
        <v>0</v>
      </c>
      <c r="K561" s="137">
        <f t="shared" si="214"/>
        <v>0</v>
      </c>
      <c r="L561" s="137">
        <f t="shared" si="214"/>
        <v>0</v>
      </c>
      <c r="M561" s="137">
        <f t="shared" si="214"/>
        <v>0</v>
      </c>
      <c r="N561" s="137">
        <f t="shared" si="214"/>
        <v>0</v>
      </c>
      <c r="O561" s="137">
        <f t="shared" si="214"/>
        <v>0</v>
      </c>
      <c r="P561" s="137">
        <f t="shared" si="214"/>
        <v>0</v>
      </c>
      <c r="Q561" s="137">
        <f t="shared" si="214"/>
        <v>0</v>
      </c>
      <c r="R561" s="22" t="s">
        <v>656</v>
      </c>
      <c r="S561" s="97"/>
      <c r="T561" s="97"/>
      <c r="U561" s="97"/>
      <c r="V561" s="97"/>
      <c r="W561" s="97"/>
      <c r="X561" s="97"/>
      <c r="Y561" s="97"/>
      <c r="Z561" s="97"/>
      <c r="AA561" s="97"/>
      <c r="AB561" s="97"/>
      <c r="AC561" s="97"/>
      <c r="AD561" s="97"/>
      <c r="AE561" s="97"/>
      <c r="AF561" s="97"/>
      <c r="AG561" s="97"/>
      <c r="AH561" s="97"/>
      <c r="AI561" s="97"/>
      <c r="AJ561" s="97"/>
      <c r="AK561" s="97"/>
      <c r="AL561" s="97"/>
      <c r="AM561" s="97"/>
      <c r="AN561" s="97"/>
      <c r="AO561" s="97"/>
      <c r="AP561" s="97"/>
      <c r="AQ561" s="97"/>
      <c r="AR561" s="97"/>
      <c r="AS561" s="97"/>
      <c r="AT561" s="97"/>
      <c r="AU561" s="97"/>
      <c r="AV561" s="97"/>
      <c r="AW561" s="97"/>
      <c r="AX561" s="97"/>
      <c r="AY561" s="97"/>
      <c r="AZ561" s="97"/>
      <c r="BA561" s="97"/>
      <c r="BB561" s="97"/>
      <c r="BC561" s="97"/>
      <c r="BD561" s="97"/>
      <c r="BE561" s="97"/>
      <c r="BF561" s="97"/>
      <c r="BG561" s="97"/>
      <c r="BH561" s="97"/>
      <c r="BI561" s="97"/>
      <c r="BJ561" s="97"/>
      <c r="BK561" s="97"/>
      <c r="BL561" s="97"/>
      <c r="BM561" s="97"/>
      <c r="BN561" s="97"/>
      <c r="BO561" s="97"/>
      <c r="BP561" s="97"/>
      <c r="BQ561" s="97"/>
      <c r="BR561" s="97"/>
      <c r="BS561" s="97"/>
      <c r="BT561" s="97"/>
      <c r="BU561" s="97"/>
      <c r="BV561" s="97"/>
      <c r="BW561" s="97"/>
      <c r="BX561" s="97"/>
      <c r="BY561" s="97"/>
      <c r="BZ561" s="97"/>
      <c r="CA561" s="97"/>
      <c r="CB561" s="97"/>
      <c r="CC561" s="97"/>
      <c r="CD561" s="97"/>
      <c r="CE561" s="97"/>
      <c r="CF561" s="97"/>
      <c r="CG561" s="97"/>
      <c r="CH561" s="97"/>
      <c r="CI561" s="97"/>
      <c r="CJ561" s="97"/>
      <c r="CK561" s="97"/>
      <c r="CL561" s="97"/>
      <c r="CM561" s="97"/>
      <c r="CN561" s="97"/>
      <c r="CO561" s="97"/>
      <c r="CP561" s="97"/>
      <c r="CQ561" s="97"/>
    </row>
    <row r="562" spans="1:95" ht="15" customHeight="1" outlineLevel="1">
      <c r="A562" s="97"/>
      <c r="B562" s="104" t="s">
        <v>91</v>
      </c>
      <c r="C562" s="138"/>
      <c r="D562" s="137">
        <f t="shared" ref="D562:Q562" si="215">Forecast_without_75_78_with_xx*Without_75_78_with_xx_dementia_value</f>
        <v>0</v>
      </c>
      <c r="E562" s="137">
        <f t="shared" si="215"/>
        <v>0</v>
      </c>
      <c r="F562" s="137">
        <f t="shared" si="215"/>
        <v>0</v>
      </c>
      <c r="G562" s="137">
        <f t="shared" si="215"/>
        <v>0</v>
      </c>
      <c r="H562" s="137">
        <f t="shared" si="215"/>
        <v>0</v>
      </c>
      <c r="I562" s="137">
        <f t="shared" si="215"/>
        <v>0</v>
      </c>
      <c r="J562" s="137">
        <f t="shared" si="215"/>
        <v>0</v>
      </c>
      <c r="K562" s="137">
        <f t="shared" si="215"/>
        <v>0</v>
      </c>
      <c r="L562" s="137">
        <f t="shared" si="215"/>
        <v>0</v>
      </c>
      <c r="M562" s="137">
        <f t="shared" si="215"/>
        <v>0</v>
      </c>
      <c r="N562" s="137">
        <f t="shared" si="215"/>
        <v>0</v>
      </c>
      <c r="O562" s="137">
        <f t="shared" si="215"/>
        <v>0</v>
      </c>
      <c r="P562" s="137">
        <f t="shared" si="215"/>
        <v>0</v>
      </c>
      <c r="Q562" s="137">
        <f t="shared" si="215"/>
        <v>0</v>
      </c>
      <c r="R562" s="22" t="s">
        <v>657</v>
      </c>
      <c r="S562" s="97"/>
      <c r="T562" s="97"/>
      <c r="U562" s="97"/>
      <c r="V562" s="97"/>
      <c r="W562" s="97"/>
      <c r="X562" s="97"/>
      <c r="Y562" s="97"/>
      <c r="Z562" s="97"/>
      <c r="AA562" s="97"/>
      <c r="AB562" s="97"/>
      <c r="AC562" s="97"/>
      <c r="AD562" s="97"/>
      <c r="AE562" s="97"/>
      <c r="AF562" s="97"/>
      <c r="AG562" s="97"/>
      <c r="AH562" s="97"/>
      <c r="AI562" s="97"/>
      <c r="AJ562" s="97"/>
      <c r="AK562" s="97"/>
      <c r="AL562" s="97"/>
      <c r="AM562" s="97"/>
      <c r="AN562" s="97"/>
      <c r="AO562" s="97"/>
      <c r="AP562" s="97"/>
      <c r="AQ562" s="97"/>
      <c r="AR562" s="97"/>
      <c r="AS562" s="97"/>
      <c r="AT562" s="97"/>
      <c r="AU562" s="97"/>
      <c r="AV562" s="97"/>
      <c r="AW562" s="97"/>
      <c r="AX562" s="97"/>
      <c r="AY562" s="97"/>
      <c r="AZ562" s="97"/>
      <c r="BA562" s="97"/>
      <c r="BB562" s="97"/>
      <c r="BC562" s="97"/>
      <c r="BD562" s="97"/>
      <c r="BE562" s="97"/>
      <c r="BF562" s="97"/>
      <c r="BG562" s="97"/>
      <c r="BH562" s="97"/>
      <c r="BI562" s="97"/>
      <c r="BJ562" s="97"/>
      <c r="BK562" s="97"/>
      <c r="BL562" s="97"/>
      <c r="BM562" s="97"/>
      <c r="BN562" s="97"/>
      <c r="BO562" s="97"/>
      <c r="BP562" s="97"/>
      <c r="BQ562" s="97"/>
      <c r="BR562" s="97"/>
      <c r="BS562" s="97"/>
      <c r="BT562" s="97"/>
      <c r="BU562" s="97"/>
      <c r="BV562" s="97"/>
      <c r="BW562" s="97"/>
      <c r="BX562" s="97"/>
      <c r="BY562" s="97"/>
      <c r="BZ562" s="97"/>
      <c r="CA562" s="97"/>
      <c r="CB562" s="97"/>
      <c r="CC562" s="97"/>
      <c r="CD562" s="97"/>
      <c r="CE562" s="97"/>
      <c r="CF562" s="97"/>
      <c r="CG562" s="97"/>
      <c r="CH562" s="97"/>
      <c r="CI562" s="97"/>
      <c r="CJ562" s="97"/>
      <c r="CK562" s="97"/>
      <c r="CL562" s="97"/>
      <c r="CM562" s="97"/>
      <c r="CN562" s="97"/>
      <c r="CO562" s="97"/>
      <c r="CP562" s="97"/>
      <c r="CQ562" s="97"/>
    </row>
    <row r="563" spans="1:95" ht="15" customHeight="1" outlineLevel="1">
      <c r="A563" s="97"/>
      <c r="B563" s="104" t="s">
        <v>92</v>
      </c>
      <c r="C563" s="138"/>
      <c r="D563" s="137">
        <f t="shared" ref="D563:Q563" si="216">Forecast_without_78_81_with_xx*Without_78_81_with_xx_dementia_value</f>
        <v>0</v>
      </c>
      <c r="E563" s="137">
        <f t="shared" si="216"/>
        <v>0</v>
      </c>
      <c r="F563" s="137">
        <f t="shared" si="216"/>
        <v>0</v>
      </c>
      <c r="G563" s="137">
        <f t="shared" si="216"/>
        <v>0</v>
      </c>
      <c r="H563" s="137">
        <f t="shared" si="216"/>
        <v>0</v>
      </c>
      <c r="I563" s="137">
        <f t="shared" si="216"/>
        <v>0</v>
      </c>
      <c r="J563" s="137">
        <f t="shared" si="216"/>
        <v>0</v>
      </c>
      <c r="K563" s="137">
        <f t="shared" si="216"/>
        <v>0</v>
      </c>
      <c r="L563" s="137">
        <f t="shared" si="216"/>
        <v>0</v>
      </c>
      <c r="M563" s="137">
        <f t="shared" si="216"/>
        <v>0</v>
      </c>
      <c r="N563" s="137">
        <f t="shared" si="216"/>
        <v>0</v>
      </c>
      <c r="O563" s="137">
        <f t="shared" si="216"/>
        <v>0</v>
      </c>
      <c r="P563" s="137">
        <f t="shared" si="216"/>
        <v>0</v>
      </c>
      <c r="Q563" s="137">
        <f t="shared" si="216"/>
        <v>0</v>
      </c>
      <c r="R563" s="22" t="s">
        <v>658</v>
      </c>
      <c r="S563" s="97"/>
      <c r="T563" s="97"/>
      <c r="U563" s="97"/>
      <c r="V563" s="97"/>
      <c r="W563" s="97"/>
      <c r="X563" s="97"/>
      <c r="Y563" s="97"/>
      <c r="Z563" s="97"/>
      <c r="AA563" s="97"/>
      <c r="AB563" s="97"/>
      <c r="AC563" s="97"/>
      <c r="AD563" s="97"/>
      <c r="AE563" s="97"/>
      <c r="AF563" s="97"/>
      <c r="AG563" s="97"/>
      <c r="AH563" s="97"/>
      <c r="AI563" s="97"/>
      <c r="AJ563" s="97"/>
      <c r="AK563" s="97"/>
      <c r="AL563" s="97"/>
      <c r="AM563" s="97"/>
      <c r="AN563" s="97"/>
      <c r="AO563" s="97"/>
      <c r="AP563" s="97"/>
      <c r="AQ563" s="97"/>
      <c r="AR563" s="97"/>
      <c r="AS563" s="97"/>
      <c r="AT563" s="97"/>
      <c r="AU563" s="97"/>
      <c r="AV563" s="97"/>
      <c r="AW563" s="97"/>
      <c r="AX563" s="97"/>
      <c r="AY563" s="97"/>
      <c r="AZ563" s="97"/>
      <c r="BA563" s="97"/>
      <c r="BB563" s="97"/>
      <c r="BC563" s="97"/>
      <c r="BD563" s="97"/>
      <c r="BE563" s="97"/>
      <c r="BF563" s="97"/>
      <c r="BG563" s="97"/>
      <c r="BH563" s="97"/>
      <c r="BI563" s="97"/>
      <c r="BJ563" s="97"/>
      <c r="BK563" s="97"/>
      <c r="BL563" s="97"/>
      <c r="BM563" s="97"/>
      <c r="BN563" s="97"/>
      <c r="BO563" s="97"/>
      <c r="BP563" s="97"/>
      <c r="BQ563" s="97"/>
      <c r="BR563" s="97"/>
      <c r="BS563" s="97"/>
      <c r="BT563" s="97"/>
      <c r="BU563" s="97"/>
      <c r="BV563" s="97"/>
      <c r="BW563" s="97"/>
      <c r="BX563" s="97"/>
      <c r="BY563" s="97"/>
      <c r="BZ563" s="97"/>
      <c r="CA563" s="97"/>
      <c r="CB563" s="97"/>
      <c r="CC563" s="97"/>
      <c r="CD563" s="97"/>
      <c r="CE563" s="97"/>
      <c r="CF563" s="97"/>
      <c r="CG563" s="97"/>
      <c r="CH563" s="97"/>
      <c r="CI563" s="97"/>
      <c r="CJ563" s="97"/>
      <c r="CK563" s="97"/>
      <c r="CL563" s="97"/>
      <c r="CM563" s="97"/>
      <c r="CN563" s="97"/>
      <c r="CO563" s="97"/>
      <c r="CP563" s="97"/>
      <c r="CQ563" s="97"/>
    </row>
    <row r="564" spans="1:95" ht="15" customHeight="1" outlineLevel="1">
      <c r="A564" s="97"/>
      <c r="B564" s="104" t="s">
        <v>93</v>
      </c>
      <c r="C564" s="139"/>
      <c r="D564" s="137">
        <f t="shared" ref="D564:Q564" si="217">Forecast_without_81_with_xx*Without_81_with_xx_dementia_value</f>
        <v>0</v>
      </c>
      <c r="E564" s="137">
        <f t="shared" si="217"/>
        <v>0</v>
      </c>
      <c r="F564" s="137">
        <f t="shared" si="217"/>
        <v>0</v>
      </c>
      <c r="G564" s="137">
        <f t="shared" si="217"/>
        <v>0</v>
      </c>
      <c r="H564" s="137">
        <f t="shared" si="217"/>
        <v>0</v>
      </c>
      <c r="I564" s="137">
        <f t="shared" si="217"/>
        <v>0</v>
      </c>
      <c r="J564" s="137">
        <f t="shared" si="217"/>
        <v>0</v>
      </c>
      <c r="K564" s="137">
        <f t="shared" si="217"/>
        <v>0</v>
      </c>
      <c r="L564" s="137">
        <f t="shared" si="217"/>
        <v>0</v>
      </c>
      <c r="M564" s="137">
        <f t="shared" si="217"/>
        <v>0</v>
      </c>
      <c r="N564" s="137">
        <f t="shared" si="217"/>
        <v>0</v>
      </c>
      <c r="O564" s="137">
        <f t="shared" si="217"/>
        <v>0</v>
      </c>
      <c r="P564" s="137">
        <f t="shared" si="217"/>
        <v>0</v>
      </c>
      <c r="Q564" s="137">
        <f t="shared" si="217"/>
        <v>0</v>
      </c>
      <c r="R564" s="22" t="s">
        <v>659</v>
      </c>
      <c r="S564" s="97"/>
      <c r="T564" s="97"/>
      <c r="U564" s="97"/>
      <c r="V564" s="97"/>
      <c r="W564" s="97"/>
      <c r="X564" s="97"/>
      <c r="Y564" s="97"/>
      <c r="Z564" s="97"/>
      <c r="AA564" s="97"/>
      <c r="AB564" s="97"/>
      <c r="AC564" s="97"/>
      <c r="AD564" s="97"/>
      <c r="AE564" s="97"/>
      <c r="AF564" s="97"/>
      <c r="AG564" s="97"/>
      <c r="AH564" s="97"/>
      <c r="AI564" s="97"/>
      <c r="AJ564" s="97"/>
      <c r="AK564" s="97"/>
      <c r="AL564" s="97"/>
      <c r="AM564" s="97"/>
      <c r="AN564" s="97"/>
      <c r="AO564" s="97"/>
      <c r="AP564" s="97"/>
      <c r="AQ564" s="97"/>
      <c r="AR564" s="97"/>
      <c r="AS564" s="97"/>
      <c r="AT564" s="97"/>
      <c r="AU564" s="97"/>
      <c r="AV564" s="97"/>
      <c r="AW564" s="97"/>
      <c r="AX564" s="97"/>
      <c r="AY564" s="97"/>
      <c r="AZ564" s="97"/>
      <c r="BA564" s="97"/>
      <c r="BB564" s="97"/>
      <c r="BC564" s="97"/>
      <c r="BD564" s="97"/>
      <c r="BE564" s="97"/>
      <c r="BF564" s="97"/>
      <c r="BG564" s="97"/>
      <c r="BH564" s="97"/>
      <c r="BI564" s="97"/>
      <c r="BJ564" s="97"/>
      <c r="BK564" s="97"/>
      <c r="BL564" s="97"/>
      <c r="BM564" s="97"/>
      <c r="BN564" s="97"/>
      <c r="BO564" s="97"/>
      <c r="BP564" s="97"/>
      <c r="BQ564" s="97"/>
      <c r="BR564" s="97"/>
      <c r="BS564" s="97"/>
      <c r="BT564" s="97"/>
      <c r="BU564" s="97"/>
      <c r="BV564" s="97"/>
      <c r="BW564" s="97"/>
      <c r="BX564" s="97"/>
      <c r="BY564" s="97"/>
      <c r="BZ564" s="97"/>
      <c r="CA564" s="97"/>
      <c r="CB564" s="97"/>
      <c r="CC564" s="97"/>
      <c r="CD564" s="97"/>
      <c r="CE564" s="97"/>
      <c r="CF564" s="97"/>
      <c r="CG564" s="97"/>
      <c r="CH564" s="97"/>
      <c r="CI564" s="97"/>
      <c r="CJ564" s="97"/>
      <c r="CK564" s="97"/>
      <c r="CL564" s="97"/>
      <c r="CM564" s="97"/>
      <c r="CN564" s="97"/>
      <c r="CO564" s="97"/>
      <c r="CP564" s="97"/>
      <c r="CQ564" s="97"/>
    </row>
    <row r="565" spans="1:95" ht="15" customHeight="1" outlineLevel="1">
      <c r="A565" s="97"/>
      <c r="B565" s="134"/>
      <c r="C565" s="134"/>
      <c r="D565" s="134"/>
      <c r="E565" s="134"/>
      <c r="F565" s="134"/>
      <c r="G565" s="134"/>
      <c r="H565" s="134"/>
      <c r="I565" s="134"/>
      <c r="J565" s="134"/>
      <c r="K565" s="134"/>
      <c r="L565" s="134"/>
      <c r="M565" s="134"/>
      <c r="N565" s="134"/>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c r="AU565" s="97"/>
      <c r="AV565" s="97"/>
      <c r="AW565" s="97"/>
      <c r="AX565" s="97"/>
      <c r="AY565" s="97"/>
      <c r="AZ565" s="97"/>
      <c r="BA565" s="97"/>
      <c r="BB565" s="97"/>
      <c r="BC565" s="97"/>
      <c r="BD565" s="97"/>
      <c r="BE565" s="97"/>
      <c r="BF565" s="97"/>
      <c r="BG565" s="97"/>
      <c r="BH565" s="97"/>
      <c r="BI565" s="97"/>
      <c r="BJ565" s="97"/>
      <c r="BK565" s="97"/>
      <c r="BL565" s="97"/>
      <c r="BM565" s="97"/>
      <c r="BN565" s="97"/>
      <c r="BO565" s="97"/>
      <c r="BP565" s="97"/>
      <c r="BQ565" s="97"/>
      <c r="BR565" s="97"/>
      <c r="BS565" s="97"/>
      <c r="BT565" s="97"/>
      <c r="BU565" s="97"/>
      <c r="BV565" s="97"/>
      <c r="BW565" s="97"/>
      <c r="BX565" s="97"/>
      <c r="BY565" s="97"/>
      <c r="BZ565" s="97"/>
      <c r="CA565" s="97"/>
      <c r="CB565" s="97"/>
      <c r="CC565" s="97"/>
      <c r="CD565" s="97"/>
      <c r="CE565" s="97"/>
      <c r="CF565" s="97"/>
      <c r="CG565" s="97"/>
      <c r="CH565" s="97"/>
      <c r="CI565" s="97"/>
      <c r="CJ565" s="97"/>
      <c r="CK565" s="97"/>
      <c r="CL565" s="97"/>
      <c r="CM565" s="97"/>
      <c r="CN565" s="97"/>
      <c r="CO565" s="97"/>
      <c r="CP565" s="97"/>
      <c r="CQ565" s="97"/>
    </row>
    <row r="566" spans="1:95" ht="15" customHeight="1" outlineLevel="1">
      <c r="A566" s="97"/>
      <c r="B566" s="143" t="s">
        <v>660</v>
      </c>
      <c r="C566" s="141">
        <f>SUM(Forecast_without_45_with_xx_dementia_cost,Forecast_without_45_48_with_xx_dementia_cost,Forecast_without_48_51_with_xx_dementia_cost,Forecast_without_51_54_with_xx_dementia_cost,Forecast_without_54_57_with_xx_dementia_cost,Forecast_without_57_60_with_xx_dementia_cost,Forecast_without_60_63_with_xx_dementia_cost,Forecast_without_63_66_with_xx_dementia_cost,Forecast_without_66_69_with_xx_dementia_cost,Forecast_without_69_72_with_xx_dementia_cost,Forecast_without_72_75_with_xx_dementia_cost,Forecast_without_75_78_with_xx_dementia_cost,Forecast_without_78_81_with_xx_dementia_cost,Forecast_without_81_with_xx_dementia_cost,)</f>
        <v>0</v>
      </c>
      <c r="D566" s="24" t="s">
        <v>661</v>
      </c>
      <c r="E566" s="134"/>
      <c r="F566" s="134"/>
      <c r="G566" s="134"/>
      <c r="H566" s="134"/>
      <c r="I566" s="134"/>
      <c r="J566" s="134"/>
      <c r="K566" s="134"/>
      <c r="L566" s="134"/>
      <c r="M566" s="134"/>
      <c r="N566" s="134"/>
      <c r="O566" s="97"/>
      <c r="P566" s="97"/>
      <c r="Q566" s="97"/>
      <c r="R566" s="97"/>
      <c r="S566" s="97"/>
      <c r="T566" s="97"/>
      <c r="U566" s="97"/>
      <c r="V566" s="97"/>
      <c r="W566" s="97"/>
      <c r="X566" s="97"/>
      <c r="Y566" s="97"/>
      <c r="Z566" s="97"/>
      <c r="AA566" s="97"/>
      <c r="AB566" s="97"/>
      <c r="AC566" s="97"/>
      <c r="AD566" s="97"/>
      <c r="AE566" s="97"/>
      <c r="AF566" s="97"/>
      <c r="AG566" s="97"/>
      <c r="AH566" s="97"/>
      <c r="AI566" s="97"/>
      <c r="AJ566" s="97"/>
      <c r="AK566" s="97"/>
      <c r="AL566" s="97"/>
      <c r="AM566" s="97"/>
      <c r="AN566" s="97"/>
      <c r="AO566" s="97"/>
      <c r="AP566" s="97"/>
      <c r="AQ566" s="97"/>
      <c r="AR566" s="97"/>
      <c r="AS566" s="97"/>
      <c r="AT566" s="97"/>
      <c r="AU566" s="97"/>
      <c r="AV566" s="97"/>
      <c r="AW566" s="97"/>
      <c r="AX566" s="97"/>
      <c r="AY566" s="97"/>
      <c r="AZ566" s="97"/>
      <c r="BA566" s="97"/>
      <c r="BB566" s="97"/>
      <c r="BC566" s="97"/>
      <c r="BD566" s="97"/>
      <c r="BE566" s="97"/>
      <c r="BF566" s="97"/>
      <c r="BG566" s="97"/>
      <c r="BH566" s="97"/>
      <c r="BI566" s="97"/>
      <c r="BJ566" s="97"/>
      <c r="BK566" s="97"/>
      <c r="BL566" s="97"/>
      <c r="BM566" s="97"/>
      <c r="BN566" s="97"/>
      <c r="BO566" s="97"/>
      <c r="BP566" s="97"/>
      <c r="BQ566" s="97"/>
      <c r="BR566" s="97"/>
      <c r="BS566" s="97"/>
      <c r="BT566" s="97"/>
      <c r="BU566" s="97"/>
      <c r="BV566" s="97"/>
      <c r="BW566" s="97"/>
      <c r="BX566" s="97"/>
      <c r="BY566" s="97"/>
      <c r="BZ566" s="97"/>
      <c r="CA566" s="97"/>
      <c r="CB566" s="97"/>
      <c r="CC566" s="97"/>
      <c r="CD566" s="97"/>
      <c r="CE566" s="97"/>
      <c r="CF566" s="97"/>
      <c r="CG566" s="97"/>
      <c r="CH566" s="97"/>
      <c r="CI566" s="97"/>
      <c r="CJ566" s="97"/>
      <c r="CK566" s="97"/>
      <c r="CL566" s="97"/>
      <c r="CM566" s="97"/>
      <c r="CN566" s="97"/>
      <c r="CO566" s="97"/>
      <c r="CP566" s="97"/>
      <c r="CQ566" s="97"/>
    </row>
    <row r="567" spans="1:95" ht="15" customHeight="1" outlineLevel="1">
      <c r="A567" s="97"/>
      <c r="B567" s="143"/>
      <c r="C567" s="134"/>
      <c r="D567" s="24"/>
      <c r="E567" s="134"/>
      <c r="F567" s="134"/>
      <c r="G567" s="134"/>
      <c r="H567" s="134"/>
      <c r="I567" s="134"/>
      <c r="J567" s="134"/>
      <c r="K567" s="134"/>
      <c r="L567" s="134"/>
      <c r="M567" s="134"/>
      <c r="N567" s="134"/>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c r="AU567" s="97"/>
      <c r="AV567" s="97"/>
      <c r="AW567" s="97"/>
      <c r="AX567" s="97"/>
      <c r="AY567" s="97"/>
      <c r="AZ567" s="97"/>
      <c r="BA567" s="97"/>
      <c r="BB567" s="97"/>
      <c r="BC567" s="97"/>
      <c r="BD567" s="97"/>
      <c r="BE567" s="97"/>
      <c r="BF567" s="97"/>
      <c r="BG567" s="97"/>
      <c r="BH567" s="97"/>
      <c r="BI567" s="97"/>
      <c r="BJ567" s="97"/>
      <c r="BK567" s="97"/>
      <c r="BL567" s="97"/>
      <c r="BM567" s="97"/>
      <c r="BN567" s="97"/>
      <c r="BO567" s="97"/>
      <c r="BP567" s="97"/>
      <c r="BQ567" s="97"/>
      <c r="BR567" s="97"/>
      <c r="BS567" s="97"/>
      <c r="BT567" s="97"/>
      <c r="BU567" s="97"/>
      <c r="BV567" s="97"/>
      <c r="BW567" s="97"/>
      <c r="BX567" s="97"/>
      <c r="BY567" s="97"/>
      <c r="BZ567" s="97"/>
      <c r="CA567" s="97"/>
      <c r="CB567" s="97"/>
      <c r="CC567" s="97"/>
      <c r="CD567" s="97"/>
      <c r="CE567" s="97"/>
      <c r="CF567" s="97"/>
      <c r="CG567" s="97"/>
      <c r="CH567" s="97"/>
      <c r="CI567" s="97"/>
      <c r="CJ567" s="97"/>
      <c r="CK567" s="97"/>
      <c r="CL567" s="97"/>
      <c r="CM567" s="97"/>
      <c r="CN567" s="97"/>
      <c r="CO567" s="97"/>
      <c r="CP567" s="97"/>
      <c r="CQ567" s="97"/>
    </row>
    <row r="568" spans="1:95" ht="15" customHeight="1" outlineLevel="1">
      <c r="A568" s="97"/>
      <c r="B568" s="143" t="s">
        <v>662</v>
      </c>
      <c r="C568" s="141">
        <f>Forecast_year_dementia_cost-Opening_year_dementia_cost</f>
        <v>0</v>
      </c>
      <c r="D568" s="24" t="s">
        <v>663</v>
      </c>
      <c r="E568" s="134"/>
      <c r="F568" s="134"/>
      <c r="G568" s="134"/>
      <c r="H568" s="134"/>
      <c r="I568" s="134"/>
      <c r="J568" s="134"/>
      <c r="K568" s="134"/>
      <c r="L568" s="134"/>
      <c r="M568" s="134"/>
      <c r="N568" s="134"/>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c r="AU568" s="97"/>
      <c r="AV568" s="97"/>
      <c r="AW568" s="97"/>
      <c r="AX568" s="97"/>
      <c r="AY568" s="97"/>
      <c r="AZ568" s="97"/>
      <c r="BA568" s="97"/>
      <c r="BB568" s="97"/>
      <c r="BC568" s="97"/>
      <c r="BD568" s="97"/>
      <c r="BE568" s="97"/>
      <c r="BF568" s="97"/>
      <c r="BG568" s="97"/>
      <c r="BH568" s="97"/>
      <c r="BI568" s="97"/>
      <c r="BJ568" s="97"/>
      <c r="BK568" s="97"/>
      <c r="BL568" s="97"/>
      <c r="BM568" s="97"/>
      <c r="BN568" s="97"/>
      <c r="BO568" s="97"/>
      <c r="BP568" s="97"/>
      <c r="BQ568" s="97"/>
      <c r="BR568" s="97"/>
      <c r="BS568" s="97"/>
      <c r="BT568" s="97"/>
      <c r="BU568" s="97"/>
      <c r="BV568" s="97"/>
      <c r="BW568" s="97"/>
      <c r="BX568" s="97"/>
      <c r="BY568" s="97"/>
      <c r="BZ568" s="97"/>
      <c r="CA568" s="97"/>
      <c r="CB568" s="97"/>
      <c r="CC568" s="97"/>
      <c r="CD568" s="97"/>
      <c r="CE568" s="97"/>
      <c r="CF568" s="97"/>
      <c r="CG568" s="97"/>
      <c r="CH568" s="97"/>
      <c r="CI568" s="97"/>
      <c r="CJ568" s="97"/>
      <c r="CK568" s="97"/>
      <c r="CL568" s="97"/>
      <c r="CM568" s="97"/>
      <c r="CN568" s="97"/>
      <c r="CO568" s="97"/>
      <c r="CP568" s="97"/>
      <c r="CQ568" s="97"/>
    </row>
    <row r="569" spans="1:95" ht="14.45" outlineLevel="1">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97"/>
      <c r="AM569" s="97"/>
      <c r="AN569" s="97"/>
      <c r="AO569" s="97"/>
      <c r="AP569" s="97"/>
      <c r="AQ569" s="97"/>
      <c r="AR569" s="97"/>
      <c r="AS569" s="97"/>
      <c r="AT569" s="97"/>
      <c r="AU569" s="97"/>
      <c r="AV569" s="97"/>
      <c r="AW569" s="97"/>
      <c r="AX569" s="97"/>
      <c r="AY569" s="97"/>
      <c r="AZ569" s="97"/>
      <c r="BA569" s="97"/>
      <c r="BB569" s="97"/>
      <c r="BC569" s="97"/>
      <c r="BD569" s="97"/>
      <c r="BE569" s="97"/>
      <c r="BF569" s="97"/>
      <c r="BG569" s="97"/>
      <c r="BH569" s="97"/>
      <c r="BI569" s="97"/>
      <c r="BJ569" s="97"/>
      <c r="BK569" s="97"/>
      <c r="BL569" s="97"/>
      <c r="BM569" s="97"/>
      <c r="BN569" s="97"/>
      <c r="BO569" s="97"/>
      <c r="BP569" s="97"/>
      <c r="BQ569" s="97"/>
      <c r="BR569" s="97"/>
      <c r="BS569" s="97"/>
      <c r="BT569" s="97"/>
      <c r="BU569" s="97"/>
      <c r="BV569" s="97"/>
      <c r="BW569" s="97"/>
      <c r="BX569" s="97"/>
      <c r="BY569" s="97"/>
      <c r="BZ569" s="97"/>
      <c r="CA569" s="97"/>
      <c r="CB569" s="97"/>
      <c r="CC569" s="97"/>
      <c r="CD569" s="97"/>
      <c r="CE569" s="97"/>
      <c r="CF569" s="97"/>
      <c r="CG569" s="97"/>
      <c r="CH569" s="97"/>
      <c r="CI569" s="97"/>
      <c r="CJ569" s="97"/>
      <c r="CK569" s="97"/>
      <c r="CL569" s="97"/>
      <c r="CM569" s="97"/>
      <c r="CN569" s="97"/>
      <c r="CO569" s="97"/>
      <c r="CP569" s="97"/>
      <c r="CQ569" s="97"/>
    </row>
    <row r="570" spans="1:95" s="2" customFormat="1" ht="18.75" customHeight="1">
      <c r="B570" s="2" t="s">
        <v>664</v>
      </c>
    </row>
    <row r="571" spans="1:95" ht="14.25" customHeight="1">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7"/>
      <c r="AY571" s="97"/>
      <c r="AZ571" s="97"/>
      <c r="BA571" s="97"/>
      <c r="BB571" s="97"/>
      <c r="BC571" s="97"/>
      <c r="BD571" s="97"/>
      <c r="BE571" s="97"/>
      <c r="BF571" s="97"/>
      <c r="BG571" s="97"/>
      <c r="BH571" s="97"/>
      <c r="BI571" s="97"/>
      <c r="BJ571" s="97"/>
      <c r="BK571" s="97"/>
      <c r="BL571" s="97"/>
      <c r="BM571" s="97"/>
      <c r="BN571" s="97"/>
      <c r="BO571" s="97"/>
      <c r="BP571" s="97"/>
      <c r="BQ571" s="97"/>
      <c r="BR571" s="97"/>
      <c r="BS571" s="97"/>
      <c r="BT571" s="97"/>
      <c r="BU571" s="97"/>
      <c r="BV571" s="97"/>
      <c r="BW571" s="97"/>
      <c r="BX571" s="97"/>
      <c r="BY571" s="97"/>
      <c r="BZ571" s="97"/>
      <c r="CA571" s="97"/>
      <c r="CB571" s="97"/>
      <c r="CC571" s="97"/>
      <c r="CD571" s="97"/>
      <c r="CE571" s="97"/>
      <c r="CF571" s="97"/>
      <c r="CG571" s="97"/>
      <c r="CH571" s="97"/>
      <c r="CI571" s="97"/>
      <c r="CJ571" s="97"/>
      <c r="CK571" s="97"/>
      <c r="CL571" s="97"/>
      <c r="CM571" s="97"/>
      <c r="CN571" s="97"/>
      <c r="CO571" s="97"/>
      <c r="CP571" s="97"/>
      <c r="CQ571" s="97"/>
    </row>
    <row r="572" spans="1:95" ht="14.25" customHeight="1" outlineLevel="1">
      <c r="A572" s="97"/>
      <c r="B572" s="97"/>
      <c r="C572" s="97"/>
      <c r="D572" s="12">
        <v>2010</v>
      </c>
      <c r="E572" s="12">
        <v>2011</v>
      </c>
      <c r="F572" s="12">
        <v>2012</v>
      </c>
      <c r="G572" s="12">
        <v>2013</v>
      </c>
      <c r="H572" s="12">
        <v>2014</v>
      </c>
      <c r="I572" s="12">
        <v>2015</v>
      </c>
      <c r="J572" s="12">
        <v>2016</v>
      </c>
      <c r="K572" s="12">
        <v>2017</v>
      </c>
      <c r="L572" s="12">
        <v>2018</v>
      </c>
      <c r="M572" s="12">
        <v>2019</v>
      </c>
      <c r="N572" s="12">
        <v>2020</v>
      </c>
      <c r="O572" s="12">
        <v>2021</v>
      </c>
      <c r="P572" s="12">
        <v>2022</v>
      </c>
      <c r="Q572" s="12">
        <v>2023</v>
      </c>
      <c r="R572" s="12">
        <v>2024</v>
      </c>
      <c r="S572" s="12">
        <v>2025</v>
      </c>
      <c r="T572" s="12">
        <v>2026</v>
      </c>
      <c r="U572" s="12">
        <v>2027</v>
      </c>
      <c r="V572" s="12">
        <v>2028</v>
      </c>
      <c r="W572" s="12">
        <v>2029</v>
      </c>
      <c r="X572" s="12">
        <v>2030</v>
      </c>
      <c r="Y572" s="12">
        <v>2031</v>
      </c>
      <c r="Z572" s="12">
        <v>2032</v>
      </c>
      <c r="AA572" s="12">
        <v>2033</v>
      </c>
      <c r="AB572" s="12">
        <v>2034</v>
      </c>
      <c r="AC572" s="12">
        <v>2035</v>
      </c>
      <c r="AD572" s="12">
        <v>2036</v>
      </c>
      <c r="AE572" s="12">
        <v>2037</v>
      </c>
      <c r="AF572" s="12">
        <v>2038</v>
      </c>
      <c r="AG572" s="12">
        <v>2039</v>
      </c>
      <c r="AH572" s="12">
        <v>2040</v>
      </c>
      <c r="AI572" s="12">
        <v>2041</v>
      </c>
      <c r="AJ572" s="12">
        <v>2042</v>
      </c>
      <c r="AK572" s="12">
        <v>2043</v>
      </c>
      <c r="AL572" s="12">
        <v>2044</v>
      </c>
      <c r="AM572" s="12">
        <v>2045</v>
      </c>
      <c r="AN572" s="12">
        <v>2046</v>
      </c>
      <c r="AO572" s="12">
        <v>2047</v>
      </c>
      <c r="AP572" s="12">
        <v>2048</v>
      </c>
      <c r="AQ572" s="12">
        <v>2049</v>
      </c>
      <c r="AR572" s="12">
        <v>2050</v>
      </c>
      <c r="AS572" s="12">
        <v>2051</v>
      </c>
      <c r="AT572" s="12">
        <v>2052</v>
      </c>
      <c r="AU572" s="12">
        <v>2053</v>
      </c>
      <c r="AV572" s="12">
        <v>2054</v>
      </c>
      <c r="AW572" s="12">
        <v>2055</v>
      </c>
      <c r="AX572" s="12">
        <v>2056</v>
      </c>
      <c r="AY572" s="12">
        <v>2057</v>
      </c>
      <c r="AZ572" s="12">
        <v>2058</v>
      </c>
      <c r="BA572" s="12">
        <v>2059</v>
      </c>
      <c r="BB572" s="12">
        <v>2060</v>
      </c>
      <c r="BC572" s="12">
        <v>2061</v>
      </c>
      <c r="BD572" s="12">
        <v>2062</v>
      </c>
      <c r="BE572" s="12">
        <v>2063</v>
      </c>
      <c r="BF572" s="12">
        <v>2064</v>
      </c>
      <c r="BG572" s="12">
        <v>2065</v>
      </c>
      <c r="BH572" s="12">
        <v>2066</v>
      </c>
      <c r="BI572" s="12">
        <v>2067</v>
      </c>
      <c r="BJ572" s="12">
        <v>2068</v>
      </c>
      <c r="BK572" s="12">
        <v>2069</v>
      </c>
      <c r="BL572" s="12">
        <v>2070</v>
      </c>
      <c r="BM572" s="12">
        <v>2071</v>
      </c>
      <c r="BN572" s="12">
        <v>2072</v>
      </c>
      <c r="BO572" s="12">
        <v>2073</v>
      </c>
      <c r="BP572" s="12">
        <v>2074</v>
      </c>
      <c r="BQ572" s="12">
        <v>2075</v>
      </c>
      <c r="BR572" s="12">
        <v>2076</v>
      </c>
      <c r="BS572" s="12">
        <v>2077</v>
      </c>
      <c r="BT572" s="12">
        <v>2078</v>
      </c>
      <c r="BU572" s="12">
        <v>2079</v>
      </c>
      <c r="BV572" s="12">
        <v>2080</v>
      </c>
      <c r="BW572" s="12">
        <v>2081</v>
      </c>
      <c r="BX572" s="12">
        <v>2082</v>
      </c>
      <c r="BY572" s="12">
        <v>2083</v>
      </c>
      <c r="BZ572" s="12">
        <v>2084</v>
      </c>
      <c r="CA572" s="12">
        <v>2085</v>
      </c>
      <c r="CB572" s="12">
        <v>2086</v>
      </c>
      <c r="CC572" s="12">
        <v>2087</v>
      </c>
      <c r="CD572" s="12">
        <v>2088</v>
      </c>
      <c r="CE572" s="12">
        <v>2089</v>
      </c>
      <c r="CF572" s="12">
        <v>2090</v>
      </c>
      <c r="CG572" s="12">
        <v>2091</v>
      </c>
      <c r="CH572" s="12">
        <v>2092</v>
      </c>
      <c r="CI572" s="12">
        <v>2093</v>
      </c>
      <c r="CJ572" s="12">
        <v>2094</v>
      </c>
      <c r="CK572" s="12">
        <v>2095</v>
      </c>
      <c r="CL572" s="12">
        <v>2096</v>
      </c>
      <c r="CM572" s="12">
        <v>2097</v>
      </c>
      <c r="CN572" s="12">
        <v>2098</v>
      </c>
      <c r="CO572" s="12">
        <v>2099</v>
      </c>
      <c r="CP572" s="12">
        <v>2100</v>
      </c>
      <c r="CQ572" s="3" t="s">
        <v>665</v>
      </c>
    </row>
    <row r="573" spans="1:95" ht="14.25" customHeight="1" outlineLevel="1">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7"/>
      <c r="AV573" s="97"/>
      <c r="AW573" s="97"/>
      <c r="AX573" s="97"/>
      <c r="AY573" s="97"/>
      <c r="AZ573" s="97"/>
      <c r="BA573" s="97"/>
      <c r="BB573" s="97"/>
      <c r="BC573" s="97"/>
      <c r="BD573" s="97"/>
      <c r="BE573" s="97"/>
      <c r="BF573" s="97"/>
      <c r="BG573" s="97"/>
      <c r="BH573" s="97"/>
      <c r="BI573" s="97"/>
      <c r="BJ573" s="97"/>
      <c r="BK573" s="97"/>
      <c r="BL573" s="97"/>
      <c r="BM573" s="97"/>
      <c r="BN573" s="97"/>
      <c r="BO573" s="97"/>
      <c r="BP573" s="97"/>
      <c r="BQ573" s="97"/>
      <c r="BR573" s="97"/>
      <c r="BS573" s="97"/>
      <c r="BT573" s="97"/>
      <c r="BU573" s="97"/>
      <c r="BV573" s="97"/>
      <c r="BW573" s="97"/>
      <c r="BX573" s="97"/>
      <c r="BY573" s="97"/>
      <c r="BZ573" s="97"/>
      <c r="CA573" s="97"/>
      <c r="CB573" s="97"/>
      <c r="CC573" s="97"/>
      <c r="CD573" s="97"/>
      <c r="CE573" s="97"/>
      <c r="CF573" s="97"/>
      <c r="CG573" s="97"/>
      <c r="CH573" s="97"/>
      <c r="CI573" s="97"/>
      <c r="CJ573" s="97"/>
      <c r="CK573" s="97"/>
      <c r="CL573" s="97"/>
      <c r="CM573" s="97"/>
      <c r="CN573" s="97"/>
      <c r="CO573" s="97"/>
      <c r="CP573" s="97"/>
      <c r="CQ573" s="97"/>
    </row>
    <row r="574" spans="1:95" ht="14.25" customHeight="1" outlineLevel="1">
      <c r="A574" s="97"/>
      <c r="B574" s="97" t="s">
        <v>59</v>
      </c>
      <c r="C574" s="12">
        <f>Opening_year_in</f>
        <v>2025</v>
      </c>
      <c r="D574" s="3" t="s">
        <v>666</v>
      </c>
      <c r="E574" s="97"/>
      <c r="F574" s="97"/>
      <c r="G574" s="97"/>
      <c r="H574" s="97"/>
      <c r="I574" s="97"/>
      <c r="J574" s="97"/>
      <c r="K574" s="97"/>
      <c r="L574" s="97"/>
      <c r="M574" s="97"/>
      <c r="N574" s="97"/>
      <c r="O574" s="97"/>
      <c r="P574" s="97"/>
      <c r="Q574" s="97"/>
      <c r="R574" s="97"/>
      <c r="S574" s="97"/>
      <c r="T574" s="97"/>
      <c r="U574" s="97"/>
      <c r="V574" s="97"/>
      <c r="W574" s="97"/>
      <c r="X574" s="97"/>
      <c r="Y574" s="97"/>
      <c r="Z574" s="97"/>
      <c r="AA574" s="97"/>
      <c r="AB574" s="97"/>
      <c r="AC574" s="97"/>
      <c r="AD574" s="97"/>
      <c r="AE574" s="97"/>
      <c r="AF574" s="97"/>
      <c r="AG574" s="97"/>
      <c r="AH574" s="97"/>
      <c r="AI574" s="97"/>
      <c r="AJ574" s="97"/>
      <c r="AK574" s="97"/>
      <c r="AL574" s="97"/>
      <c r="AM574" s="97"/>
      <c r="AN574" s="97"/>
      <c r="AO574" s="97"/>
      <c r="AP574" s="97"/>
      <c r="AQ574" s="97"/>
      <c r="AR574" s="97"/>
      <c r="AS574" s="97"/>
      <c r="AT574" s="97"/>
      <c r="AU574" s="97"/>
      <c r="AV574" s="97"/>
      <c r="AW574" s="97"/>
      <c r="AX574" s="97"/>
      <c r="AY574" s="97"/>
      <c r="AZ574" s="97"/>
      <c r="BA574" s="97"/>
      <c r="BB574" s="97"/>
      <c r="BC574" s="97"/>
      <c r="BD574" s="97"/>
      <c r="BE574" s="97"/>
      <c r="BF574" s="97"/>
      <c r="BG574" s="97"/>
      <c r="BH574" s="97"/>
      <c r="BI574" s="97"/>
      <c r="BJ574" s="97"/>
      <c r="BK574" s="97"/>
      <c r="BL574" s="97"/>
      <c r="BM574" s="97"/>
      <c r="BN574" s="97"/>
      <c r="BO574" s="97"/>
      <c r="BP574" s="97"/>
      <c r="BQ574" s="97"/>
      <c r="BR574" s="97"/>
      <c r="BS574" s="97"/>
      <c r="BT574" s="97"/>
      <c r="BU574" s="97"/>
      <c r="BV574" s="97"/>
      <c r="BW574" s="97"/>
      <c r="BX574" s="97"/>
      <c r="BY574" s="97"/>
      <c r="BZ574" s="97"/>
      <c r="CA574" s="97"/>
      <c r="CB574" s="97"/>
      <c r="CC574" s="97"/>
      <c r="CD574" s="97"/>
      <c r="CE574" s="97"/>
      <c r="CF574" s="97"/>
      <c r="CG574" s="97"/>
      <c r="CH574" s="97"/>
      <c r="CI574" s="97"/>
      <c r="CJ574" s="97"/>
      <c r="CK574" s="97"/>
      <c r="CL574" s="97"/>
      <c r="CM574" s="97"/>
      <c r="CN574" s="97"/>
      <c r="CO574" s="97"/>
      <c r="CP574" s="97"/>
      <c r="CQ574" s="97"/>
    </row>
    <row r="575" spans="1:95" ht="14.25" customHeight="1" outlineLevel="1">
      <c r="A575" s="97"/>
      <c r="B575" s="97" t="s">
        <v>59</v>
      </c>
      <c r="C575" s="97"/>
      <c r="D575" s="97">
        <f>(Opening_year=year)*1</f>
        <v>0</v>
      </c>
      <c r="E575" s="97">
        <f t="shared" ref="E575:AI575" si="218">(Opening_year=year)*1</f>
        <v>0</v>
      </c>
      <c r="F575" s="97">
        <f>(Opening_year=year)*1</f>
        <v>0</v>
      </c>
      <c r="G575" s="97">
        <f t="shared" si="218"/>
        <v>0</v>
      </c>
      <c r="H575" s="97">
        <f t="shared" si="218"/>
        <v>0</v>
      </c>
      <c r="I575" s="97">
        <f t="shared" si="218"/>
        <v>0</v>
      </c>
      <c r="J575" s="97">
        <f t="shared" si="218"/>
        <v>0</v>
      </c>
      <c r="K575" s="97">
        <f t="shared" si="218"/>
        <v>0</v>
      </c>
      <c r="L575" s="97">
        <f t="shared" si="218"/>
        <v>0</v>
      </c>
      <c r="M575" s="97">
        <f t="shared" si="218"/>
        <v>0</v>
      </c>
      <c r="N575" s="97">
        <f t="shared" si="218"/>
        <v>0</v>
      </c>
      <c r="O575" s="97">
        <f t="shared" si="218"/>
        <v>0</v>
      </c>
      <c r="P575" s="97">
        <f t="shared" si="218"/>
        <v>0</v>
      </c>
      <c r="Q575" s="97">
        <f t="shared" si="218"/>
        <v>0</v>
      </c>
      <c r="R575" s="97">
        <f t="shared" si="218"/>
        <v>0</v>
      </c>
      <c r="S575" s="97">
        <f t="shared" si="218"/>
        <v>1</v>
      </c>
      <c r="T575" s="97">
        <f t="shared" si="218"/>
        <v>0</v>
      </c>
      <c r="U575" s="97">
        <f t="shared" si="218"/>
        <v>0</v>
      </c>
      <c r="V575" s="97">
        <f t="shared" si="218"/>
        <v>0</v>
      </c>
      <c r="W575" s="97">
        <f t="shared" si="218"/>
        <v>0</v>
      </c>
      <c r="X575" s="97">
        <f t="shared" si="218"/>
        <v>0</v>
      </c>
      <c r="Y575" s="97">
        <f t="shared" si="218"/>
        <v>0</v>
      </c>
      <c r="Z575" s="97">
        <f t="shared" si="218"/>
        <v>0</v>
      </c>
      <c r="AA575" s="97">
        <f t="shared" si="218"/>
        <v>0</v>
      </c>
      <c r="AB575" s="97">
        <f t="shared" si="218"/>
        <v>0</v>
      </c>
      <c r="AC575" s="97">
        <f t="shared" si="218"/>
        <v>0</v>
      </c>
      <c r="AD575" s="97">
        <f t="shared" si="218"/>
        <v>0</v>
      </c>
      <c r="AE575" s="97">
        <f t="shared" si="218"/>
        <v>0</v>
      </c>
      <c r="AF575" s="97">
        <f t="shared" si="218"/>
        <v>0</v>
      </c>
      <c r="AG575" s="97">
        <f t="shared" si="218"/>
        <v>0</v>
      </c>
      <c r="AH575" s="97">
        <f t="shared" si="218"/>
        <v>0</v>
      </c>
      <c r="AI575" s="97">
        <f t="shared" si="218"/>
        <v>0</v>
      </c>
      <c r="AJ575" s="97">
        <f t="shared" ref="AJ575:BO575" si="219">(Opening_year=year)*1</f>
        <v>0</v>
      </c>
      <c r="AK575" s="97">
        <f t="shared" si="219"/>
        <v>0</v>
      </c>
      <c r="AL575" s="97">
        <f t="shared" si="219"/>
        <v>0</v>
      </c>
      <c r="AM575" s="97">
        <f t="shared" si="219"/>
        <v>0</v>
      </c>
      <c r="AN575" s="97">
        <f t="shared" si="219"/>
        <v>0</v>
      </c>
      <c r="AO575" s="97">
        <f t="shared" si="219"/>
        <v>0</v>
      </c>
      <c r="AP575" s="97">
        <f t="shared" si="219"/>
        <v>0</v>
      </c>
      <c r="AQ575" s="97">
        <f t="shared" si="219"/>
        <v>0</v>
      </c>
      <c r="AR575" s="97">
        <f t="shared" si="219"/>
        <v>0</v>
      </c>
      <c r="AS575" s="97">
        <f t="shared" si="219"/>
        <v>0</v>
      </c>
      <c r="AT575" s="97">
        <f t="shared" si="219"/>
        <v>0</v>
      </c>
      <c r="AU575" s="97">
        <f t="shared" si="219"/>
        <v>0</v>
      </c>
      <c r="AV575" s="97">
        <f t="shared" si="219"/>
        <v>0</v>
      </c>
      <c r="AW575" s="97">
        <f t="shared" si="219"/>
        <v>0</v>
      </c>
      <c r="AX575" s="97">
        <f t="shared" si="219"/>
        <v>0</v>
      </c>
      <c r="AY575" s="97">
        <f t="shared" si="219"/>
        <v>0</v>
      </c>
      <c r="AZ575" s="97">
        <f t="shared" si="219"/>
        <v>0</v>
      </c>
      <c r="BA575" s="97">
        <f t="shared" si="219"/>
        <v>0</v>
      </c>
      <c r="BB575" s="97">
        <f t="shared" si="219"/>
        <v>0</v>
      </c>
      <c r="BC575" s="97">
        <f t="shared" si="219"/>
        <v>0</v>
      </c>
      <c r="BD575" s="97">
        <f t="shared" si="219"/>
        <v>0</v>
      </c>
      <c r="BE575" s="97">
        <f t="shared" si="219"/>
        <v>0</v>
      </c>
      <c r="BF575" s="97">
        <f t="shared" si="219"/>
        <v>0</v>
      </c>
      <c r="BG575" s="97">
        <f t="shared" si="219"/>
        <v>0</v>
      </c>
      <c r="BH575" s="97">
        <f t="shared" si="219"/>
        <v>0</v>
      </c>
      <c r="BI575" s="97">
        <f t="shared" si="219"/>
        <v>0</v>
      </c>
      <c r="BJ575" s="97">
        <f t="shared" si="219"/>
        <v>0</v>
      </c>
      <c r="BK575" s="97">
        <f t="shared" si="219"/>
        <v>0</v>
      </c>
      <c r="BL575" s="97">
        <f t="shared" si="219"/>
        <v>0</v>
      </c>
      <c r="BM575" s="97">
        <f t="shared" si="219"/>
        <v>0</v>
      </c>
      <c r="BN575" s="97">
        <f t="shared" si="219"/>
        <v>0</v>
      </c>
      <c r="BO575" s="97">
        <f t="shared" si="219"/>
        <v>0</v>
      </c>
      <c r="BP575" s="97">
        <f t="shared" ref="BP575:CP575" si="220">(Opening_year=year)*1</f>
        <v>0</v>
      </c>
      <c r="BQ575" s="97">
        <f t="shared" si="220"/>
        <v>0</v>
      </c>
      <c r="BR575" s="97">
        <f t="shared" si="220"/>
        <v>0</v>
      </c>
      <c r="BS575" s="97">
        <f t="shared" si="220"/>
        <v>0</v>
      </c>
      <c r="BT575" s="97">
        <f t="shared" si="220"/>
        <v>0</v>
      </c>
      <c r="BU575" s="97">
        <f t="shared" si="220"/>
        <v>0</v>
      </c>
      <c r="BV575" s="97">
        <f t="shared" si="220"/>
        <v>0</v>
      </c>
      <c r="BW575" s="97">
        <f t="shared" si="220"/>
        <v>0</v>
      </c>
      <c r="BX575" s="97">
        <f t="shared" si="220"/>
        <v>0</v>
      </c>
      <c r="BY575" s="97">
        <f t="shared" si="220"/>
        <v>0</v>
      </c>
      <c r="BZ575" s="97">
        <f t="shared" si="220"/>
        <v>0</v>
      </c>
      <c r="CA575" s="97">
        <f t="shared" si="220"/>
        <v>0</v>
      </c>
      <c r="CB575" s="97">
        <f t="shared" si="220"/>
        <v>0</v>
      </c>
      <c r="CC575" s="97">
        <f t="shared" si="220"/>
        <v>0</v>
      </c>
      <c r="CD575" s="97">
        <f t="shared" si="220"/>
        <v>0</v>
      </c>
      <c r="CE575" s="97">
        <f t="shared" si="220"/>
        <v>0</v>
      </c>
      <c r="CF575" s="97">
        <f t="shared" si="220"/>
        <v>0</v>
      </c>
      <c r="CG575" s="97">
        <f t="shared" si="220"/>
        <v>0</v>
      </c>
      <c r="CH575" s="97">
        <f t="shared" si="220"/>
        <v>0</v>
      </c>
      <c r="CI575" s="97">
        <f t="shared" si="220"/>
        <v>0</v>
      </c>
      <c r="CJ575" s="97">
        <f t="shared" si="220"/>
        <v>0</v>
      </c>
      <c r="CK575" s="97">
        <f t="shared" si="220"/>
        <v>0</v>
      </c>
      <c r="CL575" s="97">
        <f t="shared" si="220"/>
        <v>0</v>
      </c>
      <c r="CM575" s="97">
        <f t="shared" si="220"/>
        <v>0</v>
      </c>
      <c r="CN575" s="97">
        <f t="shared" si="220"/>
        <v>0</v>
      </c>
      <c r="CO575" s="97">
        <f t="shared" si="220"/>
        <v>0</v>
      </c>
      <c r="CP575" s="97">
        <f t="shared" si="220"/>
        <v>0</v>
      </c>
      <c r="CQ575" s="3" t="s">
        <v>667</v>
      </c>
    </row>
    <row r="576" spans="1:95" ht="14.25" customHeight="1" outlineLevel="1">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c r="AA576" s="97"/>
      <c r="AB576" s="97"/>
      <c r="AC576" s="97"/>
      <c r="AD576" s="97"/>
      <c r="AE576" s="97"/>
      <c r="AF576" s="97"/>
      <c r="AG576" s="97"/>
      <c r="AH576" s="97"/>
      <c r="AI576" s="97"/>
      <c r="AJ576" s="97"/>
      <c r="AK576" s="97"/>
      <c r="AL576" s="97"/>
      <c r="AM576" s="97"/>
      <c r="AN576" s="97"/>
      <c r="AO576" s="97"/>
      <c r="AP576" s="97"/>
      <c r="AQ576" s="97"/>
      <c r="AR576" s="97"/>
      <c r="AS576" s="97"/>
      <c r="AT576" s="97"/>
      <c r="AU576" s="97"/>
      <c r="AV576" s="97"/>
      <c r="AW576" s="97"/>
      <c r="AX576" s="97"/>
      <c r="AY576" s="97"/>
      <c r="AZ576" s="97"/>
      <c r="BA576" s="97"/>
      <c r="BB576" s="97"/>
      <c r="BC576" s="97"/>
      <c r="BD576" s="97"/>
      <c r="BE576" s="97"/>
      <c r="BF576" s="97"/>
      <c r="BG576" s="97"/>
      <c r="BH576" s="97"/>
      <c r="BI576" s="97"/>
      <c r="BJ576" s="97"/>
      <c r="BK576" s="97"/>
      <c r="BL576" s="97"/>
      <c r="BM576" s="97"/>
      <c r="BN576" s="97"/>
      <c r="BO576" s="97"/>
      <c r="BP576" s="97"/>
      <c r="BQ576" s="97"/>
      <c r="BR576" s="97"/>
      <c r="BS576" s="97"/>
      <c r="BT576" s="97"/>
      <c r="BU576" s="97"/>
      <c r="BV576" s="97"/>
      <c r="BW576" s="97"/>
      <c r="BX576" s="97"/>
      <c r="BY576" s="97"/>
      <c r="BZ576" s="97"/>
      <c r="CA576" s="97"/>
      <c r="CB576" s="97"/>
      <c r="CC576" s="97"/>
      <c r="CD576" s="97"/>
      <c r="CE576" s="97"/>
      <c r="CF576" s="97"/>
      <c r="CG576" s="97"/>
      <c r="CH576" s="97"/>
      <c r="CI576" s="97"/>
      <c r="CJ576" s="97"/>
      <c r="CK576" s="97"/>
      <c r="CL576" s="97"/>
      <c r="CM576" s="97"/>
      <c r="CN576" s="97"/>
      <c r="CO576" s="97"/>
      <c r="CP576" s="97"/>
      <c r="CQ576" s="3"/>
    </row>
    <row r="577" spans="1:95" ht="14.25" customHeight="1" outlineLevel="1">
      <c r="A577" s="97"/>
      <c r="B577" s="97" t="s">
        <v>61</v>
      </c>
      <c r="C577" s="12">
        <f>Forecast_year_in</f>
        <v>2030</v>
      </c>
      <c r="D577" s="3" t="s">
        <v>668</v>
      </c>
      <c r="E577" s="97"/>
      <c r="F577" s="97"/>
      <c r="G577" s="97"/>
      <c r="H577" s="97"/>
      <c r="I577" s="97"/>
      <c r="J577" s="97"/>
      <c r="K577" s="97"/>
      <c r="L577" s="97"/>
      <c r="M577" s="97"/>
      <c r="N577" s="97"/>
      <c r="O577" s="97"/>
      <c r="P577" s="97"/>
      <c r="Q577" s="97"/>
      <c r="R577" s="97"/>
      <c r="S577" s="97"/>
      <c r="T577" s="97"/>
      <c r="U577" s="97"/>
      <c r="V577" s="97"/>
      <c r="W577" s="97"/>
      <c r="X577" s="97"/>
      <c r="Y577" s="97"/>
      <c r="Z577" s="97"/>
      <c r="AA577" s="97"/>
      <c r="AB577" s="97"/>
      <c r="AC577" s="97"/>
      <c r="AD577" s="97"/>
      <c r="AE577" s="97"/>
      <c r="AF577" s="97"/>
      <c r="AG577" s="97"/>
      <c r="AH577" s="97"/>
      <c r="AI577" s="97"/>
      <c r="AJ577" s="97"/>
      <c r="AK577" s="97"/>
      <c r="AL577" s="97"/>
      <c r="AM577" s="97"/>
      <c r="AN577" s="97"/>
      <c r="AO577" s="97"/>
      <c r="AP577" s="97"/>
      <c r="AQ577" s="97"/>
      <c r="AR577" s="97"/>
      <c r="AS577" s="97"/>
      <c r="AT577" s="97"/>
      <c r="AU577" s="97"/>
      <c r="AV577" s="97"/>
      <c r="AW577" s="97"/>
      <c r="AX577" s="97"/>
      <c r="AY577" s="97"/>
      <c r="AZ577" s="97"/>
      <c r="BA577" s="97"/>
      <c r="BB577" s="97"/>
      <c r="BC577" s="97"/>
      <c r="BD577" s="97"/>
      <c r="BE577" s="97"/>
      <c r="BF577" s="97"/>
      <c r="BG577" s="97"/>
      <c r="BH577" s="97"/>
      <c r="BI577" s="97"/>
      <c r="BJ577" s="97"/>
      <c r="BK577" s="97"/>
      <c r="BL577" s="97"/>
      <c r="BM577" s="97"/>
      <c r="BN577" s="97"/>
      <c r="BO577" s="97"/>
      <c r="BP577" s="97"/>
      <c r="BQ577" s="97"/>
      <c r="BR577" s="97"/>
      <c r="BS577" s="97"/>
      <c r="BT577" s="97"/>
      <c r="BU577" s="97"/>
      <c r="BV577" s="97"/>
      <c r="BW577" s="97"/>
      <c r="BX577" s="97"/>
      <c r="BY577" s="97"/>
      <c r="BZ577" s="97"/>
      <c r="CA577" s="97"/>
      <c r="CB577" s="97"/>
      <c r="CC577" s="97"/>
      <c r="CD577" s="97"/>
      <c r="CE577" s="97"/>
      <c r="CF577" s="97"/>
      <c r="CG577" s="97"/>
      <c r="CH577" s="97"/>
      <c r="CI577" s="97"/>
      <c r="CJ577" s="97"/>
      <c r="CK577" s="97"/>
      <c r="CL577" s="97"/>
      <c r="CM577" s="97"/>
      <c r="CN577" s="97"/>
      <c r="CO577" s="97"/>
      <c r="CP577" s="97"/>
      <c r="CQ577" s="3"/>
    </row>
    <row r="578" spans="1:95" ht="14.25" customHeight="1" outlineLevel="1">
      <c r="A578" s="97"/>
      <c r="B578" s="97" t="s">
        <v>61</v>
      </c>
      <c r="C578" s="97"/>
      <c r="D578" s="97">
        <f t="shared" ref="D578:AI578" si="221">(Forecast_year=year)*1</f>
        <v>0</v>
      </c>
      <c r="E578" s="97">
        <f t="shared" si="221"/>
        <v>0</v>
      </c>
      <c r="F578" s="97">
        <f t="shared" si="221"/>
        <v>0</v>
      </c>
      <c r="G578" s="97">
        <f t="shared" si="221"/>
        <v>0</v>
      </c>
      <c r="H578" s="97">
        <f t="shared" si="221"/>
        <v>0</v>
      </c>
      <c r="I578" s="97">
        <f t="shared" si="221"/>
        <v>0</v>
      </c>
      <c r="J578" s="97">
        <f t="shared" si="221"/>
        <v>0</v>
      </c>
      <c r="K578" s="97">
        <f t="shared" si="221"/>
        <v>0</v>
      </c>
      <c r="L578" s="97">
        <f t="shared" si="221"/>
        <v>0</v>
      </c>
      <c r="M578" s="97">
        <f t="shared" si="221"/>
        <v>0</v>
      </c>
      <c r="N578" s="97">
        <f t="shared" si="221"/>
        <v>0</v>
      </c>
      <c r="O578" s="97">
        <f t="shared" si="221"/>
        <v>0</v>
      </c>
      <c r="P578" s="97">
        <f t="shared" si="221"/>
        <v>0</v>
      </c>
      <c r="Q578" s="97">
        <f t="shared" si="221"/>
        <v>0</v>
      </c>
      <c r="R578" s="97">
        <f t="shared" si="221"/>
        <v>0</v>
      </c>
      <c r="S578" s="97">
        <f t="shared" si="221"/>
        <v>0</v>
      </c>
      <c r="T578" s="97">
        <f t="shared" si="221"/>
        <v>0</v>
      </c>
      <c r="U578" s="97">
        <f t="shared" si="221"/>
        <v>0</v>
      </c>
      <c r="V578" s="97">
        <f t="shared" si="221"/>
        <v>0</v>
      </c>
      <c r="W578" s="97">
        <f t="shared" si="221"/>
        <v>0</v>
      </c>
      <c r="X578" s="97">
        <f t="shared" si="221"/>
        <v>1</v>
      </c>
      <c r="Y578" s="97">
        <f t="shared" si="221"/>
        <v>0</v>
      </c>
      <c r="Z578" s="97">
        <f t="shared" si="221"/>
        <v>0</v>
      </c>
      <c r="AA578" s="97">
        <f t="shared" si="221"/>
        <v>0</v>
      </c>
      <c r="AB578" s="97">
        <f t="shared" si="221"/>
        <v>0</v>
      </c>
      <c r="AC578" s="97">
        <f t="shared" si="221"/>
        <v>0</v>
      </c>
      <c r="AD578" s="97">
        <f t="shared" si="221"/>
        <v>0</v>
      </c>
      <c r="AE578" s="97">
        <f t="shared" si="221"/>
        <v>0</v>
      </c>
      <c r="AF578" s="97">
        <f t="shared" si="221"/>
        <v>0</v>
      </c>
      <c r="AG578" s="97">
        <f t="shared" si="221"/>
        <v>0</v>
      </c>
      <c r="AH578" s="97">
        <f t="shared" si="221"/>
        <v>0</v>
      </c>
      <c r="AI578" s="97">
        <f t="shared" si="221"/>
        <v>0</v>
      </c>
      <c r="AJ578" s="97">
        <f t="shared" ref="AJ578:BO578" si="222">(Forecast_year=year)*1</f>
        <v>0</v>
      </c>
      <c r="AK578" s="97">
        <f t="shared" si="222"/>
        <v>0</v>
      </c>
      <c r="AL578" s="97">
        <f t="shared" si="222"/>
        <v>0</v>
      </c>
      <c r="AM578" s="97">
        <f t="shared" si="222"/>
        <v>0</v>
      </c>
      <c r="AN578" s="97">
        <f t="shared" si="222"/>
        <v>0</v>
      </c>
      <c r="AO578" s="97">
        <f t="shared" si="222"/>
        <v>0</v>
      </c>
      <c r="AP578" s="97">
        <f t="shared" si="222"/>
        <v>0</v>
      </c>
      <c r="AQ578" s="97">
        <f t="shared" si="222"/>
        <v>0</v>
      </c>
      <c r="AR578" s="97">
        <f t="shared" si="222"/>
        <v>0</v>
      </c>
      <c r="AS578" s="97">
        <f t="shared" si="222"/>
        <v>0</v>
      </c>
      <c r="AT578" s="97">
        <f t="shared" si="222"/>
        <v>0</v>
      </c>
      <c r="AU578" s="97">
        <f t="shared" si="222"/>
        <v>0</v>
      </c>
      <c r="AV578" s="97">
        <f t="shared" si="222"/>
        <v>0</v>
      </c>
      <c r="AW578" s="97">
        <f t="shared" si="222"/>
        <v>0</v>
      </c>
      <c r="AX578" s="97">
        <f t="shared" si="222"/>
        <v>0</v>
      </c>
      <c r="AY578" s="97">
        <f t="shared" si="222"/>
        <v>0</v>
      </c>
      <c r="AZ578" s="97">
        <f t="shared" si="222"/>
        <v>0</v>
      </c>
      <c r="BA578" s="97">
        <f t="shared" si="222"/>
        <v>0</v>
      </c>
      <c r="BB578" s="97">
        <f t="shared" si="222"/>
        <v>0</v>
      </c>
      <c r="BC578" s="97">
        <f t="shared" si="222"/>
        <v>0</v>
      </c>
      <c r="BD578" s="97">
        <f t="shared" si="222"/>
        <v>0</v>
      </c>
      <c r="BE578" s="97">
        <f t="shared" si="222"/>
        <v>0</v>
      </c>
      <c r="BF578" s="97">
        <f t="shared" si="222"/>
        <v>0</v>
      </c>
      <c r="BG578" s="97">
        <f t="shared" si="222"/>
        <v>0</v>
      </c>
      <c r="BH578" s="97">
        <f t="shared" si="222"/>
        <v>0</v>
      </c>
      <c r="BI578" s="97">
        <f t="shared" si="222"/>
        <v>0</v>
      </c>
      <c r="BJ578" s="97">
        <f t="shared" si="222"/>
        <v>0</v>
      </c>
      <c r="BK578" s="97">
        <f t="shared" si="222"/>
        <v>0</v>
      </c>
      <c r="BL578" s="97">
        <f t="shared" si="222"/>
        <v>0</v>
      </c>
      <c r="BM578" s="97">
        <f t="shared" si="222"/>
        <v>0</v>
      </c>
      <c r="BN578" s="97">
        <f t="shared" si="222"/>
        <v>0</v>
      </c>
      <c r="BO578" s="97">
        <f t="shared" si="222"/>
        <v>0</v>
      </c>
      <c r="BP578" s="97">
        <f t="shared" ref="BP578:CP578" si="223">(Forecast_year=year)*1</f>
        <v>0</v>
      </c>
      <c r="BQ578" s="97">
        <f t="shared" si="223"/>
        <v>0</v>
      </c>
      <c r="BR578" s="97">
        <f t="shared" si="223"/>
        <v>0</v>
      </c>
      <c r="BS578" s="97">
        <f t="shared" si="223"/>
        <v>0</v>
      </c>
      <c r="BT578" s="97">
        <f t="shared" si="223"/>
        <v>0</v>
      </c>
      <c r="BU578" s="97">
        <f t="shared" si="223"/>
        <v>0</v>
      </c>
      <c r="BV578" s="97">
        <f t="shared" si="223"/>
        <v>0</v>
      </c>
      <c r="BW578" s="97">
        <f t="shared" si="223"/>
        <v>0</v>
      </c>
      <c r="BX578" s="97">
        <f t="shared" si="223"/>
        <v>0</v>
      </c>
      <c r="BY578" s="97">
        <f t="shared" si="223"/>
        <v>0</v>
      </c>
      <c r="BZ578" s="97">
        <f t="shared" si="223"/>
        <v>0</v>
      </c>
      <c r="CA578" s="97">
        <f t="shared" si="223"/>
        <v>0</v>
      </c>
      <c r="CB578" s="97">
        <f t="shared" si="223"/>
        <v>0</v>
      </c>
      <c r="CC578" s="97">
        <f t="shared" si="223"/>
        <v>0</v>
      </c>
      <c r="CD578" s="97">
        <f t="shared" si="223"/>
        <v>0</v>
      </c>
      <c r="CE578" s="97">
        <f t="shared" si="223"/>
        <v>0</v>
      </c>
      <c r="CF578" s="97">
        <f t="shared" si="223"/>
        <v>0</v>
      </c>
      <c r="CG578" s="97">
        <f t="shared" si="223"/>
        <v>0</v>
      </c>
      <c r="CH578" s="97">
        <f t="shared" si="223"/>
        <v>0</v>
      </c>
      <c r="CI578" s="97">
        <f t="shared" si="223"/>
        <v>0</v>
      </c>
      <c r="CJ578" s="97">
        <f t="shared" si="223"/>
        <v>0</v>
      </c>
      <c r="CK578" s="97">
        <f t="shared" si="223"/>
        <v>0</v>
      </c>
      <c r="CL578" s="97">
        <f t="shared" si="223"/>
        <v>0</v>
      </c>
      <c r="CM578" s="97">
        <f t="shared" si="223"/>
        <v>0</v>
      </c>
      <c r="CN578" s="97">
        <f t="shared" si="223"/>
        <v>0</v>
      </c>
      <c r="CO578" s="97">
        <f t="shared" si="223"/>
        <v>0</v>
      </c>
      <c r="CP578" s="97">
        <f t="shared" si="223"/>
        <v>0</v>
      </c>
      <c r="CQ578" s="3" t="s">
        <v>669</v>
      </c>
    </row>
    <row r="579" spans="1:95" ht="14.25" customHeight="1" outlineLevel="1">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c r="AA579" s="97"/>
      <c r="AB579" s="97"/>
      <c r="AC579" s="97"/>
      <c r="AD579" s="97"/>
      <c r="AE579" s="97"/>
      <c r="AF579" s="97"/>
      <c r="AG579" s="97"/>
      <c r="AH579" s="97"/>
      <c r="AI579" s="97"/>
      <c r="AJ579" s="97"/>
      <c r="AK579" s="97"/>
      <c r="AL579" s="97"/>
      <c r="AM579" s="97"/>
      <c r="AN579" s="97"/>
      <c r="AO579" s="97"/>
      <c r="AP579" s="97"/>
      <c r="AQ579" s="97"/>
      <c r="AR579" s="97"/>
      <c r="AS579" s="97"/>
      <c r="AT579" s="97"/>
      <c r="AU579" s="97"/>
      <c r="AV579" s="97"/>
      <c r="AW579" s="97"/>
      <c r="AX579" s="97"/>
      <c r="AY579" s="97"/>
      <c r="AZ579" s="97"/>
      <c r="BA579" s="97"/>
      <c r="BB579" s="97"/>
      <c r="BC579" s="97"/>
      <c r="BD579" s="97"/>
      <c r="BE579" s="97"/>
      <c r="BF579" s="97"/>
      <c r="BG579" s="97"/>
      <c r="BH579" s="97"/>
      <c r="BI579" s="97"/>
      <c r="BJ579" s="97"/>
      <c r="BK579" s="97"/>
      <c r="BL579" s="97"/>
      <c r="BM579" s="97"/>
      <c r="BN579" s="97"/>
      <c r="BO579" s="97"/>
      <c r="BP579" s="97"/>
      <c r="BQ579" s="97"/>
      <c r="BR579" s="97"/>
      <c r="BS579" s="97"/>
      <c r="BT579" s="97"/>
      <c r="BU579" s="97"/>
      <c r="BV579" s="97"/>
      <c r="BW579" s="97"/>
      <c r="BX579" s="97"/>
      <c r="BY579" s="97"/>
      <c r="BZ579" s="97"/>
      <c r="CA579" s="97"/>
      <c r="CB579" s="97"/>
      <c r="CC579" s="97"/>
      <c r="CD579" s="97"/>
      <c r="CE579" s="97"/>
      <c r="CF579" s="97"/>
      <c r="CG579" s="97"/>
      <c r="CH579" s="97"/>
      <c r="CI579" s="97"/>
      <c r="CJ579" s="97"/>
      <c r="CK579" s="97"/>
      <c r="CL579" s="97"/>
      <c r="CM579" s="97"/>
      <c r="CN579" s="97"/>
      <c r="CO579" s="97"/>
      <c r="CP579" s="97"/>
      <c r="CQ579" s="3"/>
    </row>
    <row r="580" spans="1:95" ht="14.25" customHeight="1" outlineLevel="1">
      <c r="A580" s="97"/>
      <c r="B580" s="97" t="s">
        <v>670</v>
      </c>
      <c r="C580" s="97">
        <f>Forecast_year-Opening_year</f>
        <v>5</v>
      </c>
      <c r="D580" s="3" t="s">
        <v>671</v>
      </c>
      <c r="E580" s="97"/>
      <c r="F580" s="97"/>
      <c r="G580" s="97"/>
      <c r="H580" s="97"/>
      <c r="I580" s="97"/>
      <c r="J580" s="97"/>
      <c r="K580" s="97"/>
      <c r="L580" s="97"/>
      <c r="M580" s="97"/>
      <c r="N580" s="97"/>
      <c r="O580" s="97"/>
      <c r="P580" s="97"/>
      <c r="Q580" s="97"/>
      <c r="R580" s="97"/>
      <c r="S580" s="97"/>
      <c r="T580" s="97"/>
      <c r="U580" s="97"/>
      <c r="V580" s="97"/>
      <c r="W580" s="97"/>
      <c r="X580" s="97"/>
      <c r="Y580" s="97"/>
      <c r="Z580" s="97"/>
      <c r="AA580" s="97"/>
      <c r="AB580" s="97"/>
      <c r="AC580" s="97"/>
      <c r="AD580" s="97"/>
      <c r="AE580" s="97"/>
      <c r="AF580" s="97"/>
      <c r="AG580" s="97"/>
      <c r="AH580" s="97"/>
      <c r="AI580" s="97"/>
      <c r="AJ580" s="97"/>
      <c r="AK580" s="97"/>
      <c r="AL580" s="97"/>
      <c r="AM580" s="97"/>
      <c r="AN580" s="97"/>
      <c r="AO580" s="97"/>
      <c r="AP580" s="97"/>
      <c r="AQ580" s="97"/>
      <c r="AR580" s="97"/>
      <c r="AS580" s="97"/>
      <c r="AT580" s="97"/>
      <c r="AU580" s="97"/>
      <c r="AV580" s="97"/>
      <c r="AW580" s="97"/>
      <c r="AX580" s="97"/>
      <c r="AY580" s="97"/>
      <c r="AZ580" s="97"/>
      <c r="BA580" s="97"/>
      <c r="BB580" s="97"/>
      <c r="BC580" s="97"/>
      <c r="BD580" s="97"/>
      <c r="BE580" s="97"/>
      <c r="BF580" s="97"/>
      <c r="BG580" s="97"/>
      <c r="BH580" s="97"/>
      <c r="BI580" s="97"/>
      <c r="BJ580" s="97"/>
      <c r="BK580" s="97"/>
      <c r="BL580" s="97"/>
      <c r="BM580" s="97"/>
      <c r="BN580" s="97"/>
      <c r="BO580" s="97"/>
      <c r="BP580" s="97"/>
      <c r="BQ580" s="97"/>
      <c r="BR580" s="97"/>
      <c r="BS580" s="97"/>
      <c r="BT580" s="97"/>
      <c r="BU580" s="97"/>
      <c r="BV580" s="97"/>
      <c r="BW580" s="97"/>
      <c r="BX580" s="97"/>
      <c r="BY580" s="97"/>
      <c r="BZ580" s="97"/>
      <c r="CA580" s="97"/>
      <c r="CB580" s="97"/>
      <c r="CC580" s="97"/>
      <c r="CD580" s="97"/>
      <c r="CE580" s="97"/>
      <c r="CF580" s="97"/>
      <c r="CG580" s="97"/>
      <c r="CH580" s="97"/>
      <c r="CI580" s="97"/>
      <c r="CJ580" s="97"/>
      <c r="CK580" s="97"/>
      <c r="CL580" s="97"/>
      <c r="CM580" s="97"/>
      <c r="CN580" s="97"/>
      <c r="CO580" s="97"/>
      <c r="CP580" s="97"/>
      <c r="CQ580" s="3"/>
    </row>
    <row r="581" spans="1:95" ht="14.25" customHeight="1" outlineLevel="1">
      <c r="A581" s="97"/>
      <c r="B581" s="127" t="s">
        <v>672</v>
      </c>
      <c r="C581" s="97">
        <f>Appraisal_period_length_in</f>
        <v>60</v>
      </c>
      <c r="D581" s="3" t="s">
        <v>673</v>
      </c>
      <c r="E581" s="97"/>
      <c r="F581" s="97"/>
      <c r="G581" s="97"/>
      <c r="H581" s="97"/>
      <c r="I581" s="97"/>
      <c r="J581" s="97"/>
      <c r="K581" s="97"/>
      <c r="L581" s="97"/>
      <c r="M581" s="97"/>
      <c r="N581" s="97"/>
      <c r="O581" s="97"/>
      <c r="P581" s="97"/>
      <c r="Q581" s="97"/>
      <c r="R581" s="97"/>
      <c r="S581" s="97"/>
      <c r="T581" s="97"/>
      <c r="U581" s="97"/>
      <c r="V581" s="97"/>
      <c r="W581" s="97"/>
      <c r="X581" s="97"/>
      <c r="Y581" s="97"/>
      <c r="Z581" s="97"/>
      <c r="AA581" s="97"/>
      <c r="AB581" s="97"/>
      <c r="AC581" s="97"/>
      <c r="AD581" s="97"/>
      <c r="AE581" s="97"/>
      <c r="AF581" s="97"/>
      <c r="AG581" s="97"/>
      <c r="AH581" s="97"/>
      <c r="AI581" s="97"/>
      <c r="AJ581" s="97"/>
      <c r="AK581" s="97"/>
      <c r="AL581" s="97"/>
      <c r="AM581" s="97"/>
      <c r="AN581" s="97"/>
      <c r="AO581" s="97"/>
      <c r="AP581" s="97"/>
      <c r="AQ581" s="97"/>
      <c r="AR581" s="97"/>
      <c r="AS581" s="97"/>
      <c r="AT581" s="97"/>
      <c r="AU581" s="97"/>
      <c r="AV581" s="97"/>
      <c r="AW581" s="97"/>
      <c r="AX581" s="97"/>
      <c r="AY581" s="97"/>
      <c r="AZ581" s="97"/>
      <c r="BA581" s="97"/>
      <c r="BB581" s="97"/>
      <c r="BC581" s="97"/>
      <c r="BD581" s="97"/>
      <c r="BE581" s="97"/>
      <c r="BF581" s="97"/>
      <c r="BG581" s="97"/>
      <c r="BH581" s="97"/>
      <c r="BI581" s="97"/>
      <c r="BJ581" s="97"/>
      <c r="BK581" s="97"/>
      <c r="BL581" s="97"/>
      <c r="BM581" s="97"/>
      <c r="BN581" s="97"/>
      <c r="BO581" s="97"/>
      <c r="BP581" s="97"/>
      <c r="BQ581" s="97"/>
      <c r="BR581" s="97"/>
      <c r="BS581" s="97"/>
      <c r="BT581" s="97"/>
      <c r="BU581" s="97"/>
      <c r="BV581" s="97"/>
      <c r="BW581" s="97"/>
      <c r="BX581" s="97"/>
      <c r="BY581" s="97"/>
      <c r="BZ581" s="97"/>
      <c r="CA581" s="97"/>
      <c r="CB581" s="97"/>
      <c r="CC581" s="97"/>
      <c r="CD581" s="97"/>
      <c r="CE581" s="97"/>
      <c r="CF581" s="97"/>
      <c r="CG581" s="97"/>
      <c r="CH581" s="97"/>
      <c r="CI581" s="97"/>
      <c r="CJ581" s="97"/>
      <c r="CK581" s="97"/>
      <c r="CL581" s="97"/>
      <c r="CM581" s="97"/>
      <c r="CN581" s="97"/>
      <c r="CO581" s="97"/>
      <c r="CP581" s="97"/>
      <c r="CQ581" s="97"/>
    </row>
    <row r="582" spans="1:95" ht="14.25" customHeight="1" outlineLevel="1">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c r="AA582" s="97"/>
      <c r="AB582" s="97"/>
      <c r="AC582" s="97"/>
      <c r="AD582" s="97"/>
      <c r="AE582" s="97"/>
      <c r="AF582" s="97"/>
      <c r="AG582" s="97"/>
      <c r="AH582" s="97"/>
      <c r="AI582" s="97"/>
      <c r="AJ582" s="97"/>
      <c r="AK582" s="97"/>
      <c r="AL582" s="97"/>
      <c r="AM582" s="97"/>
      <c r="AN582" s="97"/>
      <c r="AO582" s="97"/>
      <c r="AP582" s="97"/>
      <c r="AQ582" s="97"/>
      <c r="AR582" s="97"/>
      <c r="AS582" s="97"/>
      <c r="AT582" s="97"/>
      <c r="AU582" s="97"/>
      <c r="AV582" s="97"/>
      <c r="AW582" s="97"/>
      <c r="AX582" s="97"/>
      <c r="AY582" s="97"/>
      <c r="AZ582" s="97"/>
      <c r="BA582" s="97"/>
      <c r="BB582" s="97"/>
      <c r="BC582" s="97"/>
      <c r="BD582" s="97"/>
      <c r="BE582" s="97"/>
      <c r="BF582" s="97"/>
      <c r="BG582" s="97"/>
      <c r="BH582" s="97"/>
      <c r="BI582" s="97"/>
      <c r="BJ582" s="97"/>
      <c r="BK582" s="97"/>
      <c r="BL582" s="97"/>
      <c r="BM582" s="97"/>
      <c r="BN582" s="97"/>
      <c r="BO582" s="97"/>
      <c r="BP582" s="97"/>
      <c r="BQ582" s="97"/>
      <c r="BR582" s="97"/>
      <c r="BS582" s="97"/>
      <c r="BT582" s="97"/>
      <c r="BU582" s="97"/>
      <c r="BV582" s="97"/>
      <c r="BW582" s="97"/>
      <c r="BX582" s="97"/>
      <c r="BY582" s="97"/>
      <c r="BZ582" s="97"/>
      <c r="CA582" s="97"/>
      <c r="CB582" s="97"/>
      <c r="CC582" s="97"/>
      <c r="CD582" s="97"/>
      <c r="CE582" s="97"/>
      <c r="CF582" s="97"/>
      <c r="CG582" s="97"/>
      <c r="CH582" s="97"/>
      <c r="CI582" s="97"/>
      <c r="CJ582" s="97"/>
      <c r="CK582" s="97"/>
      <c r="CL582" s="97"/>
      <c r="CM582" s="97"/>
      <c r="CN582" s="97"/>
      <c r="CO582" s="97"/>
      <c r="CP582" s="97"/>
      <c r="CQ582" s="97"/>
    </row>
    <row r="583" spans="1:95" ht="14.25" customHeight="1" outlineLevel="1">
      <c r="A583" s="97"/>
      <c r="B583" s="97" t="s">
        <v>674</v>
      </c>
      <c r="C583" s="97"/>
      <c r="D583" s="97">
        <f>AND(Opening_year&lt;year,Forecast_year&gt;year)*1</f>
        <v>0</v>
      </c>
      <c r="E583" s="97">
        <f t="shared" ref="E583:AI583" si="224">AND(Opening_year&lt;year,Forecast_year&gt;year)*1</f>
        <v>0</v>
      </c>
      <c r="F583" s="97">
        <f t="shared" si="224"/>
        <v>0</v>
      </c>
      <c r="G583" s="97">
        <f t="shared" si="224"/>
        <v>0</v>
      </c>
      <c r="H583" s="97">
        <f t="shared" si="224"/>
        <v>0</v>
      </c>
      <c r="I583" s="97">
        <f t="shared" si="224"/>
        <v>0</v>
      </c>
      <c r="J583" s="97">
        <f t="shared" si="224"/>
        <v>0</v>
      </c>
      <c r="K583" s="97">
        <f t="shared" si="224"/>
        <v>0</v>
      </c>
      <c r="L583" s="97">
        <f t="shared" si="224"/>
        <v>0</v>
      </c>
      <c r="M583" s="97">
        <f t="shared" si="224"/>
        <v>0</v>
      </c>
      <c r="N583" s="97">
        <f t="shared" si="224"/>
        <v>0</v>
      </c>
      <c r="O583" s="97">
        <f t="shared" si="224"/>
        <v>0</v>
      </c>
      <c r="P583" s="97">
        <f t="shared" si="224"/>
        <v>0</v>
      </c>
      <c r="Q583" s="97">
        <f t="shared" si="224"/>
        <v>0</v>
      </c>
      <c r="R583" s="97">
        <f t="shared" si="224"/>
        <v>0</v>
      </c>
      <c r="S583" s="97">
        <f t="shared" si="224"/>
        <v>0</v>
      </c>
      <c r="T583" s="97">
        <f t="shared" si="224"/>
        <v>1</v>
      </c>
      <c r="U583" s="97">
        <f t="shared" si="224"/>
        <v>1</v>
      </c>
      <c r="V583" s="97">
        <f t="shared" si="224"/>
        <v>1</v>
      </c>
      <c r="W583" s="97">
        <f t="shared" si="224"/>
        <v>1</v>
      </c>
      <c r="X583" s="97">
        <f t="shared" si="224"/>
        <v>0</v>
      </c>
      <c r="Y583" s="97">
        <f t="shared" si="224"/>
        <v>0</v>
      </c>
      <c r="Z583" s="97">
        <f t="shared" si="224"/>
        <v>0</v>
      </c>
      <c r="AA583" s="97">
        <f t="shared" si="224"/>
        <v>0</v>
      </c>
      <c r="AB583" s="97">
        <f t="shared" si="224"/>
        <v>0</v>
      </c>
      <c r="AC583" s="97">
        <f t="shared" si="224"/>
        <v>0</v>
      </c>
      <c r="AD583" s="97">
        <f t="shared" si="224"/>
        <v>0</v>
      </c>
      <c r="AE583" s="97">
        <f t="shared" si="224"/>
        <v>0</v>
      </c>
      <c r="AF583" s="97">
        <f t="shared" si="224"/>
        <v>0</v>
      </c>
      <c r="AG583" s="97">
        <f t="shared" si="224"/>
        <v>0</v>
      </c>
      <c r="AH583" s="97">
        <f t="shared" si="224"/>
        <v>0</v>
      </c>
      <c r="AI583" s="97">
        <f t="shared" si="224"/>
        <v>0</v>
      </c>
      <c r="AJ583" s="97">
        <f t="shared" ref="AJ583:BO583" si="225">AND(Opening_year&lt;year,Forecast_year&gt;year)*1</f>
        <v>0</v>
      </c>
      <c r="AK583" s="97">
        <f t="shared" si="225"/>
        <v>0</v>
      </c>
      <c r="AL583" s="97">
        <f t="shared" si="225"/>
        <v>0</v>
      </c>
      <c r="AM583" s="97">
        <f t="shared" si="225"/>
        <v>0</v>
      </c>
      <c r="AN583" s="97">
        <f t="shared" si="225"/>
        <v>0</v>
      </c>
      <c r="AO583" s="97">
        <f t="shared" si="225"/>
        <v>0</v>
      </c>
      <c r="AP583" s="97">
        <f t="shared" si="225"/>
        <v>0</v>
      </c>
      <c r="AQ583" s="97">
        <f t="shared" si="225"/>
        <v>0</v>
      </c>
      <c r="AR583" s="97">
        <f t="shared" si="225"/>
        <v>0</v>
      </c>
      <c r="AS583" s="97">
        <f t="shared" si="225"/>
        <v>0</v>
      </c>
      <c r="AT583" s="97">
        <f t="shared" si="225"/>
        <v>0</v>
      </c>
      <c r="AU583" s="97">
        <f t="shared" si="225"/>
        <v>0</v>
      </c>
      <c r="AV583" s="97">
        <f t="shared" si="225"/>
        <v>0</v>
      </c>
      <c r="AW583" s="97">
        <f t="shared" si="225"/>
        <v>0</v>
      </c>
      <c r="AX583" s="97">
        <f t="shared" si="225"/>
        <v>0</v>
      </c>
      <c r="AY583" s="97">
        <f t="shared" si="225"/>
        <v>0</v>
      </c>
      <c r="AZ583" s="97">
        <f t="shared" si="225"/>
        <v>0</v>
      </c>
      <c r="BA583" s="97">
        <f t="shared" si="225"/>
        <v>0</v>
      </c>
      <c r="BB583" s="97">
        <f t="shared" si="225"/>
        <v>0</v>
      </c>
      <c r="BC583" s="97">
        <f t="shared" si="225"/>
        <v>0</v>
      </c>
      <c r="BD583" s="97">
        <f t="shared" si="225"/>
        <v>0</v>
      </c>
      <c r="BE583" s="97">
        <f t="shared" si="225"/>
        <v>0</v>
      </c>
      <c r="BF583" s="97">
        <f t="shared" si="225"/>
        <v>0</v>
      </c>
      <c r="BG583" s="97">
        <f t="shared" si="225"/>
        <v>0</v>
      </c>
      <c r="BH583" s="97">
        <f t="shared" si="225"/>
        <v>0</v>
      </c>
      <c r="BI583" s="97">
        <f t="shared" si="225"/>
        <v>0</v>
      </c>
      <c r="BJ583" s="97">
        <f t="shared" si="225"/>
        <v>0</v>
      </c>
      <c r="BK583" s="97">
        <f t="shared" si="225"/>
        <v>0</v>
      </c>
      <c r="BL583" s="97">
        <f t="shared" si="225"/>
        <v>0</v>
      </c>
      <c r="BM583" s="97">
        <f t="shared" si="225"/>
        <v>0</v>
      </c>
      <c r="BN583" s="97">
        <f t="shared" si="225"/>
        <v>0</v>
      </c>
      <c r="BO583" s="97">
        <f t="shared" si="225"/>
        <v>0</v>
      </c>
      <c r="BP583" s="97">
        <f t="shared" ref="BP583:CP583" si="226">AND(Opening_year&lt;year,Forecast_year&gt;year)*1</f>
        <v>0</v>
      </c>
      <c r="BQ583" s="97">
        <f t="shared" si="226"/>
        <v>0</v>
      </c>
      <c r="BR583" s="97">
        <f t="shared" si="226"/>
        <v>0</v>
      </c>
      <c r="BS583" s="97">
        <f t="shared" si="226"/>
        <v>0</v>
      </c>
      <c r="BT583" s="97">
        <f t="shared" si="226"/>
        <v>0</v>
      </c>
      <c r="BU583" s="97">
        <f t="shared" si="226"/>
        <v>0</v>
      </c>
      <c r="BV583" s="97">
        <f t="shared" si="226"/>
        <v>0</v>
      </c>
      <c r="BW583" s="97">
        <f t="shared" si="226"/>
        <v>0</v>
      </c>
      <c r="BX583" s="97">
        <f t="shared" si="226"/>
        <v>0</v>
      </c>
      <c r="BY583" s="97">
        <f t="shared" si="226"/>
        <v>0</v>
      </c>
      <c r="BZ583" s="97">
        <f t="shared" si="226"/>
        <v>0</v>
      </c>
      <c r="CA583" s="97">
        <f t="shared" si="226"/>
        <v>0</v>
      </c>
      <c r="CB583" s="97">
        <f t="shared" si="226"/>
        <v>0</v>
      </c>
      <c r="CC583" s="97">
        <f t="shared" si="226"/>
        <v>0</v>
      </c>
      <c r="CD583" s="97">
        <f t="shared" si="226"/>
        <v>0</v>
      </c>
      <c r="CE583" s="97">
        <f t="shared" si="226"/>
        <v>0</v>
      </c>
      <c r="CF583" s="97">
        <f t="shared" si="226"/>
        <v>0</v>
      </c>
      <c r="CG583" s="97">
        <f t="shared" si="226"/>
        <v>0</v>
      </c>
      <c r="CH583" s="97">
        <f t="shared" si="226"/>
        <v>0</v>
      </c>
      <c r="CI583" s="97">
        <f t="shared" si="226"/>
        <v>0</v>
      </c>
      <c r="CJ583" s="97">
        <f t="shared" si="226"/>
        <v>0</v>
      </c>
      <c r="CK583" s="97">
        <f t="shared" si="226"/>
        <v>0</v>
      </c>
      <c r="CL583" s="97">
        <f t="shared" si="226"/>
        <v>0</v>
      </c>
      <c r="CM583" s="97">
        <f t="shared" si="226"/>
        <v>0</v>
      </c>
      <c r="CN583" s="97">
        <f t="shared" si="226"/>
        <v>0</v>
      </c>
      <c r="CO583" s="97">
        <f t="shared" si="226"/>
        <v>0</v>
      </c>
      <c r="CP583" s="97">
        <f t="shared" si="226"/>
        <v>0</v>
      </c>
      <c r="CQ583" s="3" t="s">
        <v>675</v>
      </c>
    </row>
    <row r="584" spans="1:95" ht="14.25" customHeight="1" outlineLevel="1">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c r="AA584" s="97"/>
      <c r="AB584" s="97"/>
      <c r="AC584" s="97"/>
      <c r="AD584" s="97"/>
      <c r="AE584" s="97"/>
      <c r="AF584" s="97"/>
      <c r="AG584" s="97"/>
      <c r="AH584" s="97"/>
      <c r="AI584" s="97"/>
      <c r="AJ584" s="97"/>
      <c r="AK584" s="97"/>
      <c r="AL584" s="97"/>
      <c r="AM584" s="97"/>
      <c r="AN584" s="97"/>
      <c r="AO584" s="97"/>
      <c r="AP584" s="97"/>
      <c r="AQ584" s="97"/>
      <c r="AR584" s="97"/>
      <c r="AS584" s="97"/>
      <c r="AT584" s="97"/>
      <c r="AU584" s="97"/>
      <c r="AV584" s="97"/>
      <c r="AW584" s="97"/>
      <c r="AX584" s="97"/>
      <c r="AY584" s="97"/>
      <c r="AZ584" s="97"/>
      <c r="BA584" s="97"/>
      <c r="BB584" s="97"/>
      <c r="BC584" s="97"/>
      <c r="BD584" s="97"/>
      <c r="BE584" s="97"/>
      <c r="BF584" s="97"/>
      <c r="BG584" s="97"/>
      <c r="BH584" s="97"/>
      <c r="BI584" s="97"/>
      <c r="BJ584" s="97"/>
      <c r="BK584" s="97"/>
      <c r="BL584" s="97"/>
      <c r="BM584" s="97"/>
      <c r="BN584" s="97"/>
      <c r="BO584" s="97"/>
      <c r="BP584" s="97"/>
      <c r="BQ584" s="97"/>
      <c r="BR584" s="97"/>
      <c r="BS584" s="97"/>
      <c r="BT584" s="97"/>
      <c r="BU584" s="97"/>
      <c r="BV584" s="97"/>
      <c r="BW584" s="97"/>
      <c r="BX584" s="97"/>
      <c r="BY584" s="97"/>
      <c r="BZ584" s="97"/>
      <c r="CA584" s="97"/>
      <c r="CB584" s="97"/>
      <c r="CC584" s="97"/>
      <c r="CD584" s="97"/>
      <c r="CE584" s="97"/>
      <c r="CF584" s="97"/>
      <c r="CG584" s="97"/>
      <c r="CH584" s="97"/>
      <c r="CI584" s="97"/>
      <c r="CJ584" s="97"/>
      <c r="CK584" s="97"/>
      <c r="CL584" s="97"/>
      <c r="CM584" s="97"/>
      <c r="CN584" s="97"/>
      <c r="CO584" s="97"/>
      <c r="CP584" s="97"/>
      <c r="CQ584" s="3"/>
    </row>
    <row r="585" spans="1:95" ht="14.25" customHeight="1" outlineLevel="1">
      <c r="A585" s="97"/>
      <c r="B585" s="97" t="s">
        <v>676</v>
      </c>
      <c r="C585" s="97"/>
      <c r="D585" s="97">
        <f>AND(year&gt;Forecast_year,year&lt;(Opening_year + Appraisal_period_length))*1</f>
        <v>0</v>
      </c>
      <c r="E585" s="97">
        <f t="shared" ref="E585:AI585" si="227">AND(year&gt;Forecast_year,year&lt;(Opening_year + Appraisal_period_length))*1</f>
        <v>0</v>
      </c>
      <c r="F585" s="97">
        <f t="shared" si="227"/>
        <v>0</v>
      </c>
      <c r="G585" s="97">
        <f t="shared" si="227"/>
        <v>0</v>
      </c>
      <c r="H585" s="97">
        <f t="shared" si="227"/>
        <v>0</v>
      </c>
      <c r="I585" s="97">
        <f t="shared" si="227"/>
        <v>0</v>
      </c>
      <c r="J585" s="97">
        <f t="shared" si="227"/>
        <v>0</v>
      </c>
      <c r="K585" s="97">
        <f t="shared" si="227"/>
        <v>0</v>
      </c>
      <c r="L585" s="97">
        <f t="shared" si="227"/>
        <v>0</v>
      </c>
      <c r="M585" s="97">
        <f t="shared" si="227"/>
        <v>0</v>
      </c>
      <c r="N585" s="97">
        <f t="shared" si="227"/>
        <v>0</v>
      </c>
      <c r="O585" s="97">
        <f t="shared" si="227"/>
        <v>0</v>
      </c>
      <c r="P585" s="97">
        <f t="shared" si="227"/>
        <v>0</v>
      </c>
      <c r="Q585" s="97">
        <f t="shared" si="227"/>
        <v>0</v>
      </c>
      <c r="R585" s="97">
        <f t="shared" si="227"/>
        <v>0</v>
      </c>
      <c r="S585" s="97">
        <f t="shared" si="227"/>
        <v>0</v>
      </c>
      <c r="T585" s="97">
        <f t="shared" si="227"/>
        <v>0</v>
      </c>
      <c r="U585" s="97">
        <f t="shared" si="227"/>
        <v>0</v>
      </c>
      <c r="V585" s="97">
        <f t="shared" si="227"/>
        <v>0</v>
      </c>
      <c r="W585" s="97">
        <f t="shared" si="227"/>
        <v>0</v>
      </c>
      <c r="X585" s="97">
        <f t="shared" si="227"/>
        <v>0</v>
      </c>
      <c r="Y585" s="97">
        <f t="shared" si="227"/>
        <v>1</v>
      </c>
      <c r="Z585" s="97">
        <f t="shared" si="227"/>
        <v>1</v>
      </c>
      <c r="AA585" s="97">
        <f t="shared" si="227"/>
        <v>1</v>
      </c>
      <c r="AB585" s="97">
        <f t="shared" si="227"/>
        <v>1</v>
      </c>
      <c r="AC585" s="97">
        <f t="shared" si="227"/>
        <v>1</v>
      </c>
      <c r="AD585" s="97">
        <f t="shared" si="227"/>
        <v>1</v>
      </c>
      <c r="AE585" s="97">
        <f t="shared" si="227"/>
        <v>1</v>
      </c>
      <c r="AF585" s="97">
        <f t="shared" si="227"/>
        <v>1</v>
      </c>
      <c r="AG585" s="97">
        <f t="shared" si="227"/>
        <v>1</v>
      </c>
      <c r="AH585" s="97">
        <f t="shared" si="227"/>
        <v>1</v>
      </c>
      <c r="AI585" s="97">
        <f t="shared" si="227"/>
        <v>1</v>
      </c>
      <c r="AJ585" s="97">
        <f t="shared" ref="AJ585:BO585" si="228">AND(year&gt;Forecast_year,year&lt;(Opening_year + Appraisal_period_length))*1</f>
        <v>1</v>
      </c>
      <c r="AK585" s="97">
        <f t="shared" si="228"/>
        <v>1</v>
      </c>
      <c r="AL585" s="97">
        <f t="shared" si="228"/>
        <v>1</v>
      </c>
      <c r="AM585" s="97">
        <f t="shared" si="228"/>
        <v>1</v>
      </c>
      <c r="AN585" s="97">
        <f t="shared" si="228"/>
        <v>1</v>
      </c>
      <c r="AO585" s="97">
        <f t="shared" si="228"/>
        <v>1</v>
      </c>
      <c r="AP585" s="97">
        <f t="shared" si="228"/>
        <v>1</v>
      </c>
      <c r="AQ585" s="97">
        <f t="shared" si="228"/>
        <v>1</v>
      </c>
      <c r="AR585" s="97">
        <f t="shared" si="228"/>
        <v>1</v>
      </c>
      <c r="AS585" s="97">
        <f t="shared" si="228"/>
        <v>1</v>
      </c>
      <c r="AT585" s="97">
        <f t="shared" si="228"/>
        <v>1</v>
      </c>
      <c r="AU585" s="97">
        <f t="shared" si="228"/>
        <v>1</v>
      </c>
      <c r="AV585" s="97">
        <f t="shared" si="228"/>
        <v>1</v>
      </c>
      <c r="AW585" s="97">
        <f t="shared" si="228"/>
        <v>1</v>
      </c>
      <c r="AX585" s="97">
        <f t="shared" si="228"/>
        <v>1</v>
      </c>
      <c r="AY585" s="97">
        <f t="shared" si="228"/>
        <v>1</v>
      </c>
      <c r="AZ585" s="97">
        <f t="shared" si="228"/>
        <v>1</v>
      </c>
      <c r="BA585" s="97">
        <f t="shared" si="228"/>
        <v>1</v>
      </c>
      <c r="BB585" s="97">
        <f t="shared" si="228"/>
        <v>1</v>
      </c>
      <c r="BC585" s="97">
        <f t="shared" si="228"/>
        <v>1</v>
      </c>
      <c r="BD585" s="97">
        <f t="shared" si="228"/>
        <v>1</v>
      </c>
      <c r="BE585" s="97">
        <f t="shared" si="228"/>
        <v>1</v>
      </c>
      <c r="BF585" s="97">
        <f t="shared" si="228"/>
        <v>1</v>
      </c>
      <c r="BG585" s="97">
        <f t="shared" si="228"/>
        <v>1</v>
      </c>
      <c r="BH585" s="97">
        <f t="shared" si="228"/>
        <v>1</v>
      </c>
      <c r="BI585" s="97">
        <f t="shared" si="228"/>
        <v>1</v>
      </c>
      <c r="BJ585" s="97">
        <f t="shared" si="228"/>
        <v>1</v>
      </c>
      <c r="BK585" s="97">
        <f t="shared" si="228"/>
        <v>1</v>
      </c>
      <c r="BL585" s="97">
        <f t="shared" si="228"/>
        <v>1</v>
      </c>
      <c r="BM585" s="97">
        <f t="shared" si="228"/>
        <v>1</v>
      </c>
      <c r="BN585" s="97">
        <f t="shared" si="228"/>
        <v>1</v>
      </c>
      <c r="BO585" s="97">
        <f t="shared" si="228"/>
        <v>1</v>
      </c>
      <c r="BP585" s="97">
        <f t="shared" ref="BP585:CP585" si="229">AND(year&gt;Forecast_year,year&lt;(Opening_year + Appraisal_period_length))*1</f>
        <v>1</v>
      </c>
      <c r="BQ585" s="97">
        <f t="shared" si="229"/>
        <v>1</v>
      </c>
      <c r="BR585" s="97">
        <f t="shared" si="229"/>
        <v>1</v>
      </c>
      <c r="BS585" s="97">
        <f t="shared" si="229"/>
        <v>1</v>
      </c>
      <c r="BT585" s="97">
        <f t="shared" si="229"/>
        <v>1</v>
      </c>
      <c r="BU585" s="97">
        <f t="shared" si="229"/>
        <v>1</v>
      </c>
      <c r="BV585" s="97">
        <f t="shared" si="229"/>
        <v>1</v>
      </c>
      <c r="BW585" s="97">
        <f t="shared" si="229"/>
        <v>1</v>
      </c>
      <c r="BX585" s="97">
        <f t="shared" si="229"/>
        <v>1</v>
      </c>
      <c r="BY585" s="97">
        <f t="shared" si="229"/>
        <v>1</v>
      </c>
      <c r="BZ585" s="97">
        <f t="shared" si="229"/>
        <v>1</v>
      </c>
      <c r="CA585" s="97">
        <f t="shared" si="229"/>
        <v>0</v>
      </c>
      <c r="CB585" s="97">
        <f t="shared" si="229"/>
        <v>0</v>
      </c>
      <c r="CC585" s="97">
        <f t="shared" si="229"/>
        <v>0</v>
      </c>
      <c r="CD585" s="97">
        <f t="shared" si="229"/>
        <v>0</v>
      </c>
      <c r="CE585" s="97">
        <f t="shared" si="229"/>
        <v>0</v>
      </c>
      <c r="CF585" s="97">
        <f t="shared" si="229"/>
        <v>0</v>
      </c>
      <c r="CG585" s="97">
        <f t="shared" si="229"/>
        <v>0</v>
      </c>
      <c r="CH585" s="97">
        <f t="shared" si="229"/>
        <v>0</v>
      </c>
      <c r="CI585" s="97">
        <f t="shared" si="229"/>
        <v>0</v>
      </c>
      <c r="CJ585" s="97">
        <f t="shared" si="229"/>
        <v>0</v>
      </c>
      <c r="CK585" s="97">
        <f t="shared" si="229"/>
        <v>0</v>
      </c>
      <c r="CL585" s="97">
        <f t="shared" si="229"/>
        <v>0</v>
      </c>
      <c r="CM585" s="97">
        <f t="shared" si="229"/>
        <v>0</v>
      </c>
      <c r="CN585" s="97">
        <f t="shared" si="229"/>
        <v>0</v>
      </c>
      <c r="CO585" s="97">
        <f t="shared" si="229"/>
        <v>0</v>
      </c>
      <c r="CP585" s="97">
        <f t="shared" si="229"/>
        <v>0</v>
      </c>
      <c r="CQ585" s="3" t="s">
        <v>677</v>
      </c>
    </row>
    <row r="586" spans="1:95" ht="14.25" customHeight="1" outlineLevel="1">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c r="AA586" s="97"/>
      <c r="AB586" s="97"/>
      <c r="AC586" s="97"/>
      <c r="AD586" s="97"/>
      <c r="AE586" s="97"/>
      <c r="AF586" s="97"/>
      <c r="AG586" s="97"/>
      <c r="AH586" s="97"/>
      <c r="AI586" s="97"/>
      <c r="AJ586" s="97"/>
      <c r="AK586" s="97"/>
      <c r="AL586" s="97"/>
      <c r="AM586" s="97"/>
      <c r="AN586" s="97"/>
      <c r="AO586" s="97"/>
      <c r="AP586" s="97"/>
      <c r="AQ586" s="97"/>
      <c r="AR586" s="97"/>
      <c r="AS586" s="97"/>
      <c r="AT586" s="97"/>
      <c r="AU586" s="97"/>
      <c r="AV586" s="97"/>
      <c r="AW586" s="97"/>
      <c r="AX586" s="97"/>
      <c r="AY586" s="97"/>
      <c r="AZ586" s="97"/>
      <c r="BA586" s="97"/>
      <c r="BB586" s="97"/>
      <c r="BC586" s="97"/>
      <c r="BD586" s="97"/>
      <c r="BE586" s="97"/>
      <c r="BF586" s="97"/>
      <c r="BG586" s="97"/>
      <c r="BH586" s="97"/>
      <c r="BI586" s="97"/>
      <c r="BJ586" s="97"/>
      <c r="BK586" s="97"/>
      <c r="BL586" s="97"/>
      <c r="BM586" s="97"/>
      <c r="BN586" s="97"/>
      <c r="BO586" s="97"/>
      <c r="BP586" s="97"/>
      <c r="BQ586" s="97"/>
      <c r="BR586" s="97"/>
      <c r="BS586" s="97"/>
      <c r="BT586" s="97"/>
      <c r="BU586" s="97"/>
      <c r="BV586" s="97"/>
      <c r="BW586" s="97"/>
      <c r="BX586" s="97"/>
      <c r="BY586" s="97"/>
      <c r="BZ586" s="97"/>
      <c r="CA586" s="97"/>
      <c r="CB586" s="97"/>
      <c r="CC586" s="97"/>
      <c r="CD586" s="97"/>
      <c r="CE586" s="97"/>
      <c r="CF586" s="97"/>
      <c r="CG586" s="97"/>
      <c r="CH586" s="97"/>
      <c r="CI586" s="97"/>
      <c r="CJ586" s="97"/>
      <c r="CK586" s="97"/>
      <c r="CL586" s="97"/>
      <c r="CM586" s="97"/>
      <c r="CN586" s="97"/>
      <c r="CO586" s="97"/>
      <c r="CP586" s="97"/>
      <c r="CQ586" s="3"/>
    </row>
    <row r="587" spans="1:95" ht="14.25" customHeight="1" outlineLevel="1">
      <c r="A587" s="97"/>
      <c r="B587" s="97" t="s">
        <v>664</v>
      </c>
      <c r="C587" s="97"/>
      <c r="D587" s="97">
        <f>Opening_year_mask + Interpolation_mask + Forecast_year_mask + Extrapolation_mask</f>
        <v>0</v>
      </c>
      <c r="E587" s="97">
        <f t="shared" ref="E587:AI587" si="230">Opening_year_mask + Interpolation_mask + Forecast_year_mask + Extrapolation_mask</f>
        <v>0</v>
      </c>
      <c r="F587" s="97">
        <f t="shared" si="230"/>
        <v>0</v>
      </c>
      <c r="G587" s="97">
        <f t="shared" si="230"/>
        <v>0</v>
      </c>
      <c r="H587" s="97">
        <f t="shared" si="230"/>
        <v>0</v>
      </c>
      <c r="I587" s="97">
        <f t="shared" si="230"/>
        <v>0</v>
      </c>
      <c r="J587" s="97">
        <f t="shared" si="230"/>
        <v>0</v>
      </c>
      <c r="K587" s="97">
        <f t="shared" si="230"/>
        <v>0</v>
      </c>
      <c r="L587" s="97">
        <f t="shared" si="230"/>
        <v>0</v>
      </c>
      <c r="M587" s="97">
        <f t="shared" si="230"/>
        <v>0</v>
      </c>
      <c r="N587" s="97">
        <f t="shared" si="230"/>
        <v>0</v>
      </c>
      <c r="O587" s="97">
        <f t="shared" si="230"/>
        <v>0</v>
      </c>
      <c r="P587" s="97">
        <f t="shared" si="230"/>
        <v>0</v>
      </c>
      <c r="Q587" s="97">
        <f t="shared" si="230"/>
        <v>0</v>
      </c>
      <c r="R587" s="97">
        <f t="shared" si="230"/>
        <v>0</v>
      </c>
      <c r="S587" s="97">
        <f t="shared" si="230"/>
        <v>1</v>
      </c>
      <c r="T587" s="97">
        <f t="shared" si="230"/>
        <v>1</v>
      </c>
      <c r="U587" s="97">
        <f t="shared" si="230"/>
        <v>1</v>
      </c>
      <c r="V587" s="97">
        <f t="shared" si="230"/>
        <v>1</v>
      </c>
      <c r="W587" s="97">
        <f t="shared" si="230"/>
        <v>1</v>
      </c>
      <c r="X587" s="97">
        <f t="shared" si="230"/>
        <v>1</v>
      </c>
      <c r="Y587" s="97">
        <f t="shared" si="230"/>
        <v>1</v>
      </c>
      <c r="Z587" s="97">
        <f t="shared" si="230"/>
        <v>1</v>
      </c>
      <c r="AA587" s="97">
        <f t="shared" si="230"/>
        <v>1</v>
      </c>
      <c r="AB587" s="97">
        <f t="shared" si="230"/>
        <v>1</v>
      </c>
      <c r="AC587" s="97">
        <f t="shared" si="230"/>
        <v>1</v>
      </c>
      <c r="AD587" s="97">
        <f t="shared" si="230"/>
        <v>1</v>
      </c>
      <c r="AE587" s="97">
        <f t="shared" si="230"/>
        <v>1</v>
      </c>
      <c r="AF587" s="97">
        <f t="shared" si="230"/>
        <v>1</v>
      </c>
      <c r="AG587" s="97">
        <f t="shared" si="230"/>
        <v>1</v>
      </c>
      <c r="AH587" s="97">
        <f t="shared" si="230"/>
        <v>1</v>
      </c>
      <c r="AI587" s="97">
        <f t="shared" si="230"/>
        <v>1</v>
      </c>
      <c r="AJ587" s="97">
        <f t="shared" ref="AJ587:BO587" si="231">Opening_year_mask + Interpolation_mask + Forecast_year_mask + Extrapolation_mask</f>
        <v>1</v>
      </c>
      <c r="AK587" s="97">
        <f t="shared" si="231"/>
        <v>1</v>
      </c>
      <c r="AL587" s="97">
        <f t="shared" si="231"/>
        <v>1</v>
      </c>
      <c r="AM587" s="97">
        <f t="shared" si="231"/>
        <v>1</v>
      </c>
      <c r="AN587" s="97">
        <f t="shared" si="231"/>
        <v>1</v>
      </c>
      <c r="AO587" s="97">
        <f t="shared" si="231"/>
        <v>1</v>
      </c>
      <c r="AP587" s="97">
        <f t="shared" si="231"/>
        <v>1</v>
      </c>
      <c r="AQ587" s="97">
        <f t="shared" si="231"/>
        <v>1</v>
      </c>
      <c r="AR587" s="97">
        <f t="shared" si="231"/>
        <v>1</v>
      </c>
      <c r="AS587" s="97">
        <f t="shared" si="231"/>
        <v>1</v>
      </c>
      <c r="AT587" s="97">
        <f t="shared" si="231"/>
        <v>1</v>
      </c>
      <c r="AU587" s="97">
        <f t="shared" si="231"/>
        <v>1</v>
      </c>
      <c r="AV587" s="97">
        <f t="shared" si="231"/>
        <v>1</v>
      </c>
      <c r="AW587" s="97">
        <f t="shared" si="231"/>
        <v>1</v>
      </c>
      <c r="AX587" s="97">
        <f t="shared" si="231"/>
        <v>1</v>
      </c>
      <c r="AY587" s="97">
        <f t="shared" si="231"/>
        <v>1</v>
      </c>
      <c r="AZ587" s="97">
        <f t="shared" si="231"/>
        <v>1</v>
      </c>
      <c r="BA587" s="97">
        <f t="shared" si="231"/>
        <v>1</v>
      </c>
      <c r="BB587" s="97">
        <f t="shared" si="231"/>
        <v>1</v>
      </c>
      <c r="BC587" s="97">
        <f t="shared" si="231"/>
        <v>1</v>
      </c>
      <c r="BD587" s="97">
        <f t="shared" si="231"/>
        <v>1</v>
      </c>
      <c r="BE587" s="97">
        <f t="shared" si="231"/>
        <v>1</v>
      </c>
      <c r="BF587" s="97">
        <f t="shared" si="231"/>
        <v>1</v>
      </c>
      <c r="BG587" s="97">
        <f t="shared" si="231"/>
        <v>1</v>
      </c>
      <c r="BH587" s="97">
        <f t="shared" si="231"/>
        <v>1</v>
      </c>
      <c r="BI587" s="97">
        <f t="shared" si="231"/>
        <v>1</v>
      </c>
      <c r="BJ587" s="97">
        <f t="shared" si="231"/>
        <v>1</v>
      </c>
      <c r="BK587" s="97">
        <f t="shared" si="231"/>
        <v>1</v>
      </c>
      <c r="BL587" s="97">
        <f t="shared" si="231"/>
        <v>1</v>
      </c>
      <c r="BM587" s="97">
        <f t="shared" si="231"/>
        <v>1</v>
      </c>
      <c r="BN587" s="97">
        <f t="shared" si="231"/>
        <v>1</v>
      </c>
      <c r="BO587" s="97">
        <f t="shared" si="231"/>
        <v>1</v>
      </c>
      <c r="BP587" s="97">
        <f t="shared" ref="BP587:CP587" si="232">Opening_year_mask + Interpolation_mask + Forecast_year_mask + Extrapolation_mask</f>
        <v>1</v>
      </c>
      <c r="BQ587" s="97">
        <f t="shared" si="232"/>
        <v>1</v>
      </c>
      <c r="BR587" s="97">
        <f t="shared" si="232"/>
        <v>1</v>
      </c>
      <c r="BS587" s="97">
        <f t="shared" si="232"/>
        <v>1</v>
      </c>
      <c r="BT587" s="97">
        <f t="shared" si="232"/>
        <v>1</v>
      </c>
      <c r="BU587" s="97">
        <f t="shared" si="232"/>
        <v>1</v>
      </c>
      <c r="BV587" s="97">
        <f t="shared" si="232"/>
        <v>1</v>
      </c>
      <c r="BW587" s="97">
        <f t="shared" si="232"/>
        <v>1</v>
      </c>
      <c r="BX587" s="97">
        <f t="shared" si="232"/>
        <v>1</v>
      </c>
      <c r="BY587" s="97">
        <f t="shared" si="232"/>
        <v>1</v>
      </c>
      <c r="BZ587" s="97">
        <f t="shared" si="232"/>
        <v>1</v>
      </c>
      <c r="CA587" s="97">
        <f t="shared" si="232"/>
        <v>0</v>
      </c>
      <c r="CB587" s="97">
        <f t="shared" si="232"/>
        <v>0</v>
      </c>
      <c r="CC587" s="97">
        <f t="shared" si="232"/>
        <v>0</v>
      </c>
      <c r="CD587" s="97">
        <f t="shared" si="232"/>
        <v>0</v>
      </c>
      <c r="CE587" s="97">
        <f t="shared" si="232"/>
        <v>0</v>
      </c>
      <c r="CF587" s="97">
        <f t="shared" si="232"/>
        <v>0</v>
      </c>
      <c r="CG587" s="97">
        <f t="shared" si="232"/>
        <v>0</v>
      </c>
      <c r="CH587" s="97">
        <f t="shared" si="232"/>
        <v>0</v>
      </c>
      <c r="CI587" s="97">
        <f t="shared" si="232"/>
        <v>0</v>
      </c>
      <c r="CJ587" s="97">
        <f t="shared" si="232"/>
        <v>0</v>
      </c>
      <c r="CK587" s="97">
        <f t="shared" si="232"/>
        <v>0</v>
      </c>
      <c r="CL587" s="97">
        <f t="shared" si="232"/>
        <v>0</v>
      </c>
      <c r="CM587" s="97">
        <f t="shared" si="232"/>
        <v>0</v>
      </c>
      <c r="CN587" s="97">
        <f t="shared" si="232"/>
        <v>0</v>
      </c>
      <c r="CO587" s="97">
        <f t="shared" si="232"/>
        <v>0</v>
      </c>
      <c r="CP587" s="97">
        <f t="shared" si="232"/>
        <v>0</v>
      </c>
      <c r="CQ587" s="3" t="s">
        <v>678</v>
      </c>
    </row>
    <row r="588" spans="1:95" ht="14.25" customHeight="1" outlineLevel="1">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97"/>
      <c r="AH588" s="97"/>
      <c r="AI588" s="97"/>
      <c r="AJ588" s="97"/>
      <c r="AK588" s="97"/>
      <c r="AL588" s="97"/>
      <c r="AM588" s="97"/>
      <c r="AN588" s="97"/>
      <c r="AO588" s="97"/>
      <c r="AP588" s="97"/>
      <c r="AQ588" s="97"/>
      <c r="AR588" s="97"/>
      <c r="AS588" s="97"/>
      <c r="AT588" s="97"/>
      <c r="AU588" s="97"/>
      <c r="AV588" s="97"/>
      <c r="AW588" s="97"/>
      <c r="AX588" s="97"/>
      <c r="AY588" s="97"/>
      <c r="AZ588" s="97"/>
      <c r="BA588" s="97"/>
      <c r="BB588" s="97"/>
      <c r="BC588" s="97"/>
      <c r="BD588" s="97"/>
      <c r="BE588" s="97"/>
      <c r="BF588" s="97"/>
      <c r="BG588" s="97"/>
      <c r="BH588" s="97"/>
      <c r="BI588" s="97"/>
      <c r="BJ588" s="97"/>
      <c r="BK588" s="97"/>
      <c r="BL588" s="97"/>
      <c r="BM588" s="97"/>
      <c r="BN588" s="97"/>
      <c r="BO588" s="97"/>
      <c r="BP588" s="97"/>
      <c r="BQ588" s="97"/>
      <c r="BR588" s="97"/>
      <c r="BS588" s="97"/>
      <c r="BT588" s="97"/>
      <c r="BU588" s="97"/>
      <c r="BV588" s="97"/>
      <c r="BW588" s="97"/>
      <c r="BX588" s="97"/>
      <c r="BY588" s="97"/>
      <c r="BZ588" s="97"/>
      <c r="CA588" s="97"/>
      <c r="CB588" s="97"/>
      <c r="CC588" s="97"/>
      <c r="CD588" s="97"/>
      <c r="CE588" s="97"/>
      <c r="CF588" s="97"/>
      <c r="CG588" s="97"/>
      <c r="CH588" s="97"/>
      <c r="CI588" s="97"/>
      <c r="CJ588" s="97"/>
      <c r="CK588" s="97"/>
      <c r="CL588" s="97"/>
      <c r="CM588" s="97"/>
      <c r="CN588" s="97"/>
      <c r="CO588" s="97"/>
      <c r="CP588" s="97"/>
      <c r="CQ588" s="3"/>
    </row>
    <row r="589" spans="1:95" ht="14.25" customHeight="1" outlineLevel="1">
      <c r="A589" s="97"/>
      <c r="B589" s="97" t="s">
        <v>679</v>
      </c>
      <c r="C589" s="97" t="b">
        <f>SUM(Appraisal_period)=Appraisal_period_length</f>
        <v>1</v>
      </c>
      <c r="D589" s="97"/>
      <c r="E589" s="97"/>
      <c r="F589" s="97"/>
      <c r="G589" s="97"/>
      <c r="H589" s="97"/>
      <c r="I589" s="97"/>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c r="AO589" s="97"/>
      <c r="AP589" s="97"/>
      <c r="AQ589" s="97"/>
      <c r="AR589" s="97"/>
      <c r="AS589" s="97"/>
      <c r="AT589" s="97"/>
      <c r="AU589" s="97"/>
      <c r="AV589" s="97"/>
      <c r="AW589" s="97"/>
      <c r="AX589" s="97"/>
      <c r="AY589" s="97"/>
      <c r="AZ589" s="97"/>
      <c r="BA589" s="97"/>
      <c r="BB589" s="97"/>
      <c r="BC589" s="97"/>
      <c r="BD589" s="97"/>
      <c r="BE589" s="97"/>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c r="CG589" s="97"/>
      <c r="CH589" s="97"/>
      <c r="CI589" s="97"/>
      <c r="CJ589" s="97"/>
      <c r="CK589" s="97"/>
      <c r="CL589" s="97"/>
      <c r="CM589" s="97"/>
      <c r="CN589" s="97"/>
      <c r="CO589" s="97"/>
      <c r="CP589" s="97"/>
      <c r="CQ589" s="97"/>
    </row>
    <row r="590" spans="1:95" ht="14.25" customHeight="1" outlineLevel="1">
      <c r="A590" s="97"/>
      <c r="B590" s="134"/>
      <c r="C590" s="134"/>
      <c r="D590" s="134"/>
      <c r="E590" s="134"/>
      <c r="F590" s="134"/>
      <c r="G590" s="134"/>
      <c r="H590" s="134"/>
      <c r="I590" s="134"/>
      <c r="J590" s="134"/>
      <c r="K590" s="134"/>
      <c r="L590" s="134"/>
      <c r="M590" s="134"/>
      <c r="N590" s="134"/>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7"/>
      <c r="AY590" s="97"/>
      <c r="AZ590" s="97"/>
      <c r="BA590" s="97"/>
      <c r="BB590" s="97"/>
      <c r="BC590" s="97"/>
      <c r="BD590" s="97"/>
      <c r="BE590" s="97"/>
      <c r="BF590" s="97"/>
      <c r="BG590" s="97"/>
      <c r="BH590" s="97"/>
      <c r="BI590" s="97"/>
      <c r="BJ590" s="97"/>
      <c r="BK590" s="97"/>
      <c r="BL590" s="97"/>
      <c r="BM590" s="97"/>
      <c r="BN590" s="97"/>
      <c r="BO590" s="97"/>
      <c r="BP590" s="97"/>
      <c r="BQ590" s="97"/>
      <c r="BR590" s="97"/>
      <c r="BS590" s="97"/>
      <c r="BT590" s="97"/>
      <c r="BU590" s="97"/>
      <c r="BV590" s="97"/>
      <c r="BW590" s="97"/>
      <c r="BX590" s="97"/>
      <c r="BY590" s="97"/>
      <c r="BZ590" s="97"/>
      <c r="CA590" s="97"/>
      <c r="CB590" s="97"/>
      <c r="CC590" s="97"/>
      <c r="CD590" s="97"/>
      <c r="CE590" s="97"/>
      <c r="CF590" s="97"/>
      <c r="CG590" s="97"/>
      <c r="CH590" s="97"/>
      <c r="CI590" s="97"/>
      <c r="CJ590" s="97"/>
      <c r="CK590" s="97"/>
      <c r="CL590" s="97"/>
      <c r="CM590" s="97"/>
      <c r="CN590" s="97"/>
      <c r="CO590" s="97"/>
      <c r="CP590" s="97"/>
      <c r="CQ590" s="97"/>
    </row>
    <row r="591" spans="1:95" s="5" customFormat="1" ht="18.75" customHeight="1" outlineLevel="2">
      <c r="B591" s="5" t="s">
        <v>680</v>
      </c>
    </row>
    <row r="592" spans="1:95" s="4" customFormat="1" ht="18.75" customHeight="1" outlineLevel="2">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c r="AN592" s="62"/>
      <c r="AO592" s="62"/>
      <c r="AP592" s="62"/>
      <c r="AQ592" s="62"/>
      <c r="AR592" s="62"/>
      <c r="AS592" s="62"/>
      <c r="AT592" s="62"/>
      <c r="AU592" s="62"/>
      <c r="AV592" s="62"/>
      <c r="AW592" s="62"/>
      <c r="AX592" s="62"/>
      <c r="AY592" s="62"/>
      <c r="AZ592" s="62"/>
      <c r="BA592" s="62"/>
      <c r="BB592" s="62"/>
      <c r="BC592" s="62"/>
      <c r="BD592" s="62"/>
      <c r="BE592" s="62"/>
      <c r="BF592" s="62"/>
      <c r="BG592" s="62"/>
      <c r="BH592" s="62"/>
      <c r="BI592" s="62"/>
      <c r="BJ592" s="62"/>
      <c r="BK592" s="62"/>
      <c r="BL592" s="62"/>
      <c r="BM592" s="62"/>
      <c r="BN592" s="62"/>
      <c r="BO592" s="62"/>
      <c r="BP592" s="62"/>
      <c r="BQ592" s="62"/>
      <c r="BR592" s="62"/>
      <c r="BS592" s="62"/>
      <c r="BT592" s="62"/>
      <c r="BU592" s="62"/>
      <c r="BV592" s="62"/>
      <c r="BW592" s="62"/>
      <c r="BX592" s="62"/>
      <c r="BY592" s="62"/>
      <c r="BZ592" s="62"/>
      <c r="CA592" s="62"/>
      <c r="CB592" s="62"/>
      <c r="CC592" s="62"/>
      <c r="CD592" s="62"/>
      <c r="CE592" s="62"/>
      <c r="CF592" s="62"/>
      <c r="CG592" s="62"/>
      <c r="CH592" s="62"/>
      <c r="CI592" s="62"/>
      <c r="CJ592" s="62"/>
      <c r="CK592" s="62"/>
      <c r="CL592" s="62"/>
      <c r="CM592" s="62"/>
      <c r="CN592" s="62"/>
      <c r="CO592" s="62"/>
      <c r="CP592" s="62"/>
      <c r="CQ592" s="62"/>
    </row>
    <row r="593" spans="1:95" ht="14.25" customHeight="1" outlineLevel="2">
      <c r="A593" s="97"/>
      <c r="B593" s="134"/>
      <c r="C593" s="134"/>
      <c r="D593" s="12">
        <v>2010</v>
      </c>
      <c r="E593" s="12">
        <v>2011</v>
      </c>
      <c r="F593" s="12">
        <v>2012</v>
      </c>
      <c r="G593" s="12">
        <v>2013</v>
      </c>
      <c r="H593" s="12">
        <v>2014</v>
      </c>
      <c r="I593" s="12">
        <v>2015</v>
      </c>
      <c r="J593" s="12">
        <v>2016</v>
      </c>
      <c r="K593" s="12">
        <v>2017</v>
      </c>
      <c r="L593" s="12">
        <v>2018</v>
      </c>
      <c r="M593" s="12">
        <v>2019</v>
      </c>
      <c r="N593" s="12">
        <v>2020</v>
      </c>
      <c r="O593" s="12">
        <v>2021</v>
      </c>
      <c r="P593" s="12">
        <v>2022</v>
      </c>
      <c r="Q593" s="12">
        <v>2023</v>
      </c>
      <c r="R593" s="12">
        <v>2024</v>
      </c>
      <c r="S593" s="12">
        <v>2025</v>
      </c>
      <c r="T593" s="12">
        <v>2026</v>
      </c>
      <c r="U593" s="12">
        <v>2027</v>
      </c>
      <c r="V593" s="12">
        <v>2028</v>
      </c>
      <c r="W593" s="12">
        <v>2029</v>
      </c>
      <c r="X593" s="12">
        <v>2030</v>
      </c>
      <c r="Y593" s="12">
        <v>2031</v>
      </c>
      <c r="Z593" s="12">
        <v>2032</v>
      </c>
      <c r="AA593" s="12">
        <v>2033</v>
      </c>
      <c r="AB593" s="12">
        <v>2034</v>
      </c>
      <c r="AC593" s="12">
        <v>2035</v>
      </c>
      <c r="AD593" s="12">
        <v>2036</v>
      </c>
      <c r="AE593" s="12">
        <v>2037</v>
      </c>
      <c r="AF593" s="12">
        <v>2038</v>
      </c>
      <c r="AG593" s="12">
        <v>2039</v>
      </c>
      <c r="AH593" s="12">
        <v>2040</v>
      </c>
      <c r="AI593" s="12">
        <v>2041</v>
      </c>
      <c r="AJ593" s="12">
        <v>2042</v>
      </c>
      <c r="AK593" s="12">
        <v>2043</v>
      </c>
      <c r="AL593" s="12">
        <v>2044</v>
      </c>
      <c r="AM593" s="12">
        <v>2045</v>
      </c>
      <c r="AN593" s="12">
        <v>2046</v>
      </c>
      <c r="AO593" s="12">
        <v>2047</v>
      </c>
      <c r="AP593" s="12">
        <v>2048</v>
      </c>
      <c r="AQ593" s="12">
        <v>2049</v>
      </c>
      <c r="AR593" s="12">
        <v>2050</v>
      </c>
      <c r="AS593" s="12">
        <v>2051</v>
      </c>
      <c r="AT593" s="12">
        <v>2052</v>
      </c>
      <c r="AU593" s="12">
        <v>2053</v>
      </c>
      <c r="AV593" s="12">
        <v>2054</v>
      </c>
      <c r="AW593" s="12">
        <v>2055</v>
      </c>
      <c r="AX593" s="12">
        <v>2056</v>
      </c>
      <c r="AY593" s="12">
        <v>2057</v>
      </c>
      <c r="AZ593" s="12">
        <v>2058</v>
      </c>
      <c r="BA593" s="12">
        <v>2059</v>
      </c>
      <c r="BB593" s="12">
        <v>2060</v>
      </c>
      <c r="BC593" s="12">
        <v>2061</v>
      </c>
      <c r="BD593" s="12">
        <v>2062</v>
      </c>
      <c r="BE593" s="12">
        <v>2063</v>
      </c>
      <c r="BF593" s="12">
        <v>2064</v>
      </c>
      <c r="BG593" s="12">
        <v>2065</v>
      </c>
      <c r="BH593" s="12">
        <v>2066</v>
      </c>
      <c r="BI593" s="12">
        <v>2067</v>
      </c>
      <c r="BJ593" s="12">
        <v>2068</v>
      </c>
      <c r="BK593" s="12">
        <v>2069</v>
      </c>
      <c r="BL593" s="12">
        <v>2070</v>
      </c>
      <c r="BM593" s="12">
        <v>2071</v>
      </c>
      <c r="BN593" s="12">
        <v>2072</v>
      </c>
      <c r="BO593" s="12">
        <v>2073</v>
      </c>
      <c r="BP593" s="12">
        <v>2074</v>
      </c>
      <c r="BQ593" s="12">
        <v>2075</v>
      </c>
      <c r="BR593" s="12">
        <v>2076</v>
      </c>
      <c r="BS593" s="12">
        <v>2077</v>
      </c>
      <c r="BT593" s="12">
        <v>2078</v>
      </c>
      <c r="BU593" s="12">
        <v>2079</v>
      </c>
      <c r="BV593" s="12">
        <v>2080</v>
      </c>
      <c r="BW593" s="12">
        <v>2081</v>
      </c>
      <c r="BX593" s="12">
        <v>2082</v>
      </c>
      <c r="BY593" s="12">
        <v>2083</v>
      </c>
      <c r="BZ593" s="12">
        <v>2084</v>
      </c>
      <c r="CA593" s="12">
        <v>2085</v>
      </c>
      <c r="CB593" s="12">
        <v>2086</v>
      </c>
      <c r="CC593" s="12">
        <v>2087</v>
      </c>
      <c r="CD593" s="12">
        <v>2088</v>
      </c>
      <c r="CE593" s="12">
        <v>2089</v>
      </c>
      <c r="CF593" s="12">
        <v>2090</v>
      </c>
      <c r="CG593" s="12">
        <v>2091</v>
      </c>
      <c r="CH593" s="12">
        <v>2092</v>
      </c>
      <c r="CI593" s="12">
        <v>2093</v>
      </c>
      <c r="CJ593" s="12">
        <v>2094</v>
      </c>
      <c r="CK593" s="12">
        <v>2095</v>
      </c>
      <c r="CL593" s="12">
        <v>2096</v>
      </c>
      <c r="CM593" s="12">
        <v>2097</v>
      </c>
      <c r="CN593" s="12">
        <v>2098</v>
      </c>
      <c r="CO593" s="12">
        <v>2099</v>
      </c>
      <c r="CP593" s="12">
        <v>2100</v>
      </c>
      <c r="CQ593" s="97"/>
    </row>
    <row r="594" spans="1:95" ht="14.45" outlineLevel="2">
      <c r="A594" s="97"/>
      <c r="B594" s="97" t="s">
        <v>59</v>
      </c>
      <c r="C594" s="97"/>
      <c r="D594" s="111">
        <f t="shared" ref="D594:AI594" si="233">Opening_year_sleep_disturbance_cost*Opening_year_mask</f>
        <v>0</v>
      </c>
      <c r="E594" s="111">
        <f t="shared" si="233"/>
        <v>0</v>
      </c>
      <c r="F594" s="111">
        <f t="shared" si="233"/>
        <v>0</v>
      </c>
      <c r="G594" s="111">
        <f t="shared" si="233"/>
        <v>0</v>
      </c>
      <c r="H594" s="111">
        <f t="shared" si="233"/>
        <v>0</v>
      </c>
      <c r="I594" s="111">
        <f t="shared" si="233"/>
        <v>0</v>
      </c>
      <c r="J594" s="111">
        <f t="shared" si="233"/>
        <v>0</v>
      </c>
      <c r="K594" s="111">
        <f t="shared" si="233"/>
        <v>0</v>
      </c>
      <c r="L594" s="111">
        <f t="shared" si="233"/>
        <v>0</v>
      </c>
      <c r="M594" s="111">
        <f t="shared" si="233"/>
        <v>0</v>
      </c>
      <c r="N594" s="111">
        <f t="shared" si="233"/>
        <v>0</v>
      </c>
      <c r="O594" s="111">
        <f t="shared" si="233"/>
        <v>0</v>
      </c>
      <c r="P594" s="111">
        <f t="shared" si="233"/>
        <v>0</v>
      </c>
      <c r="Q594" s="111">
        <f t="shared" si="233"/>
        <v>0</v>
      </c>
      <c r="R594" s="111">
        <f t="shared" si="233"/>
        <v>0</v>
      </c>
      <c r="S594" s="111">
        <f t="shared" si="233"/>
        <v>0</v>
      </c>
      <c r="T594" s="111">
        <f t="shared" si="233"/>
        <v>0</v>
      </c>
      <c r="U594" s="111">
        <f t="shared" si="233"/>
        <v>0</v>
      </c>
      <c r="V594" s="111">
        <f t="shared" si="233"/>
        <v>0</v>
      </c>
      <c r="W594" s="111">
        <f t="shared" si="233"/>
        <v>0</v>
      </c>
      <c r="X594" s="111">
        <f t="shared" si="233"/>
        <v>0</v>
      </c>
      <c r="Y594" s="111">
        <f t="shared" si="233"/>
        <v>0</v>
      </c>
      <c r="Z594" s="111">
        <f t="shared" si="233"/>
        <v>0</v>
      </c>
      <c r="AA594" s="111">
        <f t="shared" si="233"/>
        <v>0</v>
      </c>
      <c r="AB594" s="111">
        <f t="shared" si="233"/>
        <v>0</v>
      </c>
      <c r="AC594" s="111">
        <f t="shared" si="233"/>
        <v>0</v>
      </c>
      <c r="AD594" s="111">
        <f t="shared" si="233"/>
        <v>0</v>
      </c>
      <c r="AE594" s="111">
        <f t="shared" si="233"/>
        <v>0</v>
      </c>
      <c r="AF594" s="111">
        <f t="shared" si="233"/>
        <v>0</v>
      </c>
      <c r="AG594" s="111">
        <f t="shared" si="233"/>
        <v>0</v>
      </c>
      <c r="AH594" s="111">
        <f t="shared" si="233"/>
        <v>0</v>
      </c>
      <c r="AI594" s="111">
        <f t="shared" si="233"/>
        <v>0</v>
      </c>
      <c r="AJ594" s="111">
        <f t="shared" ref="AJ594:BO594" si="234">Opening_year_sleep_disturbance_cost*Opening_year_mask</f>
        <v>0</v>
      </c>
      <c r="AK594" s="111">
        <f t="shared" si="234"/>
        <v>0</v>
      </c>
      <c r="AL594" s="111">
        <f t="shared" si="234"/>
        <v>0</v>
      </c>
      <c r="AM594" s="111">
        <f t="shared" si="234"/>
        <v>0</v>
      </c>
      <c r="AN594" s="111">
        <f t="shared" si="234"/>
        <v>0</v>
      </c>
      <c r="AO594" s="111">
        <f t="shared" si="234"/>
        <v>0</v>
      </c>
      <c r="AP594" s="111">
        <f t="shared" si="234"/>
        <v>0</v>
      </c>
      <c r="AQ594" s="111">
        <f t="shared" si="234"/>
        <v>0</v>
      </c>
      <c r="AR594" s="111">
        <f t="shared" si="234"/>
        <v>0</v>
      </c>
      <c r="AS594" s="111">
        <f t="shared" si="234"/>
        <v>0</v>
      </c>
      <c r="AT594" s="111">
        <f t="shared" si="234"/>
        <v>0</v>
      </c>
      <c r="AU594" s="111">
        <f t="shared" si="234"/>
        <v>0</v>
      </c>
      <c r="AV594" s="111">
        <f t="shared" si="234"/>
        <v>0</v>
      </c>
      <c r="AW594" s="111">
        <f t="shared" si="234"/>
        <v>0</v>
      </c>
      <c r="AX594" s="111">
        <f t="shared" si="234"/>
        <v>0</v>
      </c>
      <c r="AY594" s="111">
        <f t="shared" si="234"/>
        <v>0</v>
      </c>
      <c r="AZ594" s="111">
        <f t="shared" si="234"/>
        <v>0</v>
      </c>
      <c r="BA594" s="111">
        <f t="shared" si="234"/>
        <v>0</v>
      </c>
      <c r="BB594" s="111">
        <f t="shared" si="234"/>
        <v>0</v>
      </c>
      <c r="BC594" s="111">
        <f t="shared" si="234"/>
        <v>0</v>
      </c>
      <c r="BD594" s="111">
        <f t="shared" si="234"/>
        <v>0</v>
      </c>
      <c r="BE594" s="111">
        <f t="shared" si="234"/>
        <v>0</v>
      </c>
      <c r="BF594" s="111">
        <f t="shared" si="234"/>
        <v>0</v>
      </c>
      <c r="BG594" s="111">
        <f t="shared" si="234"/>
        <v>0</v>
      </c>
      <c r="BH594" s="111">
        <f t="shared" si="234"/>
        <v>0</v>
      </c>
      <c r="BI594" s="111">
        <f t="shared" si="234"/>
        <v>0</v>
      </c>
      <c r="BJ594" s="111">
        <f t="shared" si="234"/>
        <v>0</v>
      </c>
      <c r="BK594" s="111">
        <f t="shared" si="234"/>
        <v>0</v>
      </c>
      <c r="BL594" s="111">
        <f t="shared" si="234"/>
        <v>0</v>
      </c>
      <c r="BM594" s="111">
        <f t="shared" si="234"/>
        <v>0</v>
      </c>
      <c r="BN594" s="111">
        <f t="shared" si="234"/>
        <v>0</v>
      </c>
      <c r="BO594" s="111">
        <f t="shared" si="234"/>
        <v>0</v>
      </c>
      <c r="BP594" s="111">
        <f t="shared" ref="BP594:CP594" si="235">Opening_year_sleep_disturbance_cost*Opening_year_mask</f>
        <v>0</v>
      </c>
      <c r="BQ594" s="111">
        <f t="shared" si="235"/>
        <v>0</v>
      </c>
      <c r="BR594" s="111">
        <f t="shared" si="235"/>
        <v>0</v>
      </c>
      <c r="BS594" s="111">
        <f t="shared" si="235"/>
        <v>0</v>
      </c>
      <c r="BT594" s="111">
        <f t="shared" si="235"/>
        <v>0</v>
      </c>
      <c r="BU594" s="111">
        <f t="shared" si="235"/>
        <v>0</v>
      </c>
      <c r="BV594" s="111">
        <f t="shared" si="235"/>
        <v>0</v>
      </c>
      <c r="BW594" s="111">
        <f t="shared" si="235"/>
        <v>0</v>
      </c>
      <c r="BX594" s="111">
        <f t="shared" si="235"/>
        <v>0</v>
      </c>
      <c r="BY594" s="111">
        <f t="shared" si="235"/>
        <v>0</v>
      </c>
      <c r="BZ594" s="111">
        <f t="shared" si="235"/>
        <v>0</v>
      </c>
      <c r="CA594" s="111">
        <f t="shared" si="235"/>
        <v>0</v>
      </c>
      <c r="CB594" s="111">
        <f t="shared" si="235"/>
        <v>0</v>
      </c>
      <c r="CC594" s="111">
        <f t="shared" si="235"/>
        <v>0</v>
      </c>
      <c r="CD594" s="111">
        <f t="shared" si="235"/>
        <v>0</v>
      </c>
      <c r="CE594" s="111">
        <f t="shared" si="235"/>
        <v>0</v>
      </c>
      <c r="CF594" s="111">
        <f t="shared" si="235"/>
        <v>0</v>
      </c>
      <c r="CG594" s="111">
        <f t="shared" si="235"/>
        <v>0</v>
      </c>
      <c r="CH594" s="111">
        <f t="shared" si="235"/>
        <v>0</v>
      </c>
      <c r="CI594" s="111">
        <f t="shared" si="235"/>
        <v>0</v>
      </c>
      <c r="CJ594" s="111">
        <f t="shared" si="235"/>
        <v>0</v>
      </c>
      <c r="CK594" s="111">
        <f t="shared" si="235"/>
        <v>0</v>
      </c>
      <c r="CL594" s="111">
        <f t="shared" si="235"/>
        <v>0</v>
      </c>
      <c r="CM594" s="111">
        <f t="shared" si="235"/>
        <v>0</v>
      </c>
      <c r="CN594" s="111">
        <f t="shared" si="235"/>
        <v>0</v>
      </c>
      <c r="CO594" s="111">
        <f t="shared" si="235"/>
        <v>0</v>
      </c>
      <c r="CP594" s="111">
        <f t="shared" si="235"/>
        <v>0</v>
      </c>
      <c r="CQ594" s="3" t="s">
        <v>681</v>
      </c>
    </row>
    <row r="595" spans="1:95" ht="14.45" outlineLevel="2">
      <c r="A595" s="97"/>
      <c r="B595" s="97" t="s">
        <v>61</v>
      </c>
      <c r="C595" s="97"/>
      <c r="D595" s="111">
        <f t="shared" ref="D595:AI595" si="236">Forecast_year_sleep_disturbance_cost*Forecast_year_mask</f>
        <v>0</v>
      </c>
      <c r="E595" s="111">
        <f t="shared" si="236"/>
        <v>0</v>
      </c>
      <c r="F595" s="111">
        <f t="shared" si="236"/>
        <v>0</v>
      </c>
      <c r="G595" s="111">
        <f t="shared" si="236"/>
        <v>0</v>
      </c>
      <c r="H595" s="111">
        <f t="shared" si="236"/>
        <v>0</v>
      </c>
      <c r="I595" s="111">
        <f t="shared" si="236"/>
        <v>0</v>
      </c>
      <c r="J595" s="111">
        <f t="shared" si="236"/>
        <v>0</v>
      </c>
      <c r="K595" s="111">
        <f t="shared" si="236"/>
        <v>0</v>
      </c>
      <c r="L595" s="111">
        <f t="shared" si="236"/>
        <v>0</v>
      </c>
      <c r="M595" s="111">
        <f t="shared" si="236"/>
        <v>0</v>
      </c>
      <c r="N595" s="111">
        <f t="shared" si="236"/>
        <v>0</v>
      </c>
      <c r="O595" s="111">
        <f t="shared" si="236"/>
        <v>0</v>
      </c>
      <c r="P595" s="111">
        <f t="shared" si="236"/>
        <v>0</v>
      </c>
      <c r="Q595" s="111">
        <f t="shared" si="236"/>
        <v>0</v>
      </c>
      <c r="R595" s="111">
        <f t="shared" si="236"/>
        <v>0</v>
      </c>
      <c r="S595" s="111">
        <f t="shared" si="236"/>
        <v>0</v>
      </c>
      <c r="T595" s="111">
        <f t="shared" si="236"/>
        <v>0</v>
      </c>
      <c r="U595" s="111">
        <f t="shared" si="236"/>
        <v>0</v>
      </c>
      <c r="V595" s="111">
        <f t="shared" si="236"/>
        <v>0</v>
      </c>
      <c r="W595" s="111">
        <f t="shared" si="236"/>
        <v>0</v>
      </c>
      <c r="X595" s="111">
        <f t="shared" si="236"/>
        <v>0</v>
      </c>
      <c r="Y595" s="111">
        <f t="shared" si="236"/>
        <v>0</v>
      </c>
      <c r="Z595" s="111">
        <f t="shared" si="236"/>
        <v>0</v>
      </c>
      <c r="AA595" s="111">
        <f t="shared" si="236"/>
        <v>0</v>
      </c>
      <c r="AB595" s="111">
        <f t="shared" si="236"/>
        <v>0</v>
      </c>
      <c r="AC595" s="111">
        <f t="shared" si="236"/>
        <v>0</v>
      </c>
      <c r="AD595" s="111">
        <f t="shared" si="236"/>
        <v>0</v>
      </c>
      <c r="AE595" s="111">
        <f t="shared" si="236"/>
        <v>0</v>
      </c>
      <c r="AF595" s="111">
        <f t="shared" si="236"/>
        <v>0</v>
      </c>
      <c r="AG595" s="111">
        <f t="shared" si="236"/>
        <v>0</v>
      </c>
      <c r="AH595" s="111">
        <f t="shared" si="236"/>
        <v>0</v>
      </c>
      <c r="AI595" s="111">
        <f t="shared" si="236"/>
        <v>0</v>
      </c>
      <c r="AJ595" s="111">
        <f t="shared" ref="AJ595:BO595" si="237">Forecast_year_sleep_disturbance_cost*Forecast_year_mask</f>
        <v>0</v>
      </c>
      <c r="AK595" s="111">
        <f t="shared" si="237"/>
        <v>0</v>
      </c>
      <c r="AL595" s="111">
        <f t="shared" si="237"/>
        <v>0</v>
      </c>
      <c r="AM595" s="111">
        <f t="shared" si="237"/>
        <v>0</v>
      </c>
      <c r="AN595" s="111">
        <f t="shared" si="237"/>
        <v>0</v>
      </c>
      <c r="AO595" s="111">
        <f t="shared" si="237"/>
        <v>0</v>
      </c>
      <c r="AP595" s="111">
        <f t="shared" si="237"/>
        <v>0</v>
      </c>
      <c r="AQ595" s="111">
        <f t="shared" si="237"/>
        <v>0</v>
      </c>
      <c r="AR595" s="111">
        <f t="shared" si="237"/>
        <v>0</v>
      </c>
      <c r="AS595" s="111">
        <f t="shared" si="237"/>
        <v>0</v>
      </c>
      <c r="AT595" s="111">
        <f t="shared" si="237"/>
        <v>0</v>
      </c>
      <c r="AU595" s="111">
        <f t="shared" si="237"/>
        <v>0</v>
      </c>
      <c r="AV595" s="111">
        <f t="shared" si="237"/>
        <v>0</v>
      </c>
      <c r="AW595" s="111">
        <f t="shared" si="237"/>
        <v>0</v>
      </c>
      <c r="AX595" s="111">
        <f t="shared" si="237"/>
        <v>0</v>
      </c>
      <c r="AY595" s="111">
        <f t="shared" si="237"/>
        <v>0</v>
      </c>
      <c r="AZ595" s="111">
        <f t="shared" si="237"/>
        <v>0</v>
      </c>
      <c r="BA595" s="111">
        <f t="shared" si="237"/>
        <v>0</v>
      </c>
      <c r="BB595" s="111">
        <f t="shared" si="237"/>
        <v>0</v>
      </c>
      <c r="BC595" s="111">
        <f t="shared" si="237"/>
        <v>0</v>
      </c>
      <c r="BD595" s="111">
        <f t="shared" si="237"/>
        <v>0</v>
      </c>
      <c r="BE595" s="111">
        <f t="shared" si="237"/>
        <v>0</v>
      </c>
      <c r="BF595" s="111">
        <f t="shared" si="237"/>
        <v>0</v>
      </c>
      <c r="BG595" s="111">
        <f t="shared" si="237"/>
        <v>0</v>
      </c>
      <c r="BH595" s="111">
        <f t="shared" si="237"/>
        <v>0</v>
      </c>
      <c r="BI595" s="111">
        <f t="shared" si="237"/>
        <v>0</v>
      </c>
      <c r="BJ595" s="111">
        <f t="shared" si="237"/>
        <v>0</v>
      </c>
      <c r="BK595" s="111">
        <f t="shared" si="237"/>
        <v>0</v>
      </c>
      <c r="BL595" s="111">
        <f t="shared" si="237"/>
        <v>0</v>
      </c>
      <c r="BM595" s="111">
        <f t="shared" si="237"/>
        <v>0</v>
      </c>
      <c r="BN595" s="111">
        <f t="shared" si="237"/>
        <v>0</v>
      </c>
      <c r="BO595" s="111">
        <f t="shared" si="237"/>
        <v>0</v>
      </c>
      <c r="BP595" s="111">
        <f t="shared" ref="BP595:CP595" si="238">Forecast_year_sleep_disturbance_cost*Forecast_year_mask</f>
        <v>0</v>
      </c>
      <c r="BQ595" s="111">
        <f t="shared" si="238"/>
        <v>0</v>
      </c>
      <c r="BR595" s="111">
        <f t="shared" si="238"/>
        <v>0</v>
      </c>
      <c r="BS595" s="111">
        <f t="shared" si="238"/>
        <v>0</v>
      </c>
      <c r="BT595" s="111">
        <f t="shared" si="238"/>
        <v>0</v>
      </c>
      <c r="BU595" s="111">
        <f t="shared" si="238"/>
        <v>0</v>
      </c>
      <c r="BV595" s="111">
        <f t="shared" si="238"/>
        <v>0</v>
      </c>
      <c r="BW595" s="111">
        <f t="shared" si="238"/>
        <v>0</v>
      </c>
      <c r="BX595" s="111">
        <f t="shared" si="238"/>
        <v>0</v>
      </c>
      <c r="BY595" s="111">
        <f t="shared" si="238"/>
        <v>0</v>
      </c>
      <c r="BZ595" s="111">
        <f t="shared" si="238"/>
        <v>0</v>
      </c>
      <c r="CA595" s="111">
        <f t="shared" si="238"/>
        <v>0</v>
      </c>
      <c r="CB595" s="111">
        <f t="shared" si="238"/>
        <v>0</v>
      </c>
      <c r="CC595" s="111">
        <f t="shared" si="238"/>
        <v>0</v>
      </c>
      <c r="CD595" s="111">
        <f t="shared" si="238"/>
        <v>0</v>
      </c>
      <c r="CE595" s="111">
        <f t="shared" si="238"/>
        <v>0</v>
      </c>
      <c r="CF595" s="111">
        <f t="shared" si="238"/>
        <v>0</v>
      </c>
      <c r="CG595" s="111">
        <f t="shared" si="238"/>
        <v>0</v>
      </c>
      <c r="CH595" s="111">
        <f t="shared" si="238"/>
        <v>0</v>
      </c>
      <c r="CI595" s="111">
        <f t="shared" si="238"/>
        <v>0</v>
      </c>
      <c r="CJ595" s="111">
        <f t="shared" si="238"/>
        <v>0</v>
      </c>
      <c r="CK595" s="111">
        <f t="shared" si="238"/>
        <v>0</v>
      </c>
      <c r="CL595" s="111">
        <f t="shared" si="238"/>
        <v>0</v>
      </c>
      <c r="CM595" s="111">
        <f t="shared" si="238"/>
        <v>0</v>
      </c>
      <c r="CN595" s="111">
        <f t="shared" si="238"/>
        <v>0</v>
      </c>
      <c r="CO595" s="111">
        <f t="shared" si="238"/>
        <v>0</v>
      </c>
      <c r="CP595" s="111">
        <f t="shared" si="238"/>
        <v>0</v>
      </c>
      <c r="CQ595" s="3" t="s">
        <v>682</v>
      </c>
    </row>
    <row r="596" spans="1:95" ht="14.45" outlineLevel="2">
      <c r="A596" s="97"/>
      <c r="B596" s="97" t="s">
        <v>674</v>
      </c>
      <c r="C596" s="97"/>
      <c r="D596" s="111">
        <f t="shared" ref="D596:AI596" si="239">(Opening_year_sleep_disturbance_cost+(Difference_sleep_disturbance_cost)*(year-Opening_year)/(Forecast_and_opening_year_difference))*Interpolation_mask</f>
        <v>0</v>
      </c>
      <c r="E596" s="111">
        <f t="shared" si="239"/>
        <v>0</v>
      </c>
      <c r="F596" s="111">
        <f t="shared" si="239"/>
        <v>0</v>
      </c>
      <c r="G596" s="111">
        <f t="shared" si="239"/>
        <v>0</v>
      </c>
      <c r="H596" s="111">
        <f t="shared" si="239"/>
        <v>0</v>
      </c>
      <c r="I596" s="111">
        <f t="shared" si="239"/>
        <v>0</v>
      </c>
      <c r="J596" s="111">
        <f>(Opening_year_sleep_disturbance_cost+(Difference_sleep_disturbance_cost)*(year-Opening_year)/(Forecast_and_opening_year_difference))*Interpolation_mask</f>
        <v>0</v>
      </c>
      <c r="K596" s="111">
        <f t="shared" si="239"/>
        <v>0</v>
      </c>
      <c r="L596" s="111">
        <f t="shared" si="239"/>
        <v>0</v>
      </c>
      <c r="M596" s="111">
        <f t="shared" si="239"/>
        <v>0</v>
      </c>
      <c r="N596" s="111">
        <f t="shared" si="239"/>
        <v>0</v>
      </c>
      <c r="O596" s="111">
        <f t="shared" si="239"/>
        <v>0</v>
      </c>
      <c r="P596" s="111">
        <f t="shared" si="239"/>
        <v>0</v>
      </c>
      <c r="Q596" s="111">
        <f t="shared" si="239"/>
        <v>0</v>
      </c>
      <c r="R596" s="111">
        <f t="shared" si="239"/>
        <v>0</v>
      </c>
      <c r="S596" s="111">
        <f t="shared" si="239"/>
        <v>0</v>
      </c>
      <c r="T596" s="111">
        <f t="shared" si="239"/>
        <v>0</v>
      </c>
      <c r="U596" s="111">
        <f t="shared" si="239"/>
        <v>0</v>
      </c>
      <c r="V596" s="111">
        <f t="shared" si="239"/>
        <v>0</v>
      </c>
      <c r="W596" s="111">
        <f t="shared" si="239"/>
        <v>0</v>
      </c>
      <c r="X596" s="111">
        <f t="shared" si="239"/>
        <v>0</v>
      </c>
      <c r="Y596" s="111">
        <f t="shared" si="239"/>
        <v>0</v>
      </c>
      <c r="Z596" s="111">
        <f t="shared" si="239"/>
        <v>0</v>
      </c>
      <c r="AA596" s="111">
        <f t="shared" si="239"/>
        <v>0</v>
      </c>
      <c r="AB596" s="111">
        <f t="shared" si="239"/>
        <v>0</v>
      </c>
      <c r="AC596" s="111">
        <f t="shared" si="239"/>
        <v>0</v>
      </c>
      <c r="AD596" s="111">
        <f t="shared" si="239"/>
        <v>0</v>
      </c>
      <c r="AE596" s="111">
        <f t="shared" si="239"/>
        <v>0</v>
      </c>
      <c r="AF596" s="111">
        <f t="shared" si="239"/>
        <v>0</v>
      </c>
      <c r="AG596" s="111">
        <f t="shared" si="239"/>
        <v>0</v>
      </c>
      <c r="AH596" s="111">
        <f t="shared" si="239"/>
        <v>0</v>
      </c>
      <c r="AI596" s="111">
        <f t="shared" si="239"/>
        <v>0</v>
      </c>
      <c r="AJ596" s="111">
        <f t="shared" ref="AJ596:BO596" si="240">(Opening_year_sleep_disturbance_cost+(Difference_sleep_disturbance_cost)*(year-Opening_year)/(Forecast_and_opening_year_difference))*Interpolation_mask</f>
        <v>0</v>
      </c>
      <c r="AK596" s="111">
        <f t="shared" si="240"/>
        <v>0</v>
      </c>
      <c r="AL596" s="111">
        <f t="shared" si="240"/>
        <v>0</v>
      </c>
      <c r="AM596" s="111">
        <f t="shared" si="240"/>
        <v>0</v>
      </c>
      <c r="AN596" s="111">
        <f t="shared" si="240"/>
        <v>0</v>
      </c>
      <c r="AO596" s="111">
        <f t="shared" si="240"/>
        <v>0</v>
      </c>
      <c r="AP596" s="111">
        <f t="shared" si="240"/>
        <v>0</v>
      </c>
      <c r="AQ596" s="111">
        <f t="shared" si="240"/>
        <v>0</v>
      </c>
      <c r="AR596" s="111">
        <f t="shared" si="240"/>
        <v>0</v>
      </c>
      <c r="AS596" s="111">
        <f t="shared" si="240"/>
        <v>0</v>
      </c>
      <c r="AT596" s="111">
        <f t="shared" si="240"/>
        <v>0</v>
      </c>
      <c r="AU596" s="111">
        <f t="shared" si="240"/>
        <v>0</v>
      </c>
      <c r="AV596" s="111">
        <f t="shared" si="240"/>
        <v>0</v>
      </c>
      <c r="AW596" s="111">
        <f t="shared" si="240"/>
        <v>0</v>
      </c>
      <c r="AX596" s="111">
        <f t="shared" si="240"/>
        <v>0</v>
      </c>
      <c r="AY596" s="111">
        <f t="shared" si="240"/>
        <v>0</v>
      </c>
      <c r="AZ596" s="111">
        <f t="shared" si="240"/>
        <v>0</v>
      </c>
      <c r="BA596" s="111">
        <f t="shared" si="240"/>
        <v>0</v>
      </c>
      <c r="BB596" s="111">
        <f t="shared" si="240"/>
        <v>0</v>
      </c>
      <c r="BC596" s="111">
        <f t="shared" si="240"/>
        <v>0</v>
      </c>
      <c r="BD596" s="111">
        <f t="shared" si="240"/>
        <v>0</v>
      </c>
      <c r="BE596" s="111">
        <f t="shared" si="240"/>
        <v>0</v>
      </c>
      <c r="BF596" s="111">
        <f t="shared" si="240"/>
        <v>0</v>
      </c>
      <c r="BG596" s="111">
        <f t="shared" si="240"/>
        <v>0</v>
      </c>
      <c r="BH596" s="111">
        <f t="shared" si="240"/>
        <v>0</v>
      </c>
      <c r="BI596" s="111">
        <f t="shared" si="240"/>
        <v>0</v>
      </c>
      <c r="BJ596" s="111">
        <f t="shared" si="240"/>
        <v>0</v>
      </c>
      <c r="BK596" s="111">
        <f t="shared" si="240"/>
        <v>0</v>
      </c>
      <c r="BL596" s="111">
        <f t="shared" si="240"/>
        <v>0</v>
      </c>
      <c r="BM596" s="111">
        <f t="shared" si="240"/>
        <v>0</v>
      </c>
      <c r="BN596" s="111">
        <f t="shared" si="240"/>
        <v>0</v>
      </c>
      <c r="BO596" s="111">
        <f t="shared" si="240"/>
        <v>0</v>
      </c>
      <c r="BP596" s="111">
        <f t="shared" ref="BP596:CP596" si="241">(Opening_year_sleep_disturbance_cost+(Difference_sleep_disturbance_cost)*(year-Opening_year)/(Forecast_and_opening_year_difference))*Interpolation_mask</f>
        <v>0</v>
      </c>
      <c r="BQ596" s="111">
        <f t="shared" si="241"/>
        <v>0</v>
      </c>
      <c r="BR596" s="111">
        <f t="shared" si="241"/>
        <v>0</v>
      </c>
      <c r="BS596" s="111">
        <f t="shared" si="241"/>
        <v>0</v>
      </c>
      <c r="BT596" s="111">
        <f t="shared" si="241"/>
        <v>0</v>
      </c>
      <c r="BU596" s="111">
        <f t="shared" si="241"/>
        <v>0</v>
      </c>
      <c r="BV596" s="111">
        <f t="shared" si="241"/>
        <v>0</v>
      </c>
      <c r="BW596" s="111">
        <f t="shared" si="241"/>
        <v>0</v>
      </c>
      <c r="BX596" s="111">
        <f t="shared" si="241"/>
        <v>0</v>
      </c>
      <c r="BY596" s="111">
        <f t="shared" si="241"/>
        <v>0</v>
      </c>
      <c r="BZ596" s="111">
        <f t="shared" si="241"/>
        <v>0</v>
      </c>
      <c r="CA596" s="111">
        <f t="shared" si="241"/>
        <v>0</v>
      </c>
      <c r="CB596" s="111">
        <f t="shared" si="241"/>
        <v>0</v>
      </c>
      <c r="CC596" s="111">
        <f t="shared" si="241"/>
        <v>0</v>
      </c>
      <c r="CD596" s="111">
        <f t="shared" si="241"/>
        <v>0</v>
      </c>
      <c r="CE596" s="111">
        <f t="shared" si="241"/>
        <v>0</v>
      </c>
      <c r="CF596" s="111">
        <f t="shared" si="241"/>
        <v>0</v>
      </c>
      <c r="CG596" s="111">
        <f t="shared" si="241"/>
        <v>0</v>
      </c>
      <c r="CH596" s="111">
        <f t="shared" si="241"/>
        <v>0</v>
      </c>
      <c r="CI596" s="111">
        <f t="shared" si="241"/>
        <v>0</v>
      </c>
      <c r="CJ596" s="111">
        <f t="shared" si="241"/>
        <v>0</v>
      </c>
      <c r="CK596" s="111">
        <f t="shared" si="241"/>
        <v>0</v>
      </c>
      <c r="CL596" s="111">
        <f t="shared" si="241"/>
        <v>0</v>
      </c>
      <c r="CM596" s="111">
        <f t="shared" si="241"/>
        <v>0</v>
      </c>
      <c r="CN596" s="111">
        <f t="shared" si="241"/>
        <v>0</v>
      </c>
      <c r="CO596" s="111">
        <f t="shared" si="241"/>
        <v>0</v>
      </c>
      <c r="CP596" s="111">
        <f t="shared" si="241"/>
        <v>0</v>
      </c>
      <c r="CQ596" s="3" t="s">
        <v>683</v>
      </c>
    </row>
    <row r="597" spans="1:95" ht="14.45" outlineLevel="2">
      <c r="A597" s="97"/>
      <c r="B597" s="97" t="s">
        <v>676</v>
      </c>
      <c r="C597" s="97"/>
      <c r="D597" s="111">
        <f t="shared" ref="D597:AI597" si="242">Forecast_year_sleep_disturbance_cost*Extrapolation_mask</f>
        <v>0</v>
      </c>
      <c r="E597" s="111">
        <f t="shared" si="242"/>
        <v>0</v>
      </c>
      <c r="F597" s="111">
        <f t="shared" si="242"/>
        <v>0</v>
      </c>
      <c r="G597" s="111">
        <f t="shared" si="242"/>
        <v>0</v>
      </c>
      <c r="H597" s="111">
        <f t="shared" si="242"/>
        <v>0</v>
      </c>
      <c r="I597" s="111">
        <f t="shared" si="242"/>
        <v>0</v>
      </c>
      <c r="J597" s="111">
        <f t="shared" si="242"/>
        <v>0</v>
      </c>
      <c r="K597" s="111">
        <f t="shared" si="242"/>
        <v>0</v>
      </c>
      <c r="L597" s="111">
        <f t="shared" si="242"/>
        <v>0</v>
      </c>
      <c r="M597" s="111">
        <f t="shared" si="242"/>
        <v>0</v>
      </c>
      <c r="N597" s="111">
        <f t="shared" si="242"/>
        <v>0</v>
      </c>
      <c r="O597" s="111">
        <f t="shared" si="242"/>
        <v>0</v>
      </c>
      <c r="P597" s="111">
        <f t="shared" si="242"/>
        <v>0</v>
      </c>
      <c r="Q597" s="111">
        <f t="shared" si="242"/>
        <v>0</v>
      </c>
      <c r="R597" s="111">
        <f t="shared" si="242"/>
        <v>0</v>
      </c>
      <c r="S597" s="111">
        <f t="shared" si="242"/>
        <v>0</v>
      </c>
      <c r="T597" s="111">
        <f t="shared" si="242"/>
        <v>0</v>
      </c>
      <c r="U597" s="111">
        <f t="shared" si="242"/>
        <v>0</v>
      </c>
      <c r="V597" s="111">
        <f t="shared" si="242"/>
        <v>0</v>
      </c>
      <c r="W597" s="111">
        <f t="shared" si="242"/>
        <v>0</v>
      </c>
      <c r="X597" s="111">
        <f t="shared" si="242"/>
        <v>0</v>
      </c>
      <c r="Y597" s="111">
        <f t="shared" si="242"/>
        <v>0</v>
      </c>
      <c r="Z597" s="111">
        <f t="shared" si="242"/>
        <v>0</v>
      </c>
      <c r="AA597" s="111">
        <f t="shared" si="242"/>
        <v>0</v>
      </c>
      <c r="AB597" s="111">
        <f t="shared" si="242"/>
        <v>0</v>
      </c>
      <c r="AC597" s="111">
        <f t="shared" si="242"/>
        <v>0</v>
      </c>
      <c r="AD597" s="111">
        <f t="shared" si="242"/>
        <v>0</v>
      </c>
      <c r="AE597" s="111">
        <f t="shared" si="242"/>
        <v>0</v>
      </c>
      <c r="AF597" s="111">
        <f t="shared" si="242"/>
        <v>0</v>
      </c>
      <c r="AG597" s="111">
        <f t="shared" si="242"/>
        <v>0</v>
      </c>
      <c r="AH597" s="111">
        <f t="shared" si="242"/>
        <v>0</v>
      </c>
      <c r="AI597" s="111">
        <f t="shared" si="242"/>
        <v>0</v>
      </c>
      <c r="AJ597" s="111">
        <f t="shared" ref="AJ597:BO597" si="243">Forecast_year_sleep_disturbance_cost*Extrapolation_mask</f>
        <v>0</v>
      </c>
      <c r="AK597" s="111">
        <f t="shared" si="243"/>
        <v>0</v>
      </c>
      <c r="AL597" s="111">
        <f t="shared" si="243"/>
        <v>0</v>
      </c>
      <c r="AM597" s="111">
        <f t="shared" si="243"/>
        <v>0</v>
      </c>
      <c r="AN597" s="111">
        <f t="shared" si="243"/>
        <v>0</v>
      </c>
      <c r="AO597" s="111">
        <f t="shared" si="243"/>
        <v>0</v>
      </c>
      <c r="AP597" s="111">
        <f t="shared" si="243"/>
        <v>0</v>
      </c>
      <c r="AQ597" s="111">
        <f t="shared" si="243"/>
        <v>0</v>
      </c>
      <c r="AR597" s="111">
        <f t="shared" si="243"/>
        <v>0</v>
      </c>
      <c r="AS597" s="111">
        <f t="shared" si="243"/>
        <v>0</v>
      </c>
      <c r="AT597" s="111">
        <f t="shared" si="243"/>
        <v>0</v>
      </c>
      <c r="AU597" s="111">
        <f t="shared" si="243"/>
        <v>0</v>
      </c>
      <c r="AV597" s="111">
        <f t="shared" si="243"/>
        <v>0</v>
      </c>
      <c r="AW597" s="111">
        <f t="shared" si="243"/>
        <v>0</v>
      </c>
      <c r="AX597" s="111">
        <f t="shared" si="243"/>
        <v>0</v>
      </c>
      <c r="AY597" s="111">
        <f t="shared" si="243"/>
        <v>0</v>
      </c>
      <c r="AZ597" s="111">
        <f t="shared" si="243"/>
        <v>0</v>
      </c>
      <c r="BA597" s="111">
        <f t="shared" si="243"/>
        <v>0</v>
      </c>
      <c r="BB597" s="111">
        <f t="shared" si="243"/>
        <v>0</v>
      </c>
      <c r="BC597" s="111">
        <f t="shared" si="243"/>
        <v>0</v>
      </c>
      <c r="BD597" s="111">
        <f t="shared" si="243"/>
        <v>0</v>
      </c>
      <c r="BE597" s="111">
        <f t="shared" si="243"/>
        <v>0</v>
      </c>
      <c r="BF597" s="111">
        <f t="shared" si="243"/>
        <v>0</v>
      </c>
      <c r="BG597" s="111">
        <f t="shared" si="243"/>
        <v>0</v>
      </c>
      <c r="BH597" s="111">
        <f t="shared" si="243"/>
        <v>0</v>
      </c>
      <c r="BI597" s="111">
        <f t="shared" si="243"/>
        <v>0</v>
      </c>
      <c r="BJ597" s="111">
        <f t="shared" si="243"/>
        <v>0</v>
      </c>
      <c r="BK597" s="111">
        <f t="shared" si="243"/>
        <v>0</v>
      </c>
      <c r="BL597" s="111">
        <f t="shared" si="243"/>
        <v>0</v>
      </c>
      <c r="BM597" s="111">
        <f t="shared" si="243"/>
        <v>0</v>
      </c>
      <c r="BN597" s="111">
        <f t="shared" si="243"/>
        <v>0</v>
      </c>
      <c r="BO597" s="111">
        <f t="shared" si="243"/>
        <v>0</v>
      </c>
      <c r="BP597" s="111">
        <f t="shared" ref="BP597:CP597" si="244">Forecast_year_sleep_disturbance_cost*Extrapolation_mask</f>
        <v>0</v>
      </c>
      <c r="BQ597" s="111">
        <f t="shared" si="244"/>
        <v>0</v>
      </c>
      <c r="BR597" s="111">
        <f t="shared" si="244"/>
        <v>0</v>
      </c>
      <c r="BS597" s="111">
        <f t="shared" si="244"/>
        <v>0</v>
      </c>
      <c r="BT597" s="111">
        <f t="shared" si="244"/>
        <v>0</v>
      </c>
      <c r="BU597" s="111">
        <f t="shared" si="244"/>
        <v>0</v>
      </c>
      <c r="BV597" s="111">
        <f t="shared" si="244"/>
        <v>0</v>
      </c>
      <c r="BW597" s="111">
        <f t="shared" si="244"/>
        <v>0</v>
      </c>
      <c r="BX597" s="111">
        <f t="shared" si="244"/>
        <v>0</v>
      </c>
      <c r="BY597" s="111">
        <f t="shared" si="244"/>
        <v>0</v>
      </c>
      <c r="BZ597" s="111">
        <f t="shared" si="244"/>
        <v>0</v>
      </c>
      <c r="CA597" s="111">
        <f t="shared" si="244"/>
        <v>0</v>
      </c>
      <c r="CB597" s="111">
        <f t="shared" si="244"/>
        <v>0</v>
      </c>
      <c r="CC597" s="111">
        <f t="shared" si="244"/>
        <v>0</v>
      </c>
      <c r="CD597" s="111">
        <f t="shared" si="244"/>
        <v>0</v>
      </c>
      <c r="CE597" s="111">
        <f t="shared" si="244"/>
        <v>0</v>
      </c>
      <c r="CF597" s="111">
        <f t="shared" si="244"/>
        <v>0</v>
      </c>
      <c r="CG597" s="111">
        <f t="shared" si="244"/>
        <v>0</v>
      </c>
      <c r="CH597" s="111">
        <f t="shared" si="244"/>
        <v>0</v>
      </c>
      <c r="CI597" s="111">
        <f t="shared" si="244"/>
        <v>0</v>
      </c>
      <c r="CJ597" s="111">
        <f t="shared" si="244"/>
        <v>0</v>
      </c>
      <c r="CK597" s="111">
        <f t="shared" si="244"/>
        <v>0</v>
      </c>
      <c r="CL597" s="111">
        <f t="shared" si="244"/>
        <v>0</v>
      </c>
      <c r="CM597" s="111">
        <f t="shared" si="244"/>
        <v>0</v>
      </c>
      <c r="CN597" s="111">
        <f t="shared" si="244"/>
        <v>0</v>
      </c>
      <c r="CO597" s="111">
        <f t="shared" si="244"/>
        <v>0</v>
      </c>
      <c r="CP597" s="111">
        <f t="shared" si="244"/>
        <v>0</v>
      </c>
      <c r="CQ597" s="3" t="s">
        <v>684</v>
      </c>
    </row>
    <row r="598" spans="1:95" ht="14.45" outlineLevel="2">
      <c r="A598" s="97"/>
      <c r="B598" s="97" t="s">
        <v>685</v>
      </c>
      <c r="C598" s="97"/>
      <c r="D598" s="111">
        <f>Opening_year_sleep_disturbance_cost_mask+Forecast_year_sleep_disturbance_cost_mask+Interpolation_sleep_disturbance_cost_mask+Extrapolation_sleep_disturbance_cost_mask</f>
        <v>0</v>
      </c>
      <c r="E598" s="111">
        <f t="shared" ref="E598:AJ598" si="245">Opening_year_sleep_disturbance_cost_mask+Forecast_year_sleep_disturbance_mask+Interpolation_sleep_disturbance_mask+Extrapolation_sleep_disturbance_mask</f>
        <v>0</v>
      </c>
      <c r="F598" s="111">
        <f t="shared" si="245"/>
        <v>0</v>
      </c>
      <c r="G598" s="111">
        <f t="shared" si="245"/>
        <v>0</v>
      </c>
      <c r="H598" s="111">
        <f t="shared" si="245"/>
        <v>0</v>
      </c>
      <c r="I598" s="111">
        <f t="shared" si="245"/>
        <v>0</v>
      </c>
      <c r="J598" s="111">
        <f t="shared" si="245"/>
        <v>0</v>
      </c>
      <c r="K598" s="111">
        <f t="shared" si="245"/>
        <v>0</v>
      </c>
      <c r="L598" s="111">
        <f t="shared" si="245"/>
        <v>0</v>
      </c>
      <c r="M598" s="111">
        <f t="shared" si="245"/>
        <v>0</v>
      </c>
      <c r="N598" s="111">
        <f t="shared" si="245"/>
        <v>0</v>
      </c>
      <c r="O598" s="111">
        <f t="shared" si="245"/>
        <v>0</v>
      </c>
      <c r="P598" s="111">
        <f t="shared" si="245"/>
        <v>0</v>
      </c>
      <c r="Q598" s="111">
        <f t="shared" si="245"/>
        <v>0</v>
      </c>
      <c r="R598" s="111">
        <f t="shared" si="245"/>
        <v>0</v>
      </c>
      <c r="S598" s="111">
        <f t="shared" si="245"/>
        <v>0</v>
      </c>
      <c r="T598" s="111">
        <f t="shared" si="245"/>
        <v>0</v>
      </c>
      <c r="U598" s="111">
        <f t="shared" si="245"/>
        <v>0</v>
      </c>
      <c r="V598" s="111">
        <f t="shared" si="245"/>
        <v>0</v>
      </c>
      <c r="W598" s="111">
        <f t="shared" si="245"/>
        <v>0</v>
      </c>
      <c r="X598" s="111">
        <f t="shared" si="245"/>
        <v>0</v>
      </c>
      <c r="Y598" s="111">
        <f t="shared" si="245"/>
        <v>0</v>
      </c>
      <c r="Z598" s="111">
        <f t="shared" si="245"/>
        <v>0</v>
      </c>
      <c r="AA598" s="111">
        <f t="shared" si="245"/>
        <v>0</v>
      </c>
      <c r="AB598" s="111">
        <f t="shared" si="245"/>
        <v>0</v>
      </c>
      <c r="AC598" s="111">
        <f t="shared" si="245"/>
        <v>0</v>
      </c>
      <c r="AD598" s="111">
        <f t="shared" si="245"/>
        <v>0</v>
      </c>
      <c r="AE598" s="111">
        <f t="shared" si="245"/>
        <v>0</v>
      </c>
      <c r="AF598" s="111">
        <f t="shared" si="245"/>
        <v>0</v>
      </c>
      <c r="AG598" s="111">
        <f t="shared" si="245"/>
        <v>0</v>
      </c>
      <c r="AH598" s="111">
        <f t="shared" si="245"/>
        <v>0</v>
      </c>
      <c r="AI598" s="111">
        <f t="shared" si="245"/>
        <v>0</v>
      </c>
      <c r="AJ598" s="111">
        <f t="shared" si="245"/>
        <v>0</v>
      </c>
      <c r="AK598" s="111">
        <f t="shared" ref="AK598:BP598" si="246">Opening_year_sleep_disturbance_cost_mask+Forecast_year_sleep_disturbance_mask+Interpolation_sleep_disturbance_mask+Extrapolation_sleep_disturbance_mask</f>
        <v>0</v>
      </c>
      <c r="AL598" s="111">
        <f t="shared" si="246"/>
        <v>0</v>
      </c>
      <c r="AM598" s="111">
        <f t="shared" si="246"/>
        <v>0</v>
      </c>
      <c r="AN598" s="111">
        <f t="shared" si="246"/>
        <v>0</v>
      </c>
      <c r="AO598" s="111">
        <f t="shared" si="246"/>
        <v>0</v>
      </c>
      <c r="AP598" s="111">
        <f t="shared" si="246"/>
        <v>0</v>
      </c>
      <c r="AQ598" s="111">
        <f t="shared" si="246"/>
        <v>0</v>
      </c>
      <c r="AR598" s="111">
        <f t="shared" si="246"/>
        <v>0</v>
      </c>
      <c r="AS598" s="111">
        <f t="shared" si="246"/>
        <v>0</v>
      </c>
      <c r="AT598" s="111">
        <f t="shared" si="246"/>
        <v>0</v>
      </c>
      <c r="AU598" s="111">
        <f t="shared" si="246"/>
        <v>0</v>
      </c>
      <c r="AV598" s="111">
        <f t="shared" si="246"/>
        <v>0</v>
      </c>
      <c r="AW598" s="111">
        <f t="shared" si="246"/>
        <v>0</v>
      </c>
      <c r="AX598" s="111">
        <f t="shared" si="246"/>
        <v>0</v>
      </c>
      <c r="AY598" s="111">
        <f t="shared" si="246"/>
        <v>0</v>
      </c>
      <c r="AZ598" s="111">
        <f t="shared" si="246"/>
        <v>0</v>
      </c>
      <c r="BA598" s="111">
        <f t="shared" si="246"/>
        <v>0</v>
      </c>
      <c r="BB598" s="111">
        <f t="shared" si="246"/>
        <v>0</v>
      </c>
      <c r="BC598" s="111">
        <f t="shared" si="246"/>
        <v>0</v>
      </c>
      <c r="BD598" s="111">
        <f t="shared" si="246"/>
        <v>0</v>
      </c>
      <c r="BE598" s="111">
        <f t="shared" si="246"/>
        <v>0</v>
      </c>
      <c r="BF598" s="111">
        <f t="shared" si="246"/>
        <v>0</v>
      </c>
      <c r="BG598" s="111">
        <f t="shared" si="246"/>
        <v>0</v>
      </c>
      <c r="BH598" s="111">
        <f t="shared" si="246"/>
        <v>0</v>
      </c>
      <c r="BI598" s="111">
        <f t="shared" si="246"/>
        <v>0</v>
      </c>
      <c r="BJ598" s="111">
        <f t="shared" si="246"/>
        <v>0</v>
      </c>
      <c r="BK598" s="111">
        <f t="shared" si="246"/>
        <v>0</v>
      </c>
      <c r="BL598" s="111">
        <f t="shared" si="246"/>
        <v>0</v>
      </c>
      <c r="BM598" s="111">
        <f t="shared" si="246"/>
        <v>0</v>
      </c>
      <c r="BN598" s="111">
        <f t="shared" si="246"/>
        <v>0</v>
      </c>
      <c r="BO598" s="111">
        <f t="shared" si="246"/>
        <v>0</v>
      </c>
      <c r="BP598" s="111">
        <f t="shared" si="246"/>
        <v>0</v>
      </c>
      <c r="BQ598" s="111">
        <f t="shared" ref="BQ598:CP598" si="247">Opening_year_sleep_disturbance_cost_mask+Forecast_year_sleep_disturbance_mask+Interpolation_sleep_disturbance_mask+Extrapolation_sleep_disturbance_mask</f>
        <v>0</v>
      </c>
      <c r="BR598" s="111">
        <f t="shared" si="247"/>
        <v>0</v>
      </c>
      <c r="BS598" s="111">
        <f t="shared" si="247"/>
        <v>0</v>
      </c>
      <c r="BT598" s="111">
        <f t="shared" si="247"/>
        <v>0</v>
      </c>
      <c r="BU598" s="111">
        <f t="shared" si="247"/>
        <v>0</v>
      </c>
      <c r="BV598" s="111">
        <f t="shared" si="247"/>
        <v>0</v>
      </c>
      <c r="BW598" s="111">
        <f t="shared" si="247"/>
        <v>0</v>
      </c>
      <c r="BX598" s="111">
        <f t="shared" si="247"/>
        <v>0</v>
      </c>
      <c r="BY598" s="111">
        <f t="shared" si="247"/>
        <v>0</v>
      </c>
      <c r="BZ598" s="111">
        <f t="shared" si="247"/>
        <v>0</v>
      </c>
      <c r="CA598" s="111">
        <f t="shared" si="247"/>
        <v>0</v>
      </c>
      <c r="CB598" s="111">
        <f t="shared" si="247"/>
        <v>0</v>
      </c>
      <c r="CC598" s="111">
        <f t="shared" si="247"/>
        <v>0</v>
      </c>
      <c r="CD598" s="111">
        <f t="shared" si="247"/>
        <v>0</v>
      </c>
      <c r="CE598" s="111">
        <f t="shared" si="247"/>
        <v>0</v>
      </c>
      <c r="CF598" s="111">
        <f t="shared" si="247"/>
        <v>0</v>
      </c>
      <c r="CG598" s="111">
        <f t="shared" si="247"/>
        <v>0</v>
      </c>
      <c r="CH598" s="111">
        <f t="shared" si="247"/>
        <v>0</v>
      </c>
      <c r="CI598" s="111">
        <f t="shared" si="247"/>
        <v>0</v>
      </c>
      <c r="CJ598" s="111">
        <f t="shared" si="247"/>
        <v>0</v>
      </c>
      <c r="CK598" s="111">
        <f t="shared" si="247"/>
        <v>0</v>
      </c>
      <c r="CL598" s="111">
        <f t="shared" si="247"/>
        <v>0</v>
      </c>
      <c r="CM598" s="111">
        <f t="shared" si="247"/>
        <v>0</v>
      </c>
      <c r="CN598" s="111">
        <f t="shared" si="247"/>
        <v>0</v>
      </c>
      <c r="CO598" s="111">
        <f t="shared" si="247"/>
        <v>0</v>
      </c>
      <c r="CP598" s="111">
        <f t="shared" si="247"/>
        <v>0</v>
      </c>
      <c r="CQ598" s="3" t="s">
        <v>686</v>
      </c>
    </row>
    <row r="599" spans="1:95" ht="14.45" outlineLevel="2">
      <c r="A599" s="97"/>
      <c r="B599" s="97"/>
      <c r="C599" s="97"/>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c r="AO599" s="114"/>
      <c r="AP599" s="114"/>
      <c r="AQ599" s="114"/>
      <c r="AR599" s="114"/>
      <c r="AS599" s="114"/>
      <c r="AT599" s="114"/>
      <c r="AU599" s="114"/>
      <c r="AV599" s="114"/>
      <c r="AW599" s="114"/>
      <c r="AX599" s="114"/>
      <c r="AY599" s="114"/>
      <c r="AZ599" s="114"/>
      <c r="BA599" s="114"/>
      <c r="BB599" s="114"/>
      <c r="BC599" s="114"/>
      <c r="BD599" s="114"/>
      <c r="BE599" s="114"/>
      <c r="BF599" s="114"/>
      <c r="BG599" s="114"/>
      <c r="BH599" s="114"/>
      <c r="BI599" s="114"/>
      <c r="BJ599" s="114"/>
      <c r="BK599" s="114"/>
      <c r="BL599" s="114"/>
      <c r="BM599" s="114"/>
      <c r="BN599" s="114"/>
      <c r="BO599" s="114"/>
      <c r="BP599" s="114"/>
      <c r="BQ599" s="114"/>
      <c r="BR599" s="114"/>
      <c r="BS599" s="114"/>
      <c r="BT599" s="114"/>
      <c r="BU599" s="114"/>
      <c r="BV599" s="114"/>
      <c r="BW599" s="114"/>
      <c r="BX599" s="114"/>
      <c r="BY599" s="114"/>
      <c r="BZ599" s="114"/>
      <c r="CA599" s="114"/>
      <c r="CB599" s="114"/>
      <c r="CC599" s="114"/>
      <c r="CD599" s="114"/>
      <c r="CE599" s="114"/>
      <c r="CF599" s="114"/>
      <c r="CG599" s="114"/>
      <c r="CH599" s="114"/>
      <c r="CI599" s="114"/>
      <c r="CJ599" s="114"/>
      <c r="CK599" s="114"/>
      <c r="CL599" s="114"/>
      <c r="CM599" s="114"/>
      <c r="CN599" s="114"/>
      <c r="CO599" s="114"/>
      <c r="CP599" s="114"/>
      <c r="CQ599" s="3"/>
    </row>
    <row r="600" spans="1:95" s="5" customFormat="1" ht="18.75" customHeight="1" outlineLevel="2">
      <c r="B600" s="5" t="s">
        <v>687</v>
      </c>
    </row>
    <row r="601" spans="1:95" s="4" customFormat="1" ht="18.75" customHeight="1" outlineLevel="2">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c r="AN601" s="62"/>
      <c r="AO601" s="62"/>
      <c r="AP601" s="62"/>
      <c r="AQ601" s="62"/>
      <c r="AR601" s="62"/>
      <c r="AS601" s="62"/>
      <c r="AT601" s="62"/>
      <c r="AU601" s="62"/>
      <c r="AV601" s="62"/>
      <c r="AW601" s="62"/>
      <c r="AX601" s="62"/>
      <c r="AY601" s="62"/>
      <c r="AZ601" s="62"/>
      <c r="BA601" s="62"/>
      <c r="BB601" s="62"/>
      <c r="BC601" s="62"/>
      <c r="BD601" s="62"/>
      <c r="BE601" s="62"/>
      <c r="BF601" s="62"/>
      <c r="BG601" s="62"/>
      <c r="BH601" s="62"/>
      <c r="BI601" s="62"/>
      <c r="BJ601" s="62"/>
      <c r="BK601" s="62"/>
      <c r="BL601" s="62"/>
      <c r="BM601" s="62"/>
      <c r="BN601" s="62"/>
      <c r="BO601" s="62"/>
      <c r="BP601" s="62"/>
      <c r="BQ601" s="62"/>
      <c r="BR601" s="62"/>
      <c r="BS601" s="62"/>
      <c r="BT601" s="62"/>
      <c r="BU601" s="62"/>
      <c r="BV601" s="62"/>
      <c r="BW601" s="62"/>
      <c r="BX601" s="62"/>
      <c r="BY601" s="62"/>
      <c r="BZ601" s="62"/>
      <c r="CA601" s="62"/>
      <c r="CB601" s="62"/>
      <c r="CC601" s="62"/>
      <c r="CD601" s="62"/>
      <c r="CE601" s="62"/>
      <c r="CF601" s="62"/>
      <c r="CG601" s="62"/>
      <c r="CH601" s="62"/>
      <c r="CI601" s="62"/>
      <c r="CJ601" s="62"/>
      <c r="CK601" s="62"/>
      <c r="CL601" s="62"/>
      <c r="CM601" s="62"/>
      <c r="CN601" s="62"/>
      <c r="CO601" s="62"/>
      <c r="CP601" s="62"/>
      <c r="CQ601" s="62"/>
    </row>
    <row r="602" spans="1:95" ht="14.25" customHeight="1" outlineLevel="2">
      <c r="A602" s="97"/>
      <c r="B602" s="134"/>
      <c r="C602" s="134"/>
      <c r="D602" s="12">
        <v>2010</v>
      </c>
      <c r="E602" s="12">
        <v>2011</v>
      </c>
      <c r="F602" s="12">
        <v>2012</v>
      </c>
      <c r="G602" s="12">
        <v>2013</v>
      </c>
      <c r="H602" s="12">
        <v>2014</v>
      </c>
      <c r="I602" s="12">
        <v>2015</v>
      </c>
      <c r="J602" s="12">
        <v>2016</v>
      </c>
      <c r="K602" s="12">
        <v>2017</v>
      </c>
      <c r="L602" s="12">
        <v>2018</v>
      </c>
      <c r="M602" s="12">
        <v>2019</v>
      </c>
      <c r="N602" s="12">
        <v>2020</v>
      </c>
      <c r="O602" s="12">
        <v>2021</v>
      </c>
      <c r="P602" s="12">
        <v>2022</v>
      </c>
      <c r="Q602" s="12">
        <v>2023</v>
      </c>
      <c r="R602" s="12">
        <v>2024</v>
      </c>
      <c r="S602" s="12">
        <v>2025</v>
      </c>
      <c r="T602" s="12">
        <v>2026</v>
      </c>
      <c r="U602" s="12">
        <v>2027</v>
      </c>
      <c r="V602" s="12">
        <v>2028</v>
      </c>
      <c r="W602" s="12">
        <v>2029</v>
      </c>
      <c r="X602" s="12">
        <v>2030</v>
      </c>
      <c r="Y602" s="12">
        <v>2031</v>
      </c>
      <c r="Z602" s="12">
        <v>2032</v>
      </c>
      <c r="AA602" s="12">
        <v>2033</v>
      </c>
      <c r="AB602" s="12">
        <v>2034</v>
      </c>
      <c r="AC602" s="12">
        <v>2035</v>
      </c>
      <c r="AD602" s="12">
        <v>2036</v>
      </c>
      <c r="AE602" s="12">
        <v>2037</v>
      </c>
      <c r="AF602" s="12">
        <v>2038</v>
      </c>
      <c r="AG602" s="12">
        <v>2039</v>
      </c>
      <c r="AH602" s="12">
        <v>2040</v>
      </c>
      <c r="AI602" s="12">
        <v>2041</v>
      </c>
      <c r="AJ602" s="12">
        <v>2042</v>
      </c>
      <c r="AK602" s="12">
        <v>2043</v>
      </c>
      <c r="AL602" s="12">
        <v>2044</v>
      </c>
      <c r="AM602" s="12">
        <v>2045</v>
      </c>
      <c r="AN602" s="12">
        <v>2046</v>
      </c>
      <c r="AO602" s="12">
        <v>2047</v>
      </c>
      <c r="AP602" s="12">
        <v>2048</v>
      </c>
      <c r="AQ602" s="12">
        <v>2049</v>
      </c>
      <c r="AR602" s="12">
        <v>2050</v>
      </c>
      <c r="AS602" s="12">
        <v>2051</v>
      </c>
      <c r="AT602" s="12">
        <v>2052</v>
      </c>
      <c r="AU602" s="12">
        <v>2053</v>
      </c>
      <c r="AV602" s="12">
        <v>2054</v>
      </c>
      <c r="AW602" s="12">
        <v>2055</v>
      </c>
      <c r="AX602" s="12">
        <v>2056</v>
      </c>
      <c r="AY602" s="12">
        <v>2057</v>
      </c>
      <c r="AZ602" s="12">
        <v>2058</v>
      </c>
      <c r="BA602" s="12">
        <v>2059</v>
      </c>
      <c r="BB602" s="12">
        <v>2060</v>
      </c>
      <c r="BC602" s="12">
        <v>2061</v>
      </c>
      <c r="BD602" s="12">
        <v>2062</v>
      </c>
      <c r="BE602" s="12">
        <v>2063</v>
      </c>
      <c r="BF602" s="12">
        <v>2064</v>
      </c>
      <c r="BG602" s="12">
        <v>2065</v>
      </c>
      <c r="BH602" s="12">
        <v>2066</v>
      </c>
      <c r="BI602" s="12">
        <v>2067</v>
      </c>
      <c r="BJ602" s="12">
        <v>2068</v>
      </c>
      <c r="BK602" s="12">
        <v>2069</v>
      </c>
      <c r="BL602" s="12">
        <v>2070</v>
      </c>
      <c r="BM602" s="12">
        <v>2071</v>
      </c>
      <c r="BN602" s="12">
        <v>2072</v>
      </c>
      <c r="BO602" s="12">
        <v>2073</v>
      </c>
      <c r="BP602" s="12">
        <v>2074</v>
      </c>
      <c r="BQ602" s="12">
        <v>2075</v>
      </c>
      <c r="BR602" s="12">
        <v>2076</v>
      </c>
      <c r="BS602" s="12">
        <v>2077</v>
      </c>
      <c r="BT602" s="12">
        <v>2078</v>
      </c>
      <c r="BU602" s="12">
        <v>2079</v>
      </c>
      <c r="BV602" s="12">
        <v>2080</v>
      </c>
      <c r="BW602" s="12">
        <v>2081</v>
      </c>
      <c r="BX602" s="12">
        <v>2082</v>
      </c>
      <c r="BY602" s="12">
        <v>2083</v>
      </c>
      <c r="BZ602" s="12">
        <v>2084</v>
      </c>
      <c r="CA602" s="12">
        <v>2085</v>
      </c>
      <c r="CB602" s="12">
        <v>2086</v>
      </c>
      <c r="CC602" s="12">
        <v>2087</v>
      </c>
      <c r="CD602" s="12">
        <v>2088</v>
      </c>
      <c r="CE602" s="12">
        <v>2089</v>
      </c>
      <c r="CF602" s="12">
        <v>2090</v>
      </c>
      <c r="CG602" s="12">
        <v>2091</v>
      </c>
      <c r="CH602" s="12">
        <v>2092</v>
      </c>
      <c r="CI602" s="12">
        <v>2093</v>
      </c>
      <c r="CJ602" s="12">
        <v>2094</v>
      </c>
      <c r="CK602" s="12">
        <v>2095</v>
      </c>
      <c r="CL602" s="12">
        <v>2096</v>
      </c>
      <c r="CM602" s="12">
        <v>2097</v>
      </c>
      <c r="CN602" s="12">
        <v>2098</v>
      </c>
      <c r="CO602" s="12">
        <v>2099</v>
      </c>
      <c r="CP602" s="12">
        <v>2100</v>
      </c>
      <c r="CQ602" s="97"/>
    </row>
    <row r="603" spans="1:95" ht="14.45" outlineLevel="2">
      <c r="A603" s="97"/>
      <c r="B603" s="97" t="s">
        <v>59</v>
      </c>
      <c r="C603" s="97"/>
      <c r="D603" s="111">
        <f t="shared" ref="D603:AI603" si="248">Opening_year_amenity_cost*Opening_year_mask</f>
        <v>0</v>
      </c>
      <c r="E603" s="111">
        <f t="shared" si="248"/>
        <v>0</v>
      </c>
      <c r="F603" s="111">
        <f t="shared" si="248"/>
        <v>0</v>
      </c>
      <c r="G603" s="111">
        <f t="shared" si="248"/>
        <v>0</v>
      </c>
      <c r="H603" s="111">
        <f t="shared" si="248"/>
        <v>0</v>
      </c>
      <c r="I603" s="111">
        <f t="shared" si="248"/>
        <v>0</v>
      </c>
      <c r="J603" s="111">
        <f t="shared" si="248"/>
        <v>0</v>
      </c>
      <c r="K603" s="111">
        <f t="shared" si="248"/>
        <v>0</v>
      </c>
      <c r="L603" s="111">
        <f t="shared" si="248"/>
        <v>0</v>
      </c>
      <c r="M603" s="111">
        <f t="shared" si="248"/>
        <v>0</v>
      </c>
      <c r="N603" s="111">
        <f t="shared" si="248"/>
        <v>0</v>
      </c>
      <c r="O603" s="111">
        <f t="shared" si="248"/>
        <v>0</v>
      </c>
      <c r="P603" s="111">
        <f t="shared" si="248"/>
        <v>0</v>
      </c>
      <c r="Q603" s="111">
        <f t="shared" si="248"/>
        <v>0</v>
      </c>
      <c r="R603" s="111">
        <f t="shared" si="248"/>
        <v>0</v>
      </c>
      <c r="S603" s="111">
        <f t="shared" si="248"/>
        <v>0</v>
      </c>
      <c r="T603" s="111">
        <f t="shared" si="248"/>
        <v>0</v>
      </c>
      <c r="U603" s="111">
        <f t="shared" si="248"/>
        <v>0</v>
      </c>
      <c r="V603" s="111">
        <f t="shared" si="248"/>
        <v>0</v>
      </c>
      <c r="W603" s="111">
        <f t="shared" si="248"/>
        <v>0</v>
      </c>
      <c r="X603" s="111">
        <f t="shared" si="248"/>
        <v>0</v>
      </c>
      <c r="Y603" s="111">
        <f t="shared" si="248"/>
        <v>0</v>
      </c>
      <c r="Z603" s="111">
        <f t="shared" si="248"/>
        <v>0</v>
      </c>
      <c r="AA603" s="111">
        <f t="shared" si="248"/>
        <v>0</v>
      </c>
      <c r="AB603" s="111">
        <f t="shared" si="248"/>
        <v>0</v>
      </c>
      <c r="AC603" s="111">
        <f t="shared" si="248"/>
        <v>0</v>
      </c>
      <c r="AD603" s="111">
        <f t="shared" si="248"/>
        <v>0</v>
      </c>
      <c r="AE603" s="111">
        <f t="shared" si="248"/>
        <v>0</v>
      </c>
      <c r="AF603" s="111">
        <f t="shared" si="248"/>
        <v>0</v>
      </c>
      <c r="AG603" s="111">
        <f t="shared" si="248"/>
        <v>0</v>
      </c>
      <c r="AH603" s="111">
        <f t="shared" si="248"/>
        <v>0</v>
      </c>
      <c r="AI603" s="111">
        <f t="shared" si="248"/>
        <v>0</v>
      </c>
      <c r="AJ603" s="111">
        <f t="shared" ref="AJ603:BO603" si="249">Opening_year_amenity_cost*Opening_year_mask</f>
        <v>0</v>
      </c>
      <c r="AK603" s="111">
        <f t="shared" si="249"/>
        <v>0</v>
      </c>
      <c r="AL603" s="111">
        <f t="shared" si="249"/>
        <v>0</v>
      </c>
      <c r="AM603" s="111">
        <f t="shared" si="249"/>
        <v>0</v>
      </c>
      <c r="AN603" s="111">
        <f t="shared" si="249"/>
        <v>0</v>
      </c>
      <c r="AO603" s="111">
        <f t="shared" si="249"/>
        <v>0</v>
      </c>
      <c r="AP603" s="111">
        <f t="shared" si="249"/>
        <v>0</v>
      </c>
      <c r="AQ603" s="111">
        <f t="shared" si="249"/>
        <v>0</v>
      </c>
      <c r="AR603" s="111">
        <f t="shared" si="249"/>
        <v>0</v>
      </c>
      <c r="AS603" s="111">
        <f t="shared" si="249"/>
        <v>0</v>
      </c>
      <c r="AT603" s="111">
        <f t="shared" si="249"/>
        <v>0</v>
      </c>
      <c r="AU603" s="111">
        <f t="shared" si="249"/>
        <v>0</v>
      </c>
      <c r="AV603" s="111">
        <f t="shared" si="249"/>
        <v>0</v>
      </c>
      <c r="AW603" s="111">
        <f t="shared" si="249"/>
        <v>0</v>
      </c>
      <c r="AX603" s="111">
        <f t="shared" si="249"/>
        <v>0</v>
      </c>
      <c r="AY603" s="111">
        <f t="shared" si="249"/>
        <v>0</v>
      </c>
      <c r="AZ603" s="111">
        <f t="shared" si="249"/>
        <v>0</v>
      </c>
      <c r="BA603" s="111">
        <f t="shared" si="249"/>
        <v>0</v>
      </c>
      <c r="BB603" s="111">
        <f t="shared" si="249"/>
        <v>0</v>
      </c>
      <c r="BC603" s="111">
        <f t="shared" si="249"/>
        <v>0</v>
      </c>
      <c r="BD603" s="111">
        <f t="shared" si="249"/>
        <v>0</v>
      </c>
      <c r="BE603" s="111">
        <f t="shared" si="249"/>
        <v>0</v>
      </c>
      <c r="BF603" s="111">
        <f t="shared" si="249"/>
        <v>0</v>
      </c>
      <c r="BG603" s="111">
        <f t="shared" si="249"/>
        <v>0</v>
      </c>
      <c r="BH603" s="111">
        <f t="shared" si="249"/>
        <v>0</v>
      </c>
      <c r="BI603" s="111">
        <f t="shared" si="249"/>
        <v>0</v>
      </c>
      <c r="BJ603" s="111">
        <f t="shared" si="249"/>
        <v>0</v>
      </c>
      <c r="BK603" s="111">
        <f t="shared" si="249"/>
        <v>0</v>
      </c>
      <c r="BL603" s="111">
        <f t="shared" si="249"/>
        <v>0</v>
      </c>
      <c r="BM603" s="111">
        <f t="shared" si="249"/>
        <v>0</v>
      </c>
      <c r="BN603" s="111">
        <f t="shared" si="249"/>
        <v>0</v>
      </c>
      <c r="BO603" s="111">
        <f t="shared" si="249"/>
        <v>0</v>
      </c>
      <c r="BP603" s="111">
        <f t="shared" ref="BP603:CP603" si="250">Opening_year_amenity_cost*Opening_year_mask</f>
        <v>0</v>
      </c>
      <c r="BQ603" s="111">
        <f t="shared" si="250"/>
        <v>0</v>
      </c>
      <c r="BR603" s="111">
        <f t="shared" si="250"/>
        <v>0</v>
      </c>
      <c r="BS603" s="111">
        <f t="shared" si="250"/>
        <v>0</v>
      </c>
      <c r="BT603" s="111">
        <f t="shared" si="250"/>
        <v>0</v>
      </c>
      <c r="BU603" s="111">
        <f t="shared" si="250"/>
        <v>0</v>
      </c>
      <c r="BV603" s="111">
        <f t="shared" si="250"/>
        <v>0</v>
      </c>
      <c r="BW603" s="111">
        <f t="shared" si="250"/>
        <v>0</v>
      </c>
      <c r="BX603" s="111">
        <f t="shared" si="250"/>
        <v>0</v>
      </c>
      <c r="BY603" s="111">
        <f t="shared" si="250"/>
        <v>0</v>
      </c>
      <c r="BZ603" s="111">
        <f t="shared" si="250"/>
        <v>0</v>
      </c>
      <c r="CA603" s="111">
        <f t="shared" si="250"/>
        <v>0</v>
      </c>
      <c r="CB603" s="111">
        <f t="shared" si="250"/>
        <v>0</v>
      </c>
      <c r="CC603" s="111">
        <f t="shared" si="250"/>
        <v>0</v>
      </c>
      <c r="CD603" s="111">
        <f t="shared" si="250"/>
        <v>0</v>
      </c>
      <c r="CE603" s="111">
        <f t="shared" si="250"/>
        <v>0</v>
      </c>
      <c r="CF603" s="111">
        <f t="shared" si="250"/>
        <v>0</v>
      </c>
      <c r="CG603" s="111">
        <f t="shared" si="250"/>
        <v>0</v>
      </c>
      <c r="CH603" s="111">
        <f t="shared" si="250"/>
        <v>0</v>
      </c>
      <c r="CI603" s="111">
        <f t="shared" si="250"/>
        <v>0</v>
      </c>
      <c r="CJ603" s="111">
        <f t="shared" si="250"/>
        <v>0</v>
      </c>
      <c r="CK603" s="111">
        <f t="shared" si="250"/>
        <v>0</v>
      </c>
      <c r="CL603" s="111">
        <f t="shared" si="250"/>
        <v>0</v>
      </c>
      <c r="CM603" s="111">
        <f t="shared" si="250"/>
        <v>0</v>
      </c>
      <c r="CN603" s="111">
        <f t="shared" si="250"/>
        <v>0</v>
      </c>
      <c r="CO603" s="111">
        <f t="shared" si="250"/>
        <v>0</v>
      </c>
      <c r="CP603" s="111">
        <f t="shared" si="250"/>
        <v>0</v>
      </c>
      <c r="CQ603" s="3" t="s">
        <v>688</v>
      </c>
    </row>
    <row r="604" spans="1:95" ht="14.45" outlineLevel="2">
      <c r="A604" s="97"/>
      <c r="B604" s="97" t="s">
        <v>61</v>
      </c>
      <c r="C604" s="97"/>
      <c r="D604" s="111">
        <f t="shared" ref="D604:AI604" si="251">Forecast_year_amenity_cost*Forecast_year_mask</f>
        <v>0</v>
      </c>
      <c r="E604" s="111">
        <f t="shared" si="251"/>
        <v>0</v>
      </c>
      <c r="F604" s="111">
        <f t="shared" si="251"/>
        <v>0</v>
      </c>
      <c r="G604" s="111">
        <f t="shared" si="251"/>
        <v>0</v>
      </c>
      <c r="H604" s="111">
        <f t="shared" si="251"/>
        <v>0</v>
      </c>
      <c r="I604" s="111">
        <f t="shared" si="251"/>
        <v>0</v>
      </c>
      <c r="J604" s="111">
        <f t="shared" si="251"/>
        <v>0</v>
      </c>
      <c r="K604" s="111">
        <f t="shared" si="251"/>
        <v>0</v>
      </c>
      <c r="L604" s="111">
        <f t="shared" si="251"/>
        <v>0</v>
      </c>
      <c r="M604" s="111">
        <f t="shared" si="251"/>
        <v>0</v>
      </c>
      <c r="N604" s="111">
        <f t="shared" si="251"/>
        <v>0</v>
      </c>
      <c r="O604" s="111">
        <f t="shared" si="251"/>
        <v>0</v>
      </c>
      <c r="P604" s="111">
        <f t="shared" si="251"/>
        <v>0</v>
      </c>
      <c r="Q604" s="111">
        <f t="shared" si="251"/>
        <v>0</v>
      </c>
      <c r="R604" s="111">
        <f t="shared" si="251"/>
        <v>0</v>
      </c>
      <c r="S604" s="111">
        <f t="shared" si="251"/>
        <v>0</v>
      </c>
      <c r="T604" s="111">
        <f t="shared" si="251"/>
        <v>0</v>
      </c>
      <c r="U604" s="111">
        <f t="shared" si="251"/>
        <v>0</v>
      </c>
      <c r="V604" s="111">
        <f t="shared" si="251"/>
        <v>0</v>
      </c>
      <c r="W604" s="111">
        <f t="shared" si="251"/>
        <v>0</v>
      </c>
      <c r="X604" s="111">
        <f t="shared" si="251"/>
        <v>0</v>
      </c>
      <c r="Y604" s="111">
        <f t="shared" si="251"/>
        <v>0</v>
      </c>
      <c r="Z604" s="111">
        <f t="shared" si="251"/>
        <v>0</v>
      </c>
      <c r="AA604" s="111">
        <f t="shared" si="251"/>
        <v>0</v>
      </c>
      <c r="AB604" s="111">
        <f t="shared" si="251"/>
        <v>0</v>
      </c>
      <c r="AC604" s="111">
        <f t="shared" si="251"/>
        <v>0</v>
      </c>
      <c r="AD604" s="111">
        <f t="shared" si="251"/>
        <v>0</v>
      </c>
      <c r="AE604" s="111">
        <f t="shared" si="251"/>
        <v>0</v>
      </c>
      <c r="AF604" s="111">
        <f t="shared" si="251"/>
        <v>0</v>
      </c>
      <c r="AG604" s="111">
        <f t="shared" si="251"/>
        <v>0</v>
      </c>
      <c r="AH604" s="111">
        <f t="shared" si="251"/>
        <v>0</v>
      </c>
      <c r="AI604" s="111">
        <f t="shared" si="251"/>
        <v>0</v>
      </c>
      <c r="AJ604" s="111">
        <f t="shared" ref="AJ604:BO604" si="252">Forecast_year_amenity_cost*Forecast_year_mask</f>
        <v>0</v>
      </c>
      <c r="AK604" s="111">
        <f t="shared" si="252"/>
        <v>0</v>
      </c>
      <c r="AL604" s="111">
        <f t="shared" si="252"/>
        <v>0</v>
      </c>
      <c r="AM604" s="111">
        <f t="shared" si="252"/>
        <v>0</v>
      </c>
      <c r="AN604" s="111">
        <f t="shared" si="252"/>
        <v>0</v>
      </c>
      <c r="AO604" s="111">
        <f t="shared" si="252"/>
        <v>0</v>
      </c>
      <c r="AP604" s="111">
        <f t="shared" si="252"/>
        <v>0</v>
      </c>
      <c r="AQ604" s="111">
        <f t="shared" si="252"/>
        <v>0</v>
      </c>
      <c r="AR604" s="111">
        <f t="shared" si="252"/>
        <v>0</v>
      </c>
      <c r="AS604" s="111">
        <f t="shared" si="252"/>
        <v>0</v>
      </c>
      <c r="AT604" s="111">
        <f t="shared" si="252"/>
        <v>0</v>
      </c>
      <c r="AU604" s="111">
        <f t="shared" si="252"/>
        <v>0</v>
      </c>
      <c r="AV604" s="111">
        <f t="shared" si="252"/>
        <v>0</v>
      </c>
      <c r="AW604" s="111">
        <f t="shared" si="252"/>
        <v>0</v>
      </c>
      <c r="AX604" s="111">
        <f t="shared" si="252"/>
        <v>0</v>
      </c>
      <c r="AY604" s="111">
        <f t="shared" si="252"/>
        <v>0</v>
      </c>
      <c r="AZ604" s="111">
        <f t="shared" si="252"/>
        <v>0</v>
      </c>
      <c r="BA604" s="111">
        <f t="shared" si="252"/>
        <v>0</v>
      </c>
      <c r="BB604" s="111">
        <f t="shared" si="252"/>
        <v>0</v>
      </c>
      <c r="BC604" s="111">
        <f t="shared" si="252"/>
        <v>0</v>
      </c>
      <c r="BD604" s="111">
        <f t="shared" si="252"/>
        <v>0</v>
      </c>
      <c r="BE604" s="111">
        <f t="shared" si="252"/>
        <v>0</v>
      </c>
      <c r="BF604" s="111">
        <f t="shared" si="252"/>
        <v>0</v>
      </c>
      <c r="BG604" s="111">
        <f t="shared" si="252"/>
        <v>0</v>
      </c>
      <c r="BH604" s="111">
        <f t="shared" si="252"/>
        <v>0</v>
      </c>
      <c r="BI604" s="111">
        <f t="shared" si="252"/>
        <v>0</v>
      </c>
      <c r="BJ604" s="111">
        <f t="shared" si="252"/>
        <v>0</v>
      </c>
      <c r="BK604" s="111">
        <f t="shared" si="252"/>
        <v>0</v>
      </c>
      <c r="BL604" s="111">
        <f t="shared" si="252"/>
        <v>0</v>
      </c>
      <c r="BM604" s="111">
        <f t="shared" si="252"/>
        <v>0</v>
      </c>
      <c r="BN604" s="111">
        <f t="shared" si="252"/>
        <v>0</v>
      </c>
      <c r="BO604" s="111">
        <f t="shared" si="252"/>
        <v>0</v>
      </c>
      <c r="BP604" s="111">
        <f t="shared" ref="BP604:CP604" si="253">Forecast_year_amenity_cost*Forecast_year_mask</f>
        <v>0</v>
      </c>
      <c r="BQ604" s="111">
        <f t="shared" si="253"/>
        <v>0</v>
      </c>
      <c r="BR604" s="111">
        <f t="shared" si="253"/>
        <v>0</v>
      </c>
      <c r="BS604" s="111">
        <f t="shared" si="253"/>
        <v>0</v>
      </c>
      <c r="BT604" s="111">
        <f t="shared" si="253"/>
        <v>0</v>
      </c>
      <c r="BU604" s="111">
        <f t="shared" si="253"/>
        <v>0</v>
      </c>
      <c r="BV604" s="111">
        <f t="shared" si="253"/>
        <v>0</v>
      </c>
      <c r="BW604" s="111">
        <f t="shared" si="253"/>
        <v>0</v>
      </c>
      <c r="BX604" s="111">
        <f t="shared" si="253"/>
        <v>0</v>
      </c>
      <c r="BY604" s="111">
        <f t="shared" si="253"/>
        <v>0</v>
      </c>
      <c r="BZ604" s="111">
        <f t="shared" si="253"/>
        <v>0</v>
      </c>
      <c r="CA604" s="111">
        <f t="shared" si="253"/>
        <v>0</v>
      </c>
      <c r="CB604" s="111">
        <f t="shared" si="253"/>
        <v>0</v>
      </c>
      <c r="CC604" s="111">
        <f t="shared" si="253"/>
        <v>0</v>
      </c>
      <c r="CD604" s="111">
        <f t="shared" si="253"/>
        <v>0</v>
      </c>
      <c r="CE604" s="111">
        <f t="shared" si="253"/>
        <v>0</v>
      </c>
      <c r="CF604" s="111">
        <f t="shared" si="253"/>
        <v>0</v>
      </c>
      <c r="CG604" s="111">
        <f t="shared" si="253"/>
        <v>0</v>
      </c>
      <c r="CH604" s="111">
        <f t="shared" si="253"/>
        <v>0</v>
      </c>
      <c r="CI604" s="111">
        <f t="shared" si="253"/>
        <v>0</v>
      </c>
      <c r="CJ604" s="111">
        <f t="shared" si="253"/>
        <v>0</v>
      </c>
      <c r="CK604" s="111">
        <f t="shared" si="253"/>
        <v>0</v>
      </c>
      <c r="CL604" s="111">
        <f t="shared" si="253"/>
        <v>0</v>
      </c>
      <c r="CM604" s="111">
        <f t="shared" si="253"/>
        <v>0</v>
      </c>
      <c r="CN604" s="111">
        <f t="shared" si="253"/>
        <v>0</v>
      </c>
      <c r="CO604" s="111">
        <f t="shared" si="253"/>
        <v>0</v>
      </c>
      <c r="CP604" s="111">
        <f t="shared" si="253"/>
        <v>0</v>
      </c>
      <c r="CQ604" s="3" t="s">
        <v>689</v>
      </c>
    </row>
    <row r="605" spans="1:95" ht="14.45" outlineLevel="2">
      <c r="A605" s="97"/>
      <c r="B605" s="97" t="s">
        <v>674</v>
      </c>
      <c r="C605" s="97"/>
      <c r="D605" s="111">
        <f t="shared" ref="D605:AI605" si="254">(Opening_year_amenity_cost+(Difference_amenity_cost)*(year-Opening_year)/(Forecast_and_opening_year_difference))*Interpolation_mask</f>
        <v>0</v>
      </c>
      <c r="E605" s="111">
        <f t="shared" si="254"/>
        <v>0</v>
      </c>
      <c r="F605" s="111">
        <f t="shared" si="254"/>
        <v>0</v>
      </c>
      <c r="G605" s="111">
        <f t="shared" si="254"/>
        <v>0</v>
      </c>
      <c r="H605" s="111">
        <f t="shared" si="254"/>
        <v>0</v>
      </c>
      <c r="I605" s="111">
        <f t="shared" si="254"/>
        <v>0</v>
      </c>
      <c r="J605" s="111">
        <f t="shared" si="254"/>
        <v>0</v>
      </c>
      <c r="K605" s="111">
        <f t="shared" si="254"/>
        <v>0</v>
      </c>
      <c r="L605" s="111">
        <f t="shared" si="254"/>
        <v>0</v>
      </c>
      <c r="M605" s="111">
        <f t="shared" si="254"/>
        <v>0</v>
      </c>
      <c r="N605" s="111">
        <f t="shared" si="254"/>
        <v>0</v>
      </c>
      <c r="O605" s="111">
        <f t="shared" si="254"/>
        <v>0</v>
      </c>
      <c r="P605" s="111">
        <f t="shared" si="254"/>
        <v>0</v>
      </c>
      <c r="Q605" s="111">
        <f t="shared" si="254"/>
        <v>0</v>
      </c>
      <c r="R605" s="111">
        <f t="shared" si="254"/>
        <v>0</v>
      </c>
      <c r="S605" s="111">
        <f t="shared" si="254"/>
        <v>0</v>
      </c>
      <c r="T605" s="111">
        <f t="shared" si="254"/>
        <v>0</v>
      </c>
      <c r="U605" s="111">
        <f t="shared" si="254"/>
        <v>0</v>
      </c>
      <c r="V605" s="111">
        <f t="shared" si="254"/>
        <v>0</v>
      </c>
      <c r="W605" s="111">
        <f t="shared" si="254"/>
        <v>0</v>
      </c>
      <c r="X605" s="111">
        <f t="shared" si="254"/>
        <v>0</v>
      </c>
      <c r="Y605" s="111">
        <f t="shared" si="254"/>
        <v>0</v>
      </c>
      <c r="Z605" s="111">
        <f t="shared" si="254"/>
        <v>0</v>
      </c>
      <c r="AA605" s="111">
        <f t="shared" si="254"/>
        <v>0</v>
      </c>
      <c r="AB605" s="111">
        <f t="shared" si="254"/>
        <v>0</v>
      </c>
      <c r="AC605" s="111">
        <f t="shared" si="254"/>
        <v>0</v>
      </c>
      <c r="AD605" s="111">
        <f t="shared" si="254"/>
        <v>0</v>
      </c>
      <c r="AE605" s="111">
        <f t="shared" si="254"/>
        <v>0</v>
      </c>
      <c r="AF605" s="111">
        <f t="shared" si="254"/>
        <v>0</v>
      </c>
      <c r="AG605" s="111">
        <f t="shared" si="254"/>
        <v>0</v>
      </c>
      <c r="AH605" s="111">
        <f t="shared" si="254"/>
        <v>0</v>
      </c>
      <c r="AI605" s="111">
        <f t="shared" si="254"/>
        <v>0</v>
      </c>
      <c r="AJ605" s="111">
        <f t="shared" ref="AJ605:BO605" si="255">(Opening_year_amenity_cost+(Difference_amenity_cost)*(year-Opening_year)/(Forecast_and_opening_year_difference))*Interpolation_mask</f>
        <v>0</v>
      </c>
      <c r="AK605" s="111">
        <f t="shared" si="255"/>
        <v>0</v>
      </c>
      <c r="AL605" s="111">
        <f t="shared" si="255"/>
        <v>0</v>
      </c>
      <c r="AM605" s="111">
        <f t="shared" si="255"/>
        <v>0</v>
      </c>
      <c r="AN605" s="111">
        <f t="shared" si="255"/>
        <v>0</v>
      </c>
      <c r="AO605" s="111">
        <f t="shared" si="255"/>
        <v>0</v>
      </c>
      <c r="AP605" s="111">
        <f t="shared" si="255"/>
        <v>0</v>
      </c>
      <c r="AQ605" s="111">
        <f t="shared" si="255"/>
        <v>0</v>
      </c>
      <c r="AR605" s="111">
        <f t="shared" si="255"/>
        <v>0</v>
      </c>
      <c r="AS605" s="111">
        <f t="shared" si="255"/>
        <v>0</v>
      </c>
      <c r="AT605" s="111">
        <f t="shared" si="255"/>
        <v>0</v>
      </c>
      <c r="AU605" s="111">
        <f t="shared" si="255"/>
        <v>0</v>
      </c>
      <c r="AV605" s="111">
        <f t="shared" si="255"/>
        <v>0</v>
      </c>
      <c r="AW605" s="111">
        <f t="shared" si="255"/>
        <v>0</v>
      </c>
      <c r="AX605" s="111">
        <f t="shared" si="255"/>
        <v>0</v>
      </c>
      <c r="AY605" s="111">
        <f t="shared" si="255"/>
        <v>0</v>
      </c>
      <c r="AZ605" s="111">
        <f t="shared" si="255"/>
        <v>0</v>
      </c>
      <c r="BA605" s="111">
        <f t="shared" si="255"/>
        <v>0</v>
      </c>
      <c r="BB605" s="111">
        <f t="shared" si="255"/>
        <v>0</v>
      </c>
      <c r="BC605" s="111">
        <f t="shared" si="255"/>
        <v>0</v>
      </c>
      <c r="BD605" s="111">
        <f t="shared" si="255"/>
        <v>0</v>
      </c>
      <c r="BE605" s="111">
        <f t="shared" si="255"/>
        <v>0</v>
      </c>
      <c r="BF605" s="111">
        <f t="shared" si="255"/>
        <v>0</v>
      </c>
      <c r="BG605" s="111">
        <f t="shared" si="255"/>
        <v>0</v>
      </c>
      <c r="BH605" s="111">
        <f t="shared" si="255"/>
        <v>0</v>
      </c>
      <c r="BI605" s="111">
        <f t="shared" si="255"/>
        <v>0</v>
      </c>
      <c r="BJ605" s="111">
        <f t="shared" si="255"/>
        <v>0</v>
      </c>
      <c r="BK605" s="111">
        <f t="shared" si="255"/>
        <v>0</v>
      </c>
      <c r="BL605" s="111">
        <f t="shared" si="255"/>
        <v>0</v>
      </c>
      <c r="BM605" s="111">
        <f t="shared" si="255"/>
        <v>0</v>
      </c>
      <c r="BN605" s="111">
        <f t="shared" si="255"/>
        <v>0</v>
      </c>
      <c r="BO605" s="111">
        <f t="shared" si="255"/>
        <v>0</v>
      </c>
      <c r="BP605" s="111">
        <f t="shared" ref="BP605:CP605" si="256">(Opening_year_amenity_cost+(Difference_amenity_cost)*(year-Opening_year)/(Forecast_and_opening_year_difference))*Interpolation_mask</f>
        <v>0</v>
      </c>
      <c r="BQ605" s="111">
        <f t="shared" si="256"/>
        <v>0</v>
      </c>
      <c r="BR605" s="111">
        <f t="shared" si="256"/>
        <v>0</v>
      </c>
      <c r="BS605" s="111">
        <f t="shared" si="256"/>
        <v>0</v>
      </c>
      <c r="BT605" s="111">
        <f t="shared" si="256"/>
        <v>0</v>
      </c>
      <c r="BU605" s="111">
        <f t="shared" si="256"/>
        <v>0</v>
      </c>
      <c r="BV605" s="111">
        <f t="shared" si="256"/>
        <v>0</v>
      </c>
      <c r="BW605" s="111">
        <f t="shared" si="256"/>
        <v>0</v>
      </c>
      <c r="BX605" s="111">
        <f t="shared" si="256"/>
        <v>0</v>
      </c>
      <c r="BY605" s="111">
        <f t="shared" si="256"/>
        <v>0</v>
      </c>
      <c r="BZ605" s="111">
        <f t="shared" si="256"/>
        <v>0</v>
      </c>
      <c r="CA605" s="111">
        <f t="shared" si="256"/>
        <v>0</v>
      </c>
      <c r="CB605" s="111">
        <f t="shared" si="256"/>
        <v>0</v>
      </c>
      <c r="CC605" s="111">
        <f t="shared" si="256"/>
        <v>0</v>
      </c>
      <c r="CD605" s="111">
        <f t="shared" si="256"/>
        <v>0</v>
      </c>
      <c r="CE605" s="111">
        <f t="shared" si="256"/>
        <v>0</v>
      </c>
      <c r="CF605" s="111">
        <f t="shared" si="256"/>
        <v>0</v>
      </c>
      <c r="CG605" s="111">
        <f t="shared" si="256"/>
        <v>0</v>
      </c>
      <c r="CH605" s="111">
        <f t="shared" si="256"/>
        <v>0</v>
      </c>
      <c r="CI605" s="111">
        <f t="shared" si="256"/>
        <v>0</v>
      </c>
      <c r="CJ605" s="111">
        <f t="shared" si="256"/>
        <v>0</v>
      </c>
      <c r="CK605" s="111">
        <f t="shared" si="256"/>
        <v>0</v>
      </c>
      <c r="CL605" s="111">
        <f t="shared" si="256"/>
        <v>0</v>
      </c>
      <c r="CM605" s="111">
        <f t="shared" si="256"/>
        <v>0</v>
      </c>
      <c r="CN605" s="111">
        <f t="shared" si="256"/>
        <v>0</v>
      </c>
      <c r="CO605" s="111">
        <f t="shared" si="256"/>
        <v>0</v>
      </c>
      <c r="CP605" s="111">
        <f t="shared" si="256"/>
        <v>0</v>
      </c>
      <c r="CQ605" s="3" t="s">
        <v>690</v>
      </c>
    </row>
    <row r="606" spans="1:95" ht="14.45" outlineLevel="2">
      <c r="A606" s="97"/>
      <c r="B606" s="97" t="s">
        <v>676</v>
      </c>
      <c r="C606" s="97"/>
      <c r="D606" s="111">
        <f t="shared" ref="D606:AI606" si="257">Forecast_year_amenity_cost*Extrapolation_mask</f>
        <v>0</v>
      </c>
      <c r="E606" s="111">
        <f t="shared" si="257"/>
        <v>0</v>
      </c>
      <c r="F606" s="111">
        <f t="shared" si="257"/>
        <v>0</v>
      </c>
      <c r="G606" s="111">
        <f t="shared" si="257"/>
        <v>0</v>
      </c>
      <c r="H606" s="111">
        <f t="shared" si="257"/>
        <v>0</v>
      </c>
      <c r="I606" s="111">
        <f t="shared" si="257"/>
        <v>0</v>
      </c>
      <c r="J606" s="111">
        <f t="shared" si="257"/>
        <v>0</v>
      </c>
      <c r="K606" s="111">
        <f t="shared" si="257"/>
        <v>0</v>
      </c>
      <c r="L606" s="111">
        <f t="shared" si="257"/>
        <v>0</v>
      </c>
      <c r="M606" s="111">
        <f t="shared" si="257"/>
        <v>0</v>
      </c>
      <c r="N606" s="111">
        <f t="shared" si="257"/>
        <v>0</v>
      </c>
      <c r="O606" s="111">
        <f t="shared" si="257"/>
        <v>0</v>
      </c>
      <c r="P606" s="111">
        <f t="shared" si="257"/>
        <v>0</v>
      </c>
      <c r="Q606" s="111">
        <f t="shared" si="257"/>
        <v>0</v>
      </c>
      <c r="R606" s="111">
        <f t="shared" si="257"/>
        <v>0</v>
      </c>
      <c r="S606" s="111">
        <f t="shared" si="257"/>
        <v>0</v>
      </c>
      <c r="T606" s="111">
        <f t="shared" si="257"/>
        <v>0</v>
      </c>
      <c r="U606" s="111">
        <f t="shared" si="257"/>
        <v>0</v>
      </c>
      <c r="V606" s="111">
        <f t="shared" si="257"/>
        <v>0</v>
      </c>
      <c r="W606" s="111">
        <f t="shared" si="257"/>
        <v>0</v>
      </c>
      <c r="X606" s="111">
        <f t="shared" si="257"/>
        <v>0</v>
      </c>
      <c r="Y606" s="111">
        <f t="shared" si="257"/>
        <v>0</v>
      </c>
      <c r="Z606" s="111">
        <f t="shared" si="257"/>
        <v>0</v>
      </c>
      <c r="AA606" s="111">
        <f t="shared" si="257"/>
        <v>0</v>
      </c>
      <c r="AB606" s="111">
        <f t="shared" si="257"/>
        <v>0</v>
      </c>
      <c r="AC606" s="111">
        <f t="shared" si="257"/>
        <v>0</v>
      </c>
      <c r="AD606" s="111">
        <f t="shared" si="257"/>
        <v>0</v>
      </c>
      <c r="AE606" s="111">
        <f t="shared" si="257"/>
        <v>0</v>
      </c>
      <c r="AF606" s="111">
        <f t="shared" si="257"/>
        <v>0</v>
      </c>
      <c r="AG606" s="111">
        <f t="shared" si="257"/>
        <v>0</v>
      </c>
      <c r="AH606" s="111">
        <f t="shared" si="257"/>
        <v>0</v>
      </c>
      <c r="AI606" s="111">
        <f t="shared" si="257"/>
        <v>0</v>
      </c>
      <c r="AJ606" s="111">
        <f t="shared" ref="AJ606:BO606" si="258">Forecast_year_amenity_cost*Extrapolation_mask</f>
        <v>0</v>
      </c>
      <c r="AK606" s="111">
        <f t="shared" si="258"/>
        <v>0</v>
      </c>
      <c r="AL606" s="111">
        <f t="shared" si="258"/>
        <v>0</v>
      </c>
      <c r="AM606" s="111">
        <f t="shared" si="258"/>
        <v>0</v>
      </c>
      <c r="AN606" s="111">
        <f t="shared" si="258"/>
        <v>0</v>
      </c>
      <c r="AO606" s="111">
        <f t="shared" si="258"/>
        <v>0</v>
      </c>
      <c r="AP606" s="111">
        <f t="shared" si="258"/>
        <v>0</v>
      </c>
      <c r="AQ606" s="111">
        <f t="shared" si="258"/>
        <v>0</v>
      </c>
      <c r="AR606" s="111">
        <f t="shared" si="258"/>
        <v>0</v>
      </c>
      <c r="AS606" s="111">
        <f t="shared" si="258"/>
        <v>0</v>
      </c>
      <c r="AT606" s="111">
        <f t="shared" si="258"/>
        <v>0</v>
      </c>
      <c r="AU606" s="111">
        <f t="shared" si="258"/>
        <v>0</v>
      </c>
      <c r="AV606" s="111">
        <f t="shared" si="258"/>
        <v>0</v>
      </c>
      <c r="AW606" s="111">
        <f t="shared" si="258"/>
        <v>0</v>
      </c>
      <c r="AX606" s="111">
        <f t="shared" si="258"/>
        <v>0</v>
      </c>
      <c r="AY606" s="111">
        <f t="shared" si="258"/>
        <v>0</v>
      </c>
      <c r="AZ606" s="111">
        <f t="shared" si="258"/>
        <v>0</v>
      </c>
      <c r="BA606" s="111">
        <f t="shared" si="258"/>
        <v>0</v>
      </c>
      <c r="BB606" s="111">
        <f t="shared" si="258"/>
        <v>0</v>
      </c>
      <c r="BC606" s="111">
        <f t="shared" si="258"/>
        <v>0</v>
      </c>
      <c r="BD606" s="111">
        <f t="shared" si="258"/>
        <v>0</v>
      </c>
      <c r="BE606" s="111">
        <f t="shared" si="258"/>
        <v>0</v>
      </c>
      <c r="BF606" s="111">
        <f t="shared" si="258"/>
        <v>0</v>
      </c>
      <c r="BG606" s="111">
        <f t="shared" si="258"/>
        <v>0</v>
      </c>
      <c r="BH606" s="111">
        <f t="shared" si="258"/>
        <v>0</v>
      </c>
      <c r="BI606" s="111">
        <f t="shared" si="258"/>
        <v>0</v>
      </c>
      <c r="BJ606" s="111">
        <f t="shared" si="258"/>
        <v>0</v>
      </c>
      <c r="BK606" s="111">
        <f t="shared" si="258"/>
        <v>0</v>
      </c>
      <c r="BL606" s="111">
        <f t="shared" si="258"/>
        <v>0</v>
      </c>
      <c r="BM606" s="111">
        <f t="shared" si="258"/>
        <v>0</v>
      </c>
      <c r="BN606" s="111">
        <f t="shared" si="258"/>
        <v>0</v>
      </c>
      <c r="BO606" s="111">
        <f t="shared" si="258"/>
        <v>0</v>
      </c>
      <c r="BP606" s="111">
        <f t="shared" ref="BP606:CP606" si="259">Forecast_year_amenity_cost*Extrapolation_mask</f>
        <v>0</v>
      </c>
      <c r="BQ606" s="111">
        <f t="shared" si="259"/>
        <v>0</v>
      </c>
      <c r="BR606" s="111">
        <f t="shared" si="259"/>
        <v>0</v>
      </c>
      <c r="BS606" s="111">
        <f t="shared" si="259"/>
        <v>0</v>
      </c>
      <c r="BT606" s="111">
        <f t="shared" si="259"/>
        <v>0</v>
      </c>
      <c r="BU606" s="111">
        <f t="shared" si="259"/>
        <v>0</v>
      </c>
      <c r="BV606" s="111">
        <f t="shared" si="259"/>
        <v>0</v>
      </c>
      <c r="BW606" s="111">
        <f t="shared" si="259"/>
        <v>0</v>
      </c>
      <c r="BX606" s="111">
        <f t="shared" si="259"/>
        <v>0</v>
      </c>
      <c r="BY606" s="111">
        <f t="shared" si="259"/>
        <v>0</v>
      </c>
      <c r="BZ606" s="111">
        <f t="shared" si="259"/>
        <v>0</v>
      </c>
      <c r="CA606" s="111">
        <f t="shared" si="259"/>
        <v>0</v>
      </c>
      <c r="CB606" s="111">
        <f t="shared" si="259"/>
        <v>0</v>
      </c>
      <c r="CC606" s="111">
        <f t="shared" si="259"/>
        <v>0</v>
      </c>
      <c r="CD606" s="111">
        <f t="shared" si="259"/>
        <v>0</v>
      </c>
      <c r="CE606" s="111">
        <f t="shared" si="259"/>
        <v>0</v>
      </c>
      <c r="CF606" s="111">
        <f t="shared" si="259"/>
        <v>0</v>
      </c>
      <c r="CG606" s="111">
        <f t="shared" si="259"/>
        <v>0</v>
      </c>
      <c r="CH606" s="111">
        <f t="shared" si="259"/>
        <v>0</v>
      </c>
      <c r="CI606" s="111">
        <f t="shared" si="259"/>
        <v>0</v>
      </c>
      <c r="CJ606" s="111">
        <f t="shared" si="259"/>
        <v>0</v>
      </c>
      <c r="CK606" s="111">
        <f t="shared" si="259"/>
        <v>0</v>
      </c>
      <c r="CL606" s="111">
        <f t="shared" si="259"/>
        <v>0</v>
      </c>
      <c r="CM606" s="111">
        <f t="shared" si="259"/>
        <v>0</v>
      </c>
      <c r="CN606" s="111">
        <f t="shared" si="259"/>
        <v>0</v>
      </c>
      <c r="CO606" s="111">
        <f t="shared" si="259"/>
        <v>0</v>
      </c>
      <c r="CP606" s="111">
        <f t="shared" si="259"/>
        <v>0</v>
      </c>
      <c r="CQ606" s="3" t="s">
        <v>691</v>
      </c>
    </row>
    <row r="607" spans="1:95" ht="14.45" outlineLevel="2">
      <c r="A607" s="97"/>
      <c r="B607" s="97" t="s">
        <v>685</v>
      </c>
      <c r="C607" s="97"/>
      <c r="D607" s="111">
        <f t="shared" ref="D607:AI607" si="260">Opening_year_amenity_cost_mask+Forecast_year_amenity_cost_mask+Interpolation_amenity_cost_mask+Extrapolation_amenity_cost_mask</f>
        <v>0</v>
      </c>
      <c r="E607" s="111">
        <f t="shared" si="260"/>
        <v>0</v>
      </c>
      <c r="F607" s="111">
        <f t="shared" si="260"/>
        <v>0</v>
      </c>
      <c r="G607" s="111">
        <f t="shared" si="260"/>
        <v>0</v>
      </c>
      <c r="H607" s="111">
        <f t="shared" si="260"/>
        <v>0</v>
      </c>
      <c r="I607" s="111">
        <f t="shared" si="260"/>
        <v>0</v>
      </c>
      <c r="J607" s="111">
        <f t="shared" si="260"/>
        <v>0</v>
      </c>
      <c r="K607" s="111">
        <f t="shared" si="260"/>
        <v>0</v>
      </c>
      <c r="L607" s="111">
        <f t="shared" si="260"/>
        <v>0</v>
      </c>
      <c r="M607" s="111">
        <f t="shared" si="260"/>
        <v>0</v>
      </c>
      <c r="N607" s="111">
        <f t="shared" si="260"/>
        <v>0</v>
      </c>
      <c r="O607" s="111">
        <f t="shared" si="260"/>
        <v>0</v>
      </c>
      <c r="P607" s="111">
        <f t="shared" si="260"/>
        <v>0</v>
      </c>
      <c r="Q607" s="111">
        <f t="shared" si="260"/>
        <v>0</v>
      </c>
      <c r="R607" s="111">
        <f t="shared" si="260"/>
        <v>0</v>
      </c>
      <c r="S607" s="111">
        <f t="shared" si="260"/>
        <v>0</v>
      </c>
      <c r="T607" s="111">
        <f t="shared" si="260"/>
        <v>0</v>
      </c>
      <c r="U607" s="111">
        <f t="shared" si="260"/>
        <v>0</v>
      </c>
      <c r="V607" s="111">
        <f t="shared" si="260"/>
        <v>0</v>
      </c>
      <c r="W607" s="111">
        <f t="shared" si="260"/>
        <v>0</v>
      </c>
      <c r="X607" s="111">
        <f t="shared" si="260"/>
        <v>0</v>
      </c>
      <c r="Y607" s="111">
        <f t="shared" si="260"/>
        <v>0</v>
      </c>
      <c r="Z607" s="111">
        <f t="shared" si="260"/>
        <v>0</v>
      </c>
      <c r="AA607" s="111">
        <f t="shared" si="260"/>
        <v>0</v>
      </c>
      <c r="AB607" s="111">
        <f t="shared" si="260"/>
        <v>0</v>
      </c>
      <c r="AC607" s="111">
        <f t="shared" si="260"/>
        <v>0</v>
      </c>
      <c r="AD607" s="111">
        <f t="shared" si="260"/>
        <v>0</v>
      </c>
      <c r="AE607" s="111">
        <f t="shared" si="260"/>
        <v>0</v>
      </c>
      <c r="AF607" s="111">
        <f t="shared" si="260"/>
        <v>0</v>
      </c>
      <c r="AG607" s="111">
        <f t="shared" si="260"/>
        <v>0</v>
      </c>
      <c r="AH607" s="111">
        <f t="shared" si="260"/>
        <v>0</v>
      </c>
      <c r="AI607" s="111">
        <f t="shared" si="260"/>
        <v>0</v>
      </c>
      <c r="AJ607" s="111">
        <f t="shared" ref="AJ607:BO607" si="261">Opening_year_amenity_cost_mask+Forecast_year_amenity_cost_mask+Interpolation_amenity_cost_mask+Extrapolation_amenity_cost_mask</f>
        <v>0</v>
      </c>
      <c r="AK607" s="111">
        <f t="shared" si="261"/>
        <v>0</v>
      </c>
      <c r="AL607" s="111">
        <f t="shared" si="261"/>
        <v>0</v>
      </c>
      <c r="AM607" s="111">
        <f t="shared" si="261"/>
        <v>0</v>
      </c>
      <c r="AN607" s="111">
        <f t="shared" si="261"/>
        <v>0</v>
      </c>
      <c r="AO607" s="111">
        <f t="shared" si="261"/>
        <v>0</v>
      </c>
      <c r="AP607" s="111">
        <f t="shared" si="261"/>
        <v>0</v>
      </c>
      <c r="AQ607" s="111">
        <f t="shared" si="261"/>
        <v>0</v>
      </c>
      <c r="AR607" s="111">
        <f t="shared" si="261"/>
        <v>0</v>
      </c>
      <c r="AS607" s="111">
        <f t="shared" si="261"/>
        <v>0</v>
      </c>
      <c r="AT607" s="111">
        <f t="shared" si="261"/>
        <v>0</v>
      </c>
      <c r="AU607" s="111">
        <f t="shared" si="261"/>
        <v>0</v>
      </c>
      <c r="AV607" s="111">
        <f t="shared" si="261"/>
        <v>0</v>
      </c>
      <c r="AW607" s="111">
        <f t="shared" si="261"/>
        <v>0</v>
      </c>
      <c r="AX607" s="111">
        <f t="shared" si="261"/>
        <v>0</v>
      </c>
      <c r="AY607" s="111">
        <f t="shared" si="261"/>
        <v>0</v>
      </c>
      <c r="AZ607" s="111">
        <f t="shared" si="261"/>
        <v>0</v>
      </c>
      <c r="BA607" s="111">
        <f t="shared" si="261"/>
        <v>0</v>
      </c>
      <c r="BB607" s="111">
        <f t="shared" si="261"/>
        <v>0</v>
      </c>
      <c r="BC607" s="111">
        <f t="shared" si="261"/>
        <v>0</v>
      </c>
      <c r="BD607" s="111">
        <f t="shared" si="261"/>
        <v>0</v>
      </c>
      <c r="BE607" s="111">
        <f t="shared" si="261"/>
        <v>0</v>
      </c>
      <c r="BF607" s="111">
        <f t="shared" si="261"/>
        <v>0</v>
      </c>
      <c r="BG607" s="111">
        <f t="shared" si="261"/>
        <v>0</v>
      </c>
      <c r="BH607" s="111">
        <f t="shared" si="261"/>
        <v>0</v>
      </c>
      <c r="BI607" s="111">
        <f t="shared" si="261"/>
        <v>0</v>
      </c>
      <c r="BJ607" s="111">
        <f t="shared" si="261"/>
        <v>0</v>
      </c>
      <c r="BK607" s="111">
        <f t="shared" si="261"/>
        <v>0</v>
      </c>
      <c r="BL607" s="111">
        <f t="shared" si="261"/>
        <v>0</v>
      </c>
      <c r="BM607" s="111">
        <f t="shared" si="261"/>
        <v>0</v>
      </c>
      <c r="BN607" s="111">
        <f t="shared" si="261"/>
        <v>0</v>
      </c>
      <c r="BO607" s="111">
        <f t="shared" si="261"/>
        <v>0</v>
      </c>
      <c r="BP607" s="111">
        <f t="shared" ref="BP607:CP607" si="262">Opening_year_amenity_cost_mask+Forecast_year_amenity_cost_mask+Interpolation_amenity_cost_mask+Extrapolation_amenity_cost_mask</f>
        <v>0</v>
      </c>
      <c r="BQ607" s="111">
        <f t="shared" si="262"/>
        <v>0</v>
      </c>
      <c r="BR607" s="111">
        <f t="shared" si="262"/>
        <v>0</v>
      </c>
      <c r="BS607" s="111">
        <f t="shared" si="262"/>
        <v>0</v>
      </c>
      <c r="BT607" s="111">
        <f t="shared" si="262"/>
        <v>0</v>
      </c>
      <c r="BU607" s="111">
        <f t="shared" si="262"/>
        <v>0</v>
      </c>
      <c r="BV607" s="111">
        <f t="shared" si="262"/>
        <v>0</v>
      </c>
      <c r="BW607" s="111">
        <f t="shared" si="262"/>
        <v>0</v>
      </c>
      <c r="BX607" s="111">
        <f t="shared" si="262"/>
        <v>0</v>
      </c>
      <c r="BY607" s="111">
        <f t="shared" si="262"/>
        <v>0</v>
      </c>
      <c r="BZ607" s="111">
        <f t="shared" si="262"/>
        <v>0</v>
      </c>
      <c r="CA607" s="111">
        <f t="shared" si="262"/>
        <v>0</v>
      </c>
      <c r="CB607" s="111">
        <f t="shared" si="262"/>
        <v>0</v>
      </c>
      <c r="CC607" s="111">
        <f t="shared" si="262"/>
        <v>0</v>
      </c>
      <c r="CD607" s="111">
        <f t="shared" si="262"/>
        <v>0</v>
      </c>
      <c r="CE607" s="111">
        <f t="shared" si="262"/>
        <v>0</v>
      </c>
      <c r="CF607" s="111">
        <f t="shared" si="262"/>
        <v>0</v>
      </c>
      <c r="CG607" s="111">
        <f t="shared" si="262"/>
        <v>0</v>
      </c>
      <c r="CH607" s="111">
        <f t="shared" si="262"/>
        <v>0</v>
      </c>
      <c r="CI607" s="111">
        <f t="shared" si="262"/>
        <v>0</v>
      </c>
      <c r="CJ607" s="111">
        <f t="shared" si="262"/>
        <v>0</v>
      </c>
      <c r="CK607" s="111">
        <f t="shared" si="262"/>
        <v>0</v>
      </c>
      <c r="CL607" s="111">
        <f t="shared" si="262"/>
        <v>0</v>
      </c>
      <c r="CM607" s="111">
        <f t="shared" si="262"/>
        <v>0</v>
      </c>
      <c r="CN607" s="111">
        <f t="shared" si="262"/>
        <v>0</v>
      </c>
      <c r="CO607" s="111">
        <f t="shared" si="262"/>
        <v>0</v>
      </c>
      <c r="CP607" s="111">
        <f t="shared" si="262"/>
        <v>0</v>
      </c>
      <c r="CQ607" s="3" t="s">
        <v>692</v>
      </c>
    </row>
    <row r="608" spans="1:95" ht="14.45" outlineLevel="2">
      <c r="A608" s="97"/>
      <c r="B608" s="97"/>
      <c r="C608" s="97"/>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c r="AO608" s="114"/>
      <c r="AP608" s="114"/>
      <c r="AQ608" s="114"/>
      <c r="AR608" s="114"/>
      <c r="AS608" s="114"/>
      <c r="AT608" s="114"/>
      <c r="AU608" s="114"/>
      <c r="AV608" s="114"/>
      <c r="AW608" s="114"/>
      <c r="AX608" s="114"/>
      <c r="AY608" s="114"/>
      <c r="AZ608" s="114"/>
      <c r="BA608" s="114"/>
      <c r="BB608" s="114"/>
      <c r="BC608" s="114"/>
      <c r="BD608" s="114"/>
      <c r="BE608" s="114"/>
      <c r="BF608" s="114"/>
      <c r="BG608" s="114"/>
      <c r="BH608" s="114"/>
      <c r="BI608" s="114"/>
      <c r="BJ608" s="114"/>
      <c r="BK608" s="114"/>
      <c r="BL608" s="114"/>
      <c r="BM608" s="114"/>
      <c r="BN608" s="114"/>
      <c r="BO608" s="114"/>
      <c r="BP608" s="114"/>
      <c r="BQ608" s="114"/>
      <c r="BR608" s="114"/>
      <c r="BS608" s="114"/>
      <c r="BT608" s="114"/>
      <c r="BU608" s="114"/>
      <c r="BV608" s="114"/>
      <c r="BW608" s="114"/>
      <c r="BX608" s="114"/>
      <c r="BY608" s="114"/>
      <c r="BZ608" s="114"/>
      <c r="CA608" s="114"/>
      <c r="CB608" s="114"/>
      <c r="CC608" s="114"/>
      <c r="CD608" s="114"/>
      <c r="CE608" s="114"/>
      <c r="CF608" s="114"/>
      <c r="CG608" s="114"/>
      <c r="CH608" s="114"/>
      <c r="CI608" s="114"/>
      <c r="CJ608" s="114"/>
      <c r="CK608" s="114"/>
      <c r="CL608" s="114"/>
      <c r="CM608" s="114"/>
      <c r="CN608" s="114"/>
      <c r="CO608" s="114"/>
      <c r="CP608" s="114"/>
      <c r="CQ608" s="3"/>
    </row>
    <row r="609" spans="1:95" s="5" customFormat="1" ht="18.75" customHeight="1" outlineLevel="2">
      <c r="B609" s="5" t="s">
        <v>693</v>
      </c>
    </row>
    <row r="610" spans="1:95" s="4" customFormat="1" ht="18.75" customHeight="1" outlineLevel="2">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c r="AN610" s="62"/>
      <c r="AO610" s="62"/>
      <c r="AP610" s="62"/>
      <c r="AQ610" s="62"/>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c r="CC610" s="62"/>
      <c r="CD610" s="62"/>
      <c r="CE610" s="62"/>
      <c r="CF610" s="62"/>
      <c r="CG610" s="62"/>
      <c r="CH610" s="62"/>
      <c r="CI610" s="62"/>
      <c r="CJ610" s="62"/>
      <c r="CK610" s="62"/>
      <c r="CL610" s="62"/>
      <c r="CM610" s="62"/>
      <c r="CN610" s="62"/>
      <c r="CO610" s="62"/>
      <c r="CP610" s="62"/>
      <c r="CQ610" s="62"/>
    </row>
    <row r="611" spans="1:95" ht="14.25" customHeight="1" outlineLevel="2">
      <c r="A611" s="97"/>
      <c r="B611" s="134"/>
      <c r="C611" s="134"/>
      <c r="D611" s="12">
        <v>2010</v>
      </c>
      <c r="E611" s="12">
        <v>2011</v>
      </c>
      <c r="F611" s="12">
        <v>2012</v>
      </c>
      <c r="G611" s="12">
        <v>2013</v>
      </c>
      <c r="H611" s="12">
        <v>2014</v>
      </c>
      <c r="I611" s="12">
        <v>2015</v>
      </c>
      <c r="J611" s="12">
        <v>2016</v>
      </c>
      <c r="K611" s="12">
        <v>2017</v>
      </c>
      <c r="L611" s="12">
        <v>2018</v>
      </c>
      <c r="M611" s="12">
        <v>2019</v>
      </c>
      <c r="N611" s="12">
        <v>2020</v>
      </c>
      <c r="O611" s="12">
        <v>2021</v>
      </c>
      <c r="P611" s="12">
        <v>2022</v>
      </c>
      <c r="Q611" s="12">
        <v>2023</v>
      </c>
      <c r="R611" s="12">
        <v>2024</v>
      </c>
      <c r="S611" s="12">
        <v>2025</v>
      </c>
      <c r="T611" s="12">
        <v>2026</v>
      </c>
      <c r="U611" s="12">
        <v>2027</v>
      </c>
      <c r="V611" s="12">
        <v>2028</v>
      </c>
      <c r="W611" s="12">
        <v>2029</v>
      </c>
      <c r="X611" s="12">
        <v>2030</v>
      </c>
      <c r="Y611" s="12">
        <v>2031</v>
      </c>
      <c r="Z611" s="12">
        <v>2032</v>
      </c>
      <c r="AA611" s="12">
        <v>2033</v>
      </c>
      <c r="AB611" s="12">
        <v>2034</v>
      </c>
      <c r="AC611" s="12">
        <v>2035</v>
      </c>
      <c r="AD611" s="12">
        <v>2036</v>
      </c>
      <c r="AE611" s="12">
        <v>2037</v>
      </c>
      <c r="AF611" s="12">
        <v>2038</v>
      </c>
      <c r="AG611" s="12">
        <v>2039</v>
      </c>
      <c r="AH611" s="12">
        <v>2040</v>
      </c>
      <c r="AI611" s="12">
        <v>2041</v>
      </c>
      <c r="AJ611" s="12">
        <v>2042</v>
      </c>
      <c r="AK611" s="12">
        <v>2043</v>
      </c>
      <c r="AL611" s="12">
        <v>2044</v>
      </c>
      <c r="AM611" s="12">
        <v>2045</v>
      </c>
      <c r="AN611" s="12">
        <v>2046</v>
      </c>
      <c r="AO611" s="12">
        <v>2047</v>
      </c>
      <c r="AP611" s="12">
        <v>2048</v>
      </c>
      <c r="AQ611" s="12">
        <v>2049</v>
      </c>
      <c r="AR611" s="12">
        <v>2050</v>
      </c>
      <c r="AS611" s="12">
        <v>2051</v>
      </c>
      <c r="AT611" s="12">
        <v>2052</v>
      </c>
      <c r="AU611" s="12">
        <v>2053</v>
      </c>
      <c r="AV611" s="12">
        <v>2054</v>
      </c>
      <c r="AW611" s="12">
        <v>2055</v>
      </c>
      <c r="AX611" s="12">
        <v>2056</v>
      </c>
      <c r="AY611" s="12">
        <v>2057</v>
      </c>
      <c r="AZ611" s="12">
        <v>2058</v>
      </c>
      <c r="BA611" s="12">
        <v>2059</v>
      </c>
      <c r="BB611" s="12">
        <v>2060</v>
      </c>
      <c r="BC611" s="12">
        <v>2061</v>
      </c>
      <c r="BD611" s="12">
        <v>2062</v>
      </c>
      <c r="BE611" s="12">
        <v>2063</v>
      </c>
      <c r="BF611" s="12">
        <v>2064</v>
      </c>
      <c r="BG611" s="12">
        <v>2065</v>
      </c>
      <c r="BH611" s="12">
        <v>2066</v>
      </c>
      <c r="BI611" s="12">
        <v>2067</v>
      </c>
      <c r="BJ611" s="12">
        <v>2068</v>
      </c>
      <c r="BK611" s="12">
        <v>2069</v>
      </c>
      <c r="BL611" s="12">
        <v>2070</v>
      </c>
      <c r="BM611" s="12">
        <v>2071</v>
      </c>
      <c r="BN611" s="12">
        <v>2072</v>
      </c>
      <c r="BO611" s="12">
        <v>2073</v>
      </c>
      <c r="BP611" s="12">
        <v>2074</v>
      </c>
      <c r="BQ611" s="12">
        <v>2075</v>
      </c>
      <c r="BR611" s="12">
        <v>2076</v>
      </c>
      <c r="BS611" s="12">
        <v>2077</v>
      </c>
      <c r="BT611" s="12">
        <v>2078</v>
      </c>
      <c r="BU611" s="12">
        <v>2079</v>
      </c>
      <c r="BV611" s="12">
        <v>2080</v>
      </c>
      <c r="BW611" s="12">
        <v>2081</v>
      </c>
      <c r="BX611" s="12">
        <v>2082</v>
      </c>
      <c r="BY611" s="12">
        <v>2083</v>
      </c>
      <c r="BZ611" s="12">
        <v>2084</v>
      </c>
      <c r="CA611" s="12">
        <v>2085</v>
      </c>
      <c r="CB611" s="12">
        <v>2086</v>
      </c>
      <c r="CC611" s="12">
        <v>2087</v>
      </c>
      <c r="CD611" s="12">
        <v>2088</v>
      </c>
      <c r="CE611" s="12">
        <v>2089</v>
      </c>
      <c r="CF611" s="12">
        <v>2090</v>
      </c>
      <c r="CG611" s="12">
        <v>2091</v>
      </c>
      <c r="CH611" s="12">
        <v>2092</v>
      </c>
      <c r="CI611" s="12">
        <v>2093</v>
      </c>
      <c r="CJ611" s="12">
        <v>2094</v>
      </c>
      <c r="CK611" s="12">
        <v>2095</v>
      </c>
      <c r="CL611" s="12">
        <v>2096</v>
      </c>
      <c r="CM611" s="12">
        <v>2097</v>
      </c>
      <c r="CN611" s="12">
        <v>2098</v>
      </c>
      <c r="CO611" s="12">
        <v>2099</v>
      </c>
      <c r="CP611" s="12">
        <v>2100</v>
      </c>
      <c r="CQ611" s="97"/>
    </row>
    <row r="612" spans="1:95" ht="14.45" outlineLevel="2">
      <c r="A612" s="97"/>
      <c r="B612" s="97" t="s">
        <v>59</v>
      </c>
      <c r="C612" s="97"/>
      <c r="D612" s="111">
        <f t="shared" ref="D612:AI612" si="263">Opening_year_AMI_cost*Opening_year_mask</f>
        <v>0</v>
      </c>
      <c r="E612" s="111">
        <f t="shared" si="263"/>
        <v>0</v>
      </c>
      <c r="F612" s="111">
        <f t="shared" si="263"/>
        <v>0</v>
      </c>
      <c r="G612" s="111">
        <f t="shared" si="263"/>
        <v>0</v>
      </c>
      <c r="H612" s="111">
        <f t="shared" si="263"/>
        <v>0</v>
      </c>
      <c r="I612" s="111">
        <f t="shared" si="263"/>
        <v>0</v>
      </c>
      <c r="J612" s="111">
        <f t="shared" si="263"/>
        <v>0</v>
      </c>
      <c r="K612" s="111">
        <f t="shared" si="263"/>
        <v>0</v>
      </c>
      <c r="L612" s="111">
        <f t="shared" si="263"/>
        <v>0</v>
      </c>
      <c r="M612" s="111">
        <f t="shared" si="263"/>
        <v>0</v>
      </c>
      <c r="N612" s="111">
        <f t="shared" si="263"/>
        <v>0</v>
      </c>
      <c r="O612" s="111">
        <f t="shared" si="263"/>
        <v>0</v>
      </c>
      <c r="P612" s="111">
        <f t="shared" si="263"/>
        <v>0</v>
      </c>
      <c r="Q612" s="111">
        <f t="shared" si="263"/>
        <v>0</v>
      </c>
      <c r="R612" s="111">
        <f t="shared" si="263"/>
        <v>0</v>
      </c>
      <c r="S612" s="111">
        <f t="shared" si="263"/>
        <v>0</v>
      </c>
      <c r="T612" s="111">
        <f t="shared" si="263"/>
        <v>0</v>
      </c>
      <c r="U612" s="111">
        <f t="shared" si="263"/>
        <v>0</v>
      </c>
      <c r="V612" s="111">
        <f t="shared" si="263"/>
        <v>0</v>
      </c>
      <c r="W612" s="111">
        <f t="shared" si="263"/>
        <v>0</v>
      </c>
      <c r="X612" s="111">
        <f t="shared" si="263"/>
        <v>0</v>
      </c>
      <c r="Y612" s="111">
        <f t="shared" si="263"/>
        <v>0</v>
      </c>
      <c r="Z612" s="111">
        <f t="shared" si="263"/>
        <v>0</v>
      </c>
      <c r="AA612" s="111">
        <f t="shared" si="263"/>
        <v>0</v>
      </c>
      <c r="AB612" s="111">
        <f t="shared" si="263"/>
        <v>0</v>
      </c>
      <c r="AC612" s="111">
        <f t="shared" si="263"/>
        <v>0</v>
      </c>
      <c r="AD612" s="111">
        <f t="shared" si="263"/>
        <v>0</v>
      </c>
      <c r="AE612" s="111">
        <f t="shared" si="263"/>
        <v>0</v>
      </c>
      <c r="AF612" s="111">
        <f t="shared" si="263"/>
        <v>0</v>
      </c>
      <c r="AG612" s="111">
        <f t="shared" si="263"/>
        <v>0</v>
      </c>
      <c r="AH612" s="111">
        <f t="shared" si="263"/>
        <v>0</v>
      </c>
      <c r="AI612" s="111">
        <f t="shared" si="263"/>
        <v>0</v>
      </c>
      <c r="AJ612" s="111">
        <f t="shared" ref="AJ612:BO612" si="264">Opening_year_AMI_cost*Opening_year_mask</f>
        <v>0</v>
      </c>
      <c r="AK612" s="111">
        <f t="shared" si="264"/>
        <v>0</v>
      </c>
      <c r="AL612" s="111">
        <f t="shared" si="264"/>
        <v>0</v>
      </c>
      <c r="AM612" s="111">
        <f t="shared" si="264"/>
        <v>0</v>
      </c>
      <c r="AN612" s="111">
        <f t="shared" si="264"/>
        <v>0</v>
      </c>
      <c r="AO612" s="111">
        <f t="shared" si="264"/>
        <v>0</v>
      </c>
      <c r="AP612" s="111">
        <f t="shared" si="264"/>
        <v>0</v>
      </c>
      <c r="AQ612" s="111">
        <f t="shared" si="264"/>
        <v>0</v>
      </c>
      <c r="AR612" s="111">
        <f t="shared" si="264"/>
        <v>0</v>
      </c>
      <c r="AS612" s="111">
        <f t="shared" si="264"/>
        <v>0</v>
      </c>
      <c r="AT612" s="111">
        <f t="shared" si="264"/>
        <v>0</v>
      </c>
      <c r="AU612" s="111">
        <f t="shared" si="264"/>
        <v>0</v>
      </c>
      <c r="AV612" s="111">
        <f t="shared" si="264"/>
        <v>0</v>
      </c>
      <c r="AW612" s="111">
        <f t="shared" si="264"/>
        <v>0</v>
      </c>
      <c r="AX612" s="111">
        <f t="shared" si="264"/>
        <v>0</v>
      </c>
      <c r="AY612" s="111">
        <f t="shared" si="264"/>
        <v>0</v>
      </c>
      <c r="AZ612" s="111">
        <f t="shared" si="264"/>
        <v>0</v>
      </c>
      <c r="BA612" s="111">
        <f t="shared" si="264"/>
        <v>0</v>
      </c>
      <c r="BB612" s="111">
        <f t="shared" si="264"/>
        <v>0</v>
      </c>
      <c r="BC612" s="111">
        <f t="shared" si="264"/>
        <v>0</v>
      </c>
      <c r="BD612" s="111">
        <f t="shared" si="264"/>
        <v>0</v>
      </c>
      <c r="BE612" s="111">
        <f t="shared" si="264"/>
        <v>0</v>
      </c>
      <c r="BF612" s="111">
        <f t="shared" si="264"/>
        <v>0</v>
      </c>
      <c r="BG612" s="111">
        <f t="shared" si="264"/>
        <v>0</v>
      </c>
      <c r="BH612" s="111">
        <f t="shared" si="264"/>
        <v>0</v>
      </c>
      <c r="BI612" s="111">
        <f t="shared" si="264"/>
        <v>0</v>
      </c>
      <c r="BJ612" s="111">
        <f t="shared" si="264"/>
        <v>0</v>
      </c>
      <c r="BK612" s="111">
        <f t="shared" si="264"/>
        <v>0</v>
      </c>
      <c r="BL612" s="111">
        <f t="shared" si="264"/>
        <v>0</v>
      </c>
      <c r="BM612" s="111">
        <f t="shared" si="264"/>
        <v>0</v>
      </c>
      <c r="BN612" s="111">
        <f t="shared" si="264"/>
        <v>0</v>
      </c>
      <c r="BO612" s="111">
        <f t="shared" si="264"/>
        <v>0</v>
      </c>
      <c r="BP612" s="111">
        <f t="shared" ref="BP612:CP612" si="265">Opening_year_AMI_cost*Opening_year_mask</f>
        <v>0</v>
      </c>
      <c r="BQ612" s="111">
        <f t="shared" si="265"/>
        <v>0</v>
      </c>
      <c r="BR612" s="111">
        <f t="shared" si="265"/>
        <v>0</v>
      </c>
      <c r="BS612" s="111">
        <f t="shared" si="265"/>
        <v>0</v>
      </c>
      <c r="BT612" s="111">
        <f t="shared" si="265"/>
        <v>0</v>
      </c>
      <c r="BU612" s="111">
        <f t="shared" si="265"/>
        <v>0</v>
      </c>
      <c r="BV612" s="111">
        <f t="shared" si="265"/>
        <v>0</v>
      </c>
      <c r="BW612" s="111">
        <f t="shared" si="265"/>
        <v>0</v>
      </c>
      <c r="BX612" s="111">
        <f t="shared" si="265"/>
        <v>0</v>
      </c>
      <c r="BY612" s="111">
        <f t="shared" si="265"/>
        <v>0</v>
      </c>
      <c r="BZ612" s="111">
        <f t="shared" si="265"/>
        <v>0</v>
      </c>
      <c r="CA612" s="111">
        <f t="shared" si="265"/>
        <v>0</v>
      </c>
      <c r="CB612" s="111">
        <f t="shared" si="265"/>
        <v>0</v>
      </c>
      <c r="CC612" s="111">
        <f t="shared" si="265"/>
        <v>0</v>
      </c>
      <c r="CD612" s="111">
        <f t="shared" si="265"/>
        <v>0</v>
      </c>
      <c r="CE612" s="111">
        <f t="shared" si="265"/>
        <v>0</v>
      </c>
      <c r="CF612" s="111">
        <f t="shared" si="265"/>
        <v>0</v>
      </c>
      <c r="CG612" s="111">
        <f t="shared" si="265"/>
        <v>0</v>
      </c>
      <c r="CH612" s="111">
        <f t="shared" si="265"/>
        <v>0</v>
      </c>
      <c r="CI612" s="111">
        <f t="shared" si="265"/>
        <v>0</v>
      </c>
      <c r="CJ612" s="111">
        <f t="shared" si="265"/>
        <v>0</v>
      </c>
      <c r="CK612" s="111">
        <f t="shared" si="265"/>
        <v>0</v>
      </c>
      <c r="CL612" s="111">
        <f t="shared" si="265"/>
        <v>0</v>
      </c>
      <c r="CM612" s="111">
        <f t="shared" si="265"/>
        <v>0</v>
      </c>
      <c r="CN612" s="111">
        <f t="shared" si="265"/>
        <v>0</v>
      </c>
      <c r="CO612" s="111">
        <f t="shared" si="265"/>
        <v>0</v>
      </c>
      <c r="CP612" s="111">
        <f t="shared" si="265"/>
        <v>0</v>
      </c>
      <c r="CQ612" s="3" t="s">
        <v>694</v>
      </c>
    </row>
    <row r="613" spans="1:95" ht="14.45" outlineLevel="2">
      <c r="A613" s="97"/>
      <c r="B613" s="97" t="s">
        <v>61</v>
      </c>
      <c r="C613" s="97"/>
      <c r="D613" s="111">
        <f t="shared" ref="D613:AI613" si="266">Forecast_year_AMI_cost*Forecast_year_mask</f>
        <v>0</v>
      </c>
      <c r="E613" s="111">
        <f t="shared" si="266"/>
        <v>0</v>
      </c>
      <c r="F613" s="111">
        <f t="shared" si="266"/>
        <v>0</v>
      </c>
      <c r="G613" s="111">
        <f t="shared" si="266"/>
        <v>0</v>
      </c>
      <c r="H613" s="111">
        <f t="shared" si="266"/>
        <v>0</v>
      </c>
      <c r="I613" s="111">
        <f t="shared" si="266"/>
        <v>0</v>
      </c>
      <c r="J613" s="111">
        <f t="shared" si="266"/>
        <v>0</v>
      </c>
      <c r="K613" s="111">
        <f t="shared" si="266"/>
        <v>0</v>
      </c>
      <c r="L613" s="111">
        <f t="shared" si="266"/>
        <v>0</v>
      </c>
      <c r="M613" s="111">
        <f t="shared" si="266"/>
        <v>0</v>
      </c>
      <c r="N613" s="111">
        <f t="shared" si="266"/>
        <v>0</v>
      </c>
      <c r="O613" s="111">
        <f t="shared" si="266"/>
        <v>0</v>
      </c>
      <c r="P613" s="111">
        <f t="shared" si="266"/>
        <v>0</v>
      </c>
      <c r="Q613" s="111">
        <f t="shared" si="266"/>
        <v>0</v>
      </c>
      <c r="R613" s="111">
        <f t="shared" si="266"/>
        <v>0</v>
      </c>
      <c r="S613" s="111">
        <f t="shared" si="266"/>
        <v>0</v>
      </c>
      <c r="T613" s="111">
        <f t="shared" si="266"/>
        <v>0</v>
      </c>
      <c r="U613" s="111">
        <f t="shared" si="266"/>
        <v>0</v>
      </c>
      <c r="V613" s="111">
        <f t="shared" si="266"/>
        <v>0</v>
      </c>
      <c r="W613" s="111">
        <f t="shared" si="266"/>
        <v>0</v>
      </c>
      <c r="X613" s="111">
        <f t="shared" si="266"/>
        <v>0</v>
      </c>
      <c r="Y613" s="111">
        <f t="shared" si="266"/>
        <v>0</v>
      </c>
      <c r="Z613" s="111">
        <f t="shared" si="266"/>
        <v>0</v>
      </c>
      <c r="AA613" s="111">
        <f t="shared" si="266"/>
        <v>0</v>
      </c>
      <c r="AB613" s="111">
        <f t="shared" si="266"/>
        <v>0</v>
      </c>
      <c r="AC613" s="111">
        <f t="shared" si="266"/>
        <v>0</v>
      </c>
      <c r="AD613" s="111">
        <f t="shared" si="266"/>
        <v>0</v>
      </c>
      <c r="AE613" s="111">
        <f t="shared" si="266"/>
        <v>0</v>
      </c>
      <c r="AF613" s="111">
        <f t="shared" si="266"/>
        <v>0</v>
      </c>
      <c r="AG613" s="111">
        <f t="shared" si="266"/>
        <v>0</v>
      </c>
      <c r="AH613" s="111">
        <f t="shared" si="266"/>
        <v>0</v>
      </c>
      <c r="AI613" s="111">
        <f t="shared" si="266"/>
        <v>0</v>
      </c>
      <c r="AJ613" s="111">
        <f t="shared" ref="AJ613:BO613" si="267">Forecast_year_AMI_cost*Forecast_year_mask</f>
        <v>0</v>
      </c>
      <c r="AK613" s="111">
        <f t="shared" si="267"/>
        <v>0</v>
      </c>
      <c r="AL613" s="111">
        <f t="shared" si="267"/>
        <v>0</v>
      </c>
      <c r="AM613" s="111">
        <f t="shared" si="267"/>
        <v>0</v>
      </c>
      <c r="AN613" s="111">
        <f t="shared" si="267"/>
        <v>0</v>
      </c>
      <c r="AO613" s="111">
        <f t="shared" si="267"/>
        <v>0</v>
      </c>
      <c r="AP613" s="111">
        <f t="shared" si="267"/>
        <v>0</v>
      </c>
      <c r="AQ613" s="111">
        <f t="shared" si="267"/>
        <v>0</v>
      </c>
      <c r="AR613" s="111">
        <f t="shared" si="267"/>
        <v>0</v>
      </c>
      <c r="AS613" s="111">
        <f t="shared" si="267"/>
        <v>0</v>
      </c>
      <c r="AT613" s="111">
        <f t="shared" si="267"/>
        <v>0</v>
      </c>
      <c r="AU613" s="111">
        <f t="shared" si="267"/>
        <v>0</v>
      </c>
      <c r="AV613" s="111">
        <f t="shared" si="267"/>
        <v>0</v>
      </c>
      <c r="AW613" s="111">
        <f t="shared" si="267"/>
        <v>0</v>
      </c>
      <c r="AX613" s="111">
        <f t="shared" si="267"/>
        <v>0</v>
      </c>
      <c r="AY613" s="111">
        <f t="shared" si="267"/>
        <v>0</v>
      </c>
      <c r="AZ613" s="111">
        <f t="shared" si="267"/>
        <v>0</v>
      </c>
      <c r="BA613" s="111">
        <f t="shared" si="267"/>
        <v>0</v>
      </c>
      <c r="BB613" s="111">
        <f t="shared" si="267"/>
        <v>0</v>
      </c>
      <c r="BC613" s="111">
        <f t="shared" si="267"/>
        <v>0</v>
      </c>
      <c r="BD613" s="111">
        <f t="shared" si="267"/>
        <v>0</v>
      </c>
      <c r="BE613" s="111">
        <f t="shared" si="267"/>
        <v>0</v>
      </c>
      <c r="BF613" s="111">
        <f t="shared" si="267"/>
        <v>0</v>
      </c>
      <c r="BG613" s="111">
        <f t="shared" si="267"/>
        <v>0</v>
      </c>
      <c r="BH613" s="111">
        <f t="shared" si="267"/>
        <v>0</v>
      </c>
      <c r="BI613" s="111">
        <f t="shared" si="267"/>
        <v>0</v>
      </c>
      <c r="BJ613" s="111">
        <f t="shared" si="267"/>
        <v>0</v>
      </c>
      <c r="BK613" s="111">
        <f t="shared" si="267"/>
        <v>0</v>
      </c>
      <c r="BL613" s="111">
        <f t="shared" si="267"/>
        <v>0</v>
      </c>
      <c r="BM613" s="111">
        <f t="shared" si="267"/>
        <v>0</v>
      </c>
      <c r="BN613" s="111">
        <f t="shared" si="267"/>
        <v>0</v>
      </c>
      <c r="BO613" s="111">
        <f t="shared" si="267"/>
        <v>0</v>
      </c>
      <c r="BP613" s="111">
        <f t="shared" ref="BP613:CP613" si="268">Forecast_year_AMI_cost*Forecast_year_mask</f>
        <v>0</v>
      </c>
      <c r="BQ613" s="111">
        <f t="shared" si="268"/>
        <v>0</v>
      </c>
      <c r="BR613" s="111">
        <f t="shared" si="268"/>
        <v>0</v>
      </c>
      <c r="BS613" s="111">
        <f t="shared" si="268"/>
        <v>0</v>
      </c>
      <c r="BT613" s="111">
        <f t="shared" si="268"/>
        <v>0</v>
      </c>
      <c r="BU613" s="111">
        <f t="shared" si="268"/>
        <v>0</v>
      </c>
      <c r="BV613" s="111">
        <f t="shared" si="268"/>
        <v>0</v>
      </c>
      <c r="BW613" s="111">
        <f t="shared" si="268"/>
        <v>0</v>
      </c>
      <c r="BX613" s="111">
        <f t="shared" si="268"/>
        <v>0</v>
      </c>
      <c r="BY613" s="111">
        <f t="shared" si="268"/>
        <v>0</v>
      </c>
      <c r="BZ613" s="111">
        <f t="shared" si="268"/>
        <v>0</v>
      </c>
      <c r="CA613" s="111">
        <f t="shared" si="268"/>
        <v>0</v>
      </c>
      <c r="CB613" s="111">
        <f t="shared" si="268"/>
        <v>0</v>
      </c>
      <c r="CC613" s="111">
        <f t="shared" si="268"/>
        <v>0</v>
      </c>
      <c r="CD613" s="111">
        <f t="shared" si="268"/>
        <v>0</v>
      </c>
      <c r="CE613" s="111">
        <f t="shared" si="268"/>
        <v>0</v>
      </c>
      <c r="CF613" s="111">
        <f t="shared" si="268"/>
        <v>0</v>
      </c>
      <c r="CG613" s="111">
        <f t="shared" si="268"/>
        <v>0</v>
      </c>
      <c r="CH613" s="111">
        <f t="shared" si="268"/>
        <v>0</v>
      </c>
      <c r="CI613" s="111">
        <f t="shared" si="268"/>
        <v>0</v>
      </c>
      <c r="CJ613" s="111">
        <f t="shared" si="268"/>
        <v>0</v>
      </c>
      <c r="CK613" s="111">
        <f t="shared" si="268"/>
        <v>0</v>
      </c>
      <c r="CL613" s="111">
        <f t="shared" si="268"/>
        <v>0</v>
      </c>
      <c r="CM613" s="111">
        <f t="shared" si="268"/>
        <v>0</v>
      </c>
      <c r="CN613" s="111">
        <f t="shared" si="268"/>
        <v>0</v>
      </c>
      <c r="CO613" s="111">
        <f t="shared" si="268"/>
        <v>0</v>
      </c>
      <c r="CP613" s="111">
        <f t="shared" si="268"/>
        <v>0</v>
      </c>
      <c r="CQ613" s="3" t="s">
        <v>695</v>
      </c>
    </row>
    <row r="614" spans="1:95" ht="14.45" outlineLevel="2">
      <c r="A614" s="97"/>
      <c r="B614" s="97" t="s">
        <v>674</v>
      </c>
      <c r="C614" s="97"/>
      <c r="D614" s="111">
        <f t="shared" ref="D614:AI614" si="269">(Opening_year_AMI_cost+(Difference_AMI_cost)*(year-Opening_year)/(Forecast_and_opening_year_difference))*Interpolation_mask</f>
        <v>0</v>
      </c>
      <c r="E614" s="111">
        <f t="shared" si="269"/>
        <v>0</v>
      </c>
      <c r="F614" s="111">
        <f t="shared" si="269"/>
        <v>0</v>
      </c>
      <c r="G614" s="111">
        <f t="shared" si="269"/>
        <v>0</v>
      </c>
      <c r="H614" s="111">
        <f t="shared" si="269"/>
        <v>0</v>
      </c>
      <c r="I614" s="111">
        <f t="shared" si="269"/>
        <v>0</v>
      </c>
      <c r="J614" s="111">
        <f t="shared" si="269"/>
        <v>0</v>
      </c>
      <c r="K614" s="111">
        <f t="shared" si="269"/>
        <v>0</v>
      </c>
      <c r="L614" s="111">
        <f t="shared" si="269"/>
        <v>0</v>
      </c>
      <c r="M614" s="111">
        <f t="shared" si="269"/>
        <v>0</v>
      </c>
      <c r="N614" s="111">
        <f t="shared" si="269"/>
        <v>0</v>
      </c>
      <c r="O614" s="111">
        <f t="shared" si="269"/>
        <v>0</v>
      </c>
      <c r="P614" s="111">
        <f t="shared" si="269"/>
        <v>0</v>
      </c>
      <c r="Q614" s="111">
        <f t="shared" si="269"/>
        <v>0</v>
      </c>
      <c r="R614" s="111">
        <f t="shared" si="269"/>
        <v>0</v>
      </c>
      <c r="S614" s="111">
        <f t="shared" si="269"/>
        <v>0</v>
      </c>
      <c r="T614" s="111">
        <f t="shared" si="269"/>
        <v>0</v>
      </c>
      <c r="U614" s="111">
        <f t="shared" si="269"/>
        <v>0</v>
      </c>
      <c r="V614" s="111">
        <f t="shared" si="269"/>
        <v>0</v>
      </c>
      <c r="W614" s="111">
        <f t="shared" si="269"/>
        <v>0</v>
      </c>
      <c r="X614" s="111">
        <f t="shared" si="269"/>
        <v>0</v>
      </c>
      <c r="Y614" s="111">
        <f t="shared" si="269"/>
        <v>0</v>
      </c>
      <c r="Z614" s="111">
        <f t="shared" si="269"/>
        <v>0</v>
      </c>
      <c r="AA614" s="111">
        <f t="shared" si="269"/>
        <v>0</v>
      </c>
      <c r="AB614" s="111">
        <f t="shared" si="269"/>
        <v>0</v>
      </c>
      <c r="AC614" s="111">
        <f t="shared" si="269"/>
        <v>0</v>
      </c>
      <c r="AD614" s="111">
        <f t="shared" si="269"/>
        <v>0</v>
      </c>
      <c r="AE614" s="111">
        <f t="shared" si="269"/>
        <v>0</v>
      </c>
      <c r="AF614" s="111">
        <f t="shared" si="269"/>
        <v>0</v>
      </c>
      <c r="AG614" s="111">
        <f t="shared" si="269"/>
        <v>0</v>
      </c>
      <c r="AH614" s="111">
        <f t="shared" si="269"/>
        <v>0</v>
      </c>
      <c r="AI614" s="111">
        <f t="shared" si="269"/>
        <v>0</v>
      </c>
      <c r="AJ614" s="111">
        <f t="shared" ref="AJ614:BO614" si="270">(Opening_year_AMI_cost+(Difference_AMI_cost)*(year-Opening_year)/(Forecast_and_opening_year_difference))*Interpolation_mask</f>
        <v>0</v>
      </c>
      <c r="AK614" s="111">
        <f t="shared" si="270"/>
        <v>0</v>
      </c>
      <c r="AL614" s="111">
        <f t="shared" si="270"/>
        <v>0</v>
      </c>
      <c r="AM614" s="111">
        <f t="shared" si="270"/>
        <v>0</v>
      </c>
      <c r="AN614" s="111">
        <f t="shared" si="270"/>
        <v>0</v>
      </c>
      <c r="AO614" s="111">
        <f t="shared" si="270"/>
        <v>0</v>
      </c>
      <c r="AP614" s="111">
        <f t="shared" si="270"/>
        <v>0</v>
      </c>
      <c r="AQ614" s="111">
        <f t="shared" si="270"/>
        <v>0</v>
      </c>
      <c r="AR614" s="111">
        <f t="shared" si="270"/>
        <v>0</v>
      </c>
      <c r="AS614" s="111">
        <f t="shared" si="270"/>
        <v>0</v>
      </c>
      <c r="AT614" s="111">
        <f t="shared" si="270"/>
        <v>0</v>
      </c>
      <c r="AU614" s="111">
        <f t="shared" si="270"/>
        <v>0</v>
      </c>
      <c r="AV614" s="111">
        <f t="shared" si="270"/>
        <v>0</v>
      </c>
      <c r="AW614" s="111">
        <f t="shared" si="270"/>
        <v>0</v>
      </c>
      <c r="AX614" s="111">
        <f t="shared" si="270"/>
        <v>0</v>
      </c>
      <c r="AY614" s="111">
        <f t="shared" si="270"/>
        <v>0</v>
      </c>
      <c r="AZ614" s="111">
        <f t="shared" si="270"/>
        <v>0</v>
      </c>
      <c r="BA614" s="111">
        <f t="shared" si="270"/>
        <v>0</v>
      </c>
      <c r="BB614" s="111">
        <f t="shared" si="270"/>
        <v>0</v>
      </c>
      <c r="BC614" s="111">
        <f t="shared" si="270"/>
        <v>0</v>
      </c>
      <c r="BD614" s="111">
        <f t="shared" si="270"/>
        <v>0</v>
      </c>
      <c r="BE614" s="111">
        <f t="shared" si="270"/>
        <v>0</v>
      </c>
      <c r="BF614" s="111">
        <f t="shared" si="270"/>
        <v>0</v>
      </c>
      <c r="BG614" s="111">
        <f t="shared" si="270"/>
        <v>0</v>
      </c>
      <c r="BH614" s="111">
        <f t="shared" si="270"/>
        <v>0</v>
      </c>
      <c r="BI614" s="111">
        <f t="shared" si="270"/>
        <v>0</v>
      </c>
      <c r="BJ614" s="111">
        <f t="shared" si="270"/>
        <v>0</v>
      </c>
      <c r="BK614" s="111">
        <f t="shared" si="270"/>
        <v>0</v>
      </c>
      <c r="BL614" s="111">
        <f t="shared" si="270"/>
        <v>0</v>
      </c>
      <c r="BM614" s="111">
        <f t="shared" si="270"/>
        <v>0</v>
      </c>
      <c r="BN614" s="111">
        <f t="shared" si="270"/>
        <v>0</v>
      </c>
      <c r="BO614" s="111">
        <f t="shared" si="270"/>
        <v>0</v>
      </c>
      <c r="BP614" s="111">
        <f t="shared" ref="BP614:CP614" si="271">(Opening_year_AMI_cost+(Difference_AMI_cost)*(year-Opening_year)/(Forecast_and_opening_year_difference))*Interpolation_mask</f>
        <v>0</v>
      </c>
      <c r="BQ614" s="111">
        <f t="shared" si="271"/>
        <v>0</v>
      </c>
      <c r="BR614" s="111">
        <f t="shared" si="271"/>
        <v>0</v>
      </c>
      <c r="BS614" s="111">
        <f t="shared" si="271"/>
        <v>0</v>
      </c>
      <c r="BT614" s="111">
        <f t="shared" si="271"/>
        <v>0</v>
      </c>
      <c r="BU614" s="111">
        <f t="shared" si="271"/>
        <v>0</v>
      </c>
      <c r="BV614" s="111">
        <f t="shared" si="271"/>
        <v>0</v>
      </c>
      <c r="BW614" s="111">
        <f t="shared" si="271"/>
        <v>0</v>
      </c>
      <c r="BX614" s="111">
        <f t="shared" si="271"/>
        <v>0</v>
      </c>
      <c r="BY614" s="111">
        <f t="shared" si="271"/>
        <v>0</v>
      </c>
      <c r="BZ614" s="111">
        <f t="shared" si="271"/>
        <v>0</v>
      </c>
      <c r="CA614" s="111">
        <f t="shared" si="271"/>
        <v>0</v>
      </c>
      <c r="CB614" s="111">
        <f t="shared" si="271"/>
        <v>0</v>
      </c>
      <c r="CC614" s="111">
        <f t="shared" si="271"/>
        <v>0</v>
      </c>
      <c r="CD614" s="111">
        <f t="shared" si="271"/>
        <v>0</v>
      </c>
      <c r="CE614" s="111">
        <f t="shared" si="271"/>
        <v>0</v>
      </c>
      <c r="CF614" s="111">
        <f t="shared" si="271"/>
        <v>0</v>
      </c>
      <c r="CG614" s="111">
        <f t="shared" si="271"/>
        <v>0</v>
      </c>
      <c r="CH614" s="111">
        <f t="shared" si="271"/>
        <v>0</v>
      </c>
      <c r="CI614" s="111">
        <f t="shared" si="271"/>
        <v>0</v>
      </c>
      <c r="CJ614" s="111">
        <f t="shared" si="271"/>
        <v>0</v>
      </c>
      <c r="CK614" s="111">
        <f t="shared" si="271"/>
        <v>0</v>
      </c>
      <c r="CL614" s="111">
        <f t="shared" si="271"/>
        <v>0</v>
      </c>
      <c r="CM614" s="111">
        <f t="shared" si="271"/>
        <v>0</v>
      </c>
      <c r="CN614" s="111">
        <f t="shared" si="271"/>
        <v>0</v>
      </c>
      <c r="CO614" s="111">
        <f t="shared" si="271"/>
        <v>0</v>
      </c>
      <c r="CP614" s="111">
        <f t="shared" si="271"/>
        <v>0</v>
      </c>
      <c r="CQ614" s="3" t="s">
        <v>696</v>
      </c>
    </row>
    <row r="615" spans="1:95" ht="14.45" outlineLevel="2">
      <c r="A615" s="97"/>
      <c r="B615" s="97" t="s">
        <v>676</v>
      </c>
      <c r="C615" s="97"/>
      <c r="D615" s="111">
        <f t="shared" ref="D615:AI615" si="272">Forecast_year_AMI_cost*Extrapolation_mask</f>
        <v>0</v>
      </c>
      <c r="E615" s="111">
        <f t="shared" si="272"/>
        <v>0</v>
      </c>
      <c r="F615" s="111">
        <f t="shared" si="272"/>
        <v>0</v>
      </c>
      <c r="G615" s="111">
        <f t="shared" si="272"/>
        <v>0</v>
      </c>
      <c r="H615" s="111">
        <f t="shared" si="272"/>
        <v>0</v>
      </c>
      <c r="I615" s="111">
        <f t="shared" si="272"/>
        <v>0</v>
      </c>
      <c r="J615" s="111">
        <f t="shared" si="272"/>
        <v>0</v>
      </c>
      <c r="K615" s="111">
        <f t="shared" si="272"/>
        <v>0</v>
      </c>
      <c r="L615" s="111">
        <f t="shared" si="272"/>
        <v>0</v>
      </c>
      <c r="M615" s="111">
        <f t="shared" si="272"/>
        <v>0</v>
      </c>
      <c r="N615" s="111">
        <f t="shared" si="272"/>
        <v>0</v>
      </c>
      <c r="O615" s="111">
        <f t="shared" si="272"/>
        <v>0</v>
      </c>
      <c r="P615" s="111">
        <f t="shared" si="272"/>
        <v>0</v>
      </c>
      <c r="Q615" s="111">
        <f t="shared" si="272"/>
        <v>0</v>
      </c>
      <c r="R615" s="111">
        <f t="shared" si="272"/>
        <v>0</v>
      </c>
      <c r="S615" s="111">
        <f t="shared" si="272"/>
        <v>0</v>
      </c>
      <c r="T615" s="111">
        <f t="shared" si="272"/>
        <v>0</v>
      </c>
      <c r="U615" s="111">
        <f t="shared" si="272"/>
        <v>0</v>
      </c>
      <c r="V615" s="111">
        <f t="shared" si="272"/>
        <v>0</v>
      </c>
      <c r="W615" s="111">
        <f t="shared" si="272"/>
        <v>0</v>
      </c>
      <c r="X615" s="111">
        <f t="shared" si="272"/>
        <v>0</v>
      </c>
      <c r="Y615" s="111">
        <f t="shared" si="272"/>
        <v>0</v>
      </c>
      <c r="Z615" s="111">
        <f t="shared" si="272"/>
        <v>0</v>
      </c>
      <c r="AA615" s="111">
        <f t="shared" si="272"/>
        <v>0</v>
      </c>
      <c r="AB615" s="111">
        <f t="shared" si="272"/>
        <v>0</v>
      </c>
      <c r="AC615" s="111">
        <f t="shared" si="272"/>
        <v>0</v>
      </c>
      <c r="AD615" s="111">
        <f t="shared" si="272"/>
        <v>0</v>
      </c>
      <c r="AE615" s="111">
        <f t="shared" si="272"/>
        <v>0</v>
      </c>
      <c r="AF615" s="111">
        <f t="shared" si="272"/>
        <v>0</v>
      </c>
      <c r="AG615" s="111">
        <f t="shared" si="272"/>
        <v>0</v>
      </c>
      <c r="AH615" s="111">
        <f t="shared" si="272"/>
        <v>0</v>
      </c>
      <c r="AI615" s="111">
        <f t="shared" si="272"/>
        <v>0</v>
      </c>
      <c r="AJ615" s="111">
        <f t="shared" ref="AJ615:BO615" si="273">Forecast_year_AMI_cost*Extrapolation_mask</f>
        <v>0</v>
      </c>
      <c r="AK615" s="111">
        <f t="shared" si="273"/>
        <v>0</v>
      </c>
      <c r="AL615" s="111">
        <f t="shared" si="273"/>
        <v>0</v>
      </c>
      <c r="AM615" s="111">
        <f t="shared" si="273"/>
        <v>0</v>
      </c>
      <c r="AN615" s="111">
        <f t="shared" si="273"/>
        <v>0</v>
      </c>
      <c r="AO615" s="111">
        <f t="shared" si="273"/>
        <v>0</v>
      </c>
      <c r="AP615" s="111">
        <f t="shared" si="273"/>
        <v>0</v>
      </c>
      <c r="AQ615" s="111">
        <f t="shared" si="273"/>
        <v>0</v>
      </c>
      <c r="AR615" s="111">
        <f t="shared" si="273"/>
        <v>0</v>
      </c>
      <c r="AS615" s="111">
        <f t="shared" si="273"/>
        <v>0</v>
      </c>
      <c r="AT615" s="111">
        <f t="shared" si="273"/>
        <v>0</v>
      </c>
      <c r="AU615" s="111">
        <f t="shared" si="273"/>
        <v>0</v>
      </c>
      <c r="AV615" s="111">
        <f t="shared" si="273"/>
        <v>0</v>
      </c>
      <c r="AW615" s="111">
        <f t="shared" si="273"/>
        <v>0</v>
      </c>
      <c r="AX615" s="111">
        <f t="shared" si="273"/>
        <v>0</v>
      </c>
      <c r="AY615" s="111">
        <f t="shared" si="273"/>
        <v>0</v>
      </c>
      <c r="AZ615" s="111">
        <f t="shared" si="273"/>
        <v>0</v>
      </c>
      <c r="BA615" s="111">
        <f t="shared" si="273"/>
        <v>0</v>
      </c>
      <c r="BB615" s="111">
        <f t="shared" si="273"/>
        <v>0</v>
      </c>
      <c r="BC615" s="111">
        <f t="shared" si="273"/>
        <v>0</v>
      </c>
      <c r="BD615" s="111">
        <f t="shared" si="273"/>
        <v>0</v>
      </c>
      <c r="BE615" s="111">
        <f t="shared" si="273"/>
        <v>0</v>
      </c>
      <c r="BF615" s="111">
        <f t="shared" si="273"/>
        <v>0</v>
      </c>
      <c r="BG615" s="111">
        <f t="shared" si="273"/>
        <v>0</v>
      </c>
      <c r="BH615" s="111">
        <f t="shared" si="273"/>
        <v>0</v>
      </c>
      <c r="BI615" s="111">
        <f t="shared" si="273"/>
        <v>0</v>
      </c>
      <c r="BJ615" s="111">
        <f t="shared" si="273"/>
        <v>0</v>
      </c>
      <c r="BK615" s="111">
        <f t="shared" si="273"/>
        <v>0</v>
      </c>
      <c r="BL615" s="111">
        <f t="shared" si="273"/>
        <v>0</v>
      </c>
      <c r="BM615" s="111">
        <f t="shared" si="273"/>
        <v>0</v>
      </c>
      <c r="BN615" s="111">
        <f t="shared" si="273"/>
        <v>0</v>
      </c>
      <c r="BO615" s="111">
        <f t="shared" si="273"/>
        <v>0</v>
      </c>
      <c r="BP615" s="111">
        <f t="shared" ref="BP615:CP615" si="274">Forecast_year_AMI_cost*Extrapolation_mask</f>
        <v>0</v>
      </c>
      <c r="BQ615" s="111">
        <f t="shared" si="274"/>
        <v>0</v>
      </c>
      <c r="BR615" s="111">
        <f t="shared" si="274"/>
        <v>0</v>
      </c>
      <c r="BS615" s="111">
        <f t="shared" si="274"/>
        <v>0</v>
      </c>
      <c r="BT615" s="111">
        <f t="shared" si="274"/>
        <v>0</v>
      </c>
      <c r="BU615" s="111">
        <f t="shared" si="274"/>
        <v>0</v>
      </c>
      <c r="BV615" s="111">
        <f t="shared" si="274"/>
        <v>0</v>
      </c>
      <c r="BW615" s="111">
        <f t="shared" si="274"/>
        <v>0</v>
      </c>
      <c r="BX615" s="111">
        <f t="shared" si="274"/>
        <v>0</v>
      </c>
      <c r="BY615" s="111">
        <f t="shared" si="274"/>
        <v>0</v>
      </c>
      <c r="BZ615" s="111">
        <f t="shared" si="274"/>
        <v>0</v>
      </c>
      <c r="CA615" s="111">
        <f t="shared" si="274"/>
        <v>0</v>
      </c>
      <c r="CB615" s="111">
        <f t="shared" si="274"/>
        <v>0</v>
      </c>
      <c r="CC615" s="111">
        <f t="shared" si="274"/>
        <v>0</v>
      </c>
      <c r="CD615" s="111">
        <f t="shared" si="274"/>
        <v>0</v>
      </c>
      <c r="CE615" s="111">
        <f t="shared" si="274"/>
        <v>0</v>
      </c>
      <c r="CF615" s="111">
        <f t="shared" si="274"/>
        <v>0</v>
      </c>
      <c r="CG615" s="111">
        <f t="shared" si="274"/>
        <v>0</v>
      </c>
      <c r="CH615" s="111">
        <f t="shared" si="274"/>
        <v>0</v>
      </c>
      <c r="CI615" s="111">
        <f t="shared" si="274"/>
        <v>0</v>
      </c>
      <c r="CJ615" s="111">
        <f t="shared" si="274"/>
        <v>0</v>
      </c>
      <c r="CK615" s="111">
        <f t="shared" si="274"/>
        <v>0</v>
      </c>
      <c r="CL615" s="111">
        <f t="shared" si="274"/>
        <v>0</v>
      </c>
      <c r="CM615" s="111">
        <f t="shared" si="274"/>
        <v>0</v>
      </c>
      <c r="CN615" s="111">
        <f t="shared" si="274"/>
        <v>0</v>
      </c>
      <c r="CO615" s="111">
        <f t="shared" si="274"/>
        <v>0</v>
      </c>
      <c r="CP615" s="111">
        <f t="shared" si="274"/>
        <v>0</v>
      </c>
      <c r="CQ615" s="3" t="s">
        <v>697</v>
      </c>
    </row>
    <row r="616" spans="1:95" ht="14.45" outlineLevel="2">
      <c r="A616" s="97"/>
      <c r="B616" s="97" t="s">
        <v>685</v>
      </c>
      <c r="C616" s="97"/>
      <c r="D616" s="111">
        <f t="shared" ref="D616:AI616" si="275">Opening_year_AMI_cost_mask+Forecast_year_AMI_cost_mask+Interpolation_AMI_cost_mask+Extrapolation_AMI_cost_mask</f>
        <v>0</v>
      </c>
      <c r="E616" s="111">
        <f t="shared" si="275"/>
        <v>0</v>
      </c>
      <c r="F616" s="111">
        <f t="shared" si="275"/>
        <v>0</v>
      </c>
      <c r="G616" s="111">
        <f t="shared" si="275"/>
        <v>0</v>
      </c>
      <c r="H616" s="111">
        <f t="shared" si="275"/>
        <v>0</v>
      </c>
      <c r="I616" s="111">
        <f t="shared" si="275"/>
        <v>0</v>
      </c>
      <c r="J616" s="111">
        <f t="shared" si="275"/>
        <v>0</v>
      </c>
      <c r="K616" s="111">
        <f t="shared" si="275"/>
        <v>0</v>
      </c>
      <c r="L616" s="111">
        <f t="shared" si="275"/>
        <v>0</v>
      </c>
      <c r="M616" s="111">
        <f t="shared" si="275"/>
        <v>0</v>
      </c>
      <c r="N616" s="111">
        <f t="shared" si="275"/>
        <v>0</v>
      </c>
      <c r="O616" s="111">
        <f t="shared" si="275"/>
        <v>0</v>
      </c>
      <c r="P616" s="111">
        <f t="shared" si="275"/>
        <v>0</v>
      </c>
      <c r="Q616" s="111">
        <f t="shared" si="275"/>
        <v>0</v>
      </c>
      <c r="R616" s="111">
        <f t="shared" si="275"/>
        <v>0</v>
      </c>
      <c r="S616" s="111">
        <f t="shared" si="275"/>
        <v>0</v>
      </c>
      <c r="T616" s="111">
        <f t="shared" si="275"/>
        <v>0</v>
      </c>
      <c r="U616" s="111">
        <f t="shared" si="275"/>
        <v>0</v>
      </c>
      <c r="V616" s="111">
        <f t="shared" si="275"/>
        <v>0</v>
      </c>
      <c r="W616" s="111">
        <f t="shared" si="275"/>
        <v>0</v>
      </c>
      <c r="X616" s="111">
        <f t="shared" si="275"/>
        <v>0</v>
      </c>
      <c r="Y616" s="111">
        <f t="shared" si="275"/>
        <v>0</v>
      </c>
      <c r="Z616" s="111">
        <f t="shared" si="275"/>
        <v>0</v>
      </c>
      <c r="AA616" s="111">
        <f t="shared" si="275"/>
        <v>0</v>
      </c>
      <c r="AB616" s="111">
        <f t="shared" si="275"/>
        <v>0</v>
      </c>
      <c r="AC616" s="111">
        <f t="shared" si="275"/>
        <v>0</v>
      </c>
      <c r="AD616" s="111">
        <f t="shared" si="275"/>
        <v>0</v>
      </c>
      <c r="AE616" s="111">
        <f t="shared" si="275"/>
        <v>0</v>
      </c>
      <c r="AF616" s="111">
        <f t="shared" si="275"/>
        <v>0</v>
      </c>
      <c r="AG616" s="111">
        <f t="shared" si="275"/>
        <v>0</v>
      </c>
      <c r="AH616" s="111">
        <f t="shared" si="275"/>
        <v>0</v>
      </c>
      <c r="AI616" s="111">
        <f t="shared" si="275"/>
        <v>0</v>
      </c>
      <c r="AJ616" s="111">
        <f t="shared" ref="AJ616:BO616" si="276">Opening_year_AMI_cost_mask+Forecast_year_AMI_cost_mask+Interpolation_AMI_cost_mask+Extrapolation_AMI_cost_mask</f>
        <v>0</v>
      </c>
      <c r="AK616" s="111">
        <f t="shared" si="276"/>
        <v>0</v>
      </c>
      <c r="AL616" s="111">
        <f t="shared" si="276"/>
        <v>0</v>
      </c>
      <c r="AM616" s="111">
        <f t="shared" si="276"/>
        <v>0</v>
      </c>
      <c r="AN616" s="111">
        <f t="shared" si="276"/>
        <v>0</v>
      </c>
      <c r="AO616" s="111">
        <f t="shared" si="276"/>
        <v>0</v>
      </c>
      <c r="AP616" s="111">
        <f t="shared" si="276"/>
        <v>0</v>
      </c>
      <c r="AQ616" s="111">
        <f t="shared" si="276"/>
        <v>0</v>
      </c>
      <c r="AR616" s="111">
        <f t="shared" si="276"/>
        <v>0</v>
      </c>
      <c r="AS616" s="111">
        <f t="shared" si="276"/>
        <v>0</v>
      </c>
      <c r="AT616" s="111">
        <f t="shared" si="276"/>
        <v>0</v>
      </c>
      <c r="AU616" s="111">
        <f t="shared" si="276"/>
        <v>0</v>
      </c>
      <c r="AV616" s="111">
        <f t="shared" si="276"/>
        <v>0</v>
      </c>
      <c r="AW616" s="111">
        <f t="shared" si="276"/>
        <v>0</v>
      </c>
      <c r="AX616" s="111">
        <f t="shared" si="276"/>
        <v>0</v>
      </c>
      <c r="AY616" s="111">
        <f t="shared" si="276"/>
        <v>0</v>
      </c>
      <c r="AZ616" s="111">
        <f t="shared" si="276"/>
        <v>0</v>
      </c>
      <c r="BA616" s="111">
        <f t="shared" si="276"/>
        <v>0</v>
      </c>
      <c r="BB616" s="111">
        <f t="shared" si="276"/>
        <v>0</v>
      </c>
      <c r="BC616" s="111">
        <f t="shared" si="276"/>
        <v>0</v>
      </c>
      <c r="BD616" s="111">
        <f t="shared" si="276"/>
        <v>0</v>
      </c>
      <c r="BE616" s="111">
        <f t="shared" si="276"/>
        <v>0</v>
      </c>
      <c r="BF616" s="111">
        <f t="shared" si="276"/>
        <v>0</v>
      </c>
      <c r="BG616" s="111">
        <f t="shared" si="276"/>
        <v>0</v>
      </c>
      <c r="BH616" s="111">
        <f t="shared" si="276"/>
        <v>0</v>
      </c>
      <c r="BI616" s="111">
        <f t="shared" si="276"/>
        <v>0</v>
      </c>
      <c r="BJ616" s="111">
        <f t="shared" si="276"/>
        <v>0</v>
      </c>
      <c r="BK616" s="111">
        <f t="shared" si="276"/>
        <v>0</v>
      </c>
      <c r="BL616" s="111">
        <f t="shared" si="276"/>
        <v>0</v>
      </c>
      <c r="BM616" s="111">
        <f t="shared" si="276"/>
        <v>0</v>
      </c>
      <c r="BN616" s="111">
        <f t="shared" si="276"/>
        <v>0</v>
      </c>
      <c r="BO616" s="111">
        <f t="shared" si="276"/>
        <v>0</v>
      </c>
      <c r="BP616" s="111">
        <f t="shared" ref="BP616:CP616" si="277">Opening_year_AMI_cost_mask+Forecast_year_AMI_cost_mask+Interpolation_AMI_cost_mask+Extrapolation_AMI_cost_mask</f>
        <v>0</v>
      </c>
      <c r="BQ616" s="111">
        <f t="shared" si="277"/>
        <v>0</v>
      </c>
      <c r="BR616" s="111">
        <f t="shared" si="277"/>
        <v>0</v>
      </c>
      <c r="BS616" s="111">
        <f t="shared" si="277"/>
        <v>0</v>
      </c>
      <c r="BT616" s="111">
        <f t="shared" si="277"/>
        <v>0</v>
      </c>
      <c r="BU616" s="111">
        <f t="shared" si="277"/>
        <v>0</v>
      </c>
      <c r="BV616" s="111">
        <f t="shared" si="277"/>
        <v>0</v>
      </c>
      <c r="BW616" s="111">
        <f t="shared" si="277"/>
        <v>0</v>
      </c>
      <c r="BX616" s="111">
        <f t="shared" si="277"/>
        <v>0</v>
      </c>
      <c r="BY616" s="111">
        <f t="shared" si="277"/>
        <v>0</v>
      </c>
      <c r="BZ616" s="111">
        <f t="shared" si="277"/>
        <v>0</v>
      </c>
      <c r="CA616" s="111">
        <f t="shared" si="277"/>
        <v>0</v>
      </c>
      <c r="CB616" s="111">
        <f t="shared" si="277"/>
        <v>0</v>
      </c>
      <c r="CC616" s="111">
        <f t="shared" si="277"/>
        <v>0</v>
      </c>
      <c r="CD616" s="111">
        <f t="shared" si="277"/>
        <v>0</v>
      </c>
      <c r="CE616" s="111">
        <f t="shared" si="277"/>
        <v>0</v>
      </c>
      <c r="CF616" s="111">
        <f t="shared" si="277"/>
        <v>0</v>
      </c>
      <c r="CG616" s="111">
        <f t="shared" si="277"/>
        <v>0</v>
      </c>
      <c r="CH616" s="111">
        <f t="shared" si="277"/>
        <v>0</v>
      </c>
      <c r="CI616" s="111">
        <f t="shared" si="277"/>
        <v>0</v>
      </c>
      <c r="CJ616" s="111">
        <f t="shared" si="277"/>
        <v>0</v>
      </c>
      <c r="CK616" s="111">
        <f t="shared" si="277"/>
        <v>0</v>
      </c>
      <c r="CL616" s="111">
        <f t="shared" si="277"/>
        <v>0</v>
      </c>
      <c r="CM616" s="111">
        <f t="shared" si="277"/>
        <v>0</v>
      </c>
      <c r="CN616" s="111">
        <f t="shared" si="277"/>
        <v>0</v>
      </c>
      <c r="CO616" s="111">
        <f t="shared" si="277"/>
        <v>0</v>
      </c>
      <c r="CP616" s="111">
        <f t="shared" si="277"/>
        <v>0</v>
      </c>
      <c r="CQ616" s="3" t="s">
        <v>698</v>
      </c>
    </row>
    <row r="617" spans="1:95" ht="14.45" outlineLevel="2">
      <c r="A617" s="97"/>
      <c r="B617" s="97"/>
      <c r="C617" s="97"/>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c r="AO617" s="114"/>
      <c r="AP617" s="114"/>
      <c r="AQ617" s="114"/>
      <c r="AR617" s="114"/>
      <c r="AS617" s="114"/>
      <c r="AT617" s="114"/>
      <c r="AU617" s="114"/>
      <c r="AV617" s="114"/>
      <c r="AW617" s="114"/>
      <c r="AX617" s="114"/>
      <c r="AY617" s="114"/>
      <c r="AZ617" s="114"/>
      <c r="BA617" s="114"/>
      <c r="BB617" s="114"/>
      <c r="BC617" s="114"/>
      <c r="BD617" s="114"/>
      <c r="BE617" s="114"/>
      <c r="BF617" s="114"/>
      <c r="BG617" s="114"/>
      <c r="BH617" s="114"/>
      <c r="BI617" s="114"/>
      <c r="BJ617" s="114"/>
      <c r="BK617" s="114"/>
      <c r="BL617" s="114"/>
      <c r="BM617" s="114"/>
      <c r="BN617" s="114"/>
      <c r="BO617" s="114"/>
      <c r="BP617" s="114"/>
      <c r="BQ617" s="114"/>
      <c r="BR617" s="114"/>
      <c r="BS617" s="114"/>
      <c r="BT617" s="114"/>
      <c r="BU617" s="114"/>
      <c r="BV617" s="114"/>
      <c r="BW617" s="114"/>
      <c r="BX617" s="114"/>
      <c r="BY617" s="114"/>
      <c r="BZ617" s="114"/>
      <c r="CA617" s="114"/>
      <c r="CB617" s="114"/>
      <c r="CC617" s="114"/>
      <c r="CD617" s="114"/>
      <c r="CE617" s="114"/>
      <c r="CF617" s="114"/>
      <c r="CG617" s="114"/>
      <c r="CH617" s="114"/>
      <c r="CI617" s="114"/>
      <c r="CJ617" s="114"/>
      <c r="CK617" s="114"/>
      <c r="CL617" s="114"/>
      <c r="CM617" s="114"/>
      <c r="CN617" s="114"/>
      <c r="CO617" s="114"/>
      <c r="CP617" s="114"/>
      <c r="CQ617" s="3"/>
    </row>
    <row r="618" spans="1:95" s="5" customFormat="1" ht="18.75" customHeight="1" outlineLevel="2">
      <c r="B618" s="5" t="s">
        <v>699</v>
      </c>
    </row>
    <row r="619" spans="1:95" s="4" customFormat="1" ht="18.75" customHeight="1" outlineLevel="2">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c r="AN619" s="62"/>
      <c r="AO619" s="62"/>
      <c r="AP619" s="62"/>
      <c r="AQ619" s="62"/>
      <c r="AR619" s="62"/>
      <c r="AS619" s="62"/>
      <c r="AT619" s="62"/>
      <c r="AU619" s="62"/>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c r="CC619" s="62"/>
      <c r="CD619" s="62"/>
      <c r="CE619" s="62"/>
      <c r="CF619" s="62"/>
      <c r="CG619" s="62"/>
      <c r="CH619" s="62"/>
      <c r="CI619" s="62"/>
      <c r="CJ619" s="62"/>
      <c r="CK619" s="62"/>
      <c r="CL619" s="62"/>
      <c r="CM619" s="62"/>
      <c r="CN619" s="62"/>
      <c r="CO619" s="62"/>
      <c r="CP619" s="62"/>
      <c r="CQ619" s="62"/>
    </row>
    <row r="620" spans="1:95" ht="14.25" customHeight="1" outlineLevel="2">
      <c r="A620" s="97"/>
      <c r="B620" s="134"/>
      <c r="C620" s="134"/>
      <c r="D620" s="12">
        <v>2010</v>
      </c>
      <c r="E620" s="12">
        <v>2011</v>
      </c>
      <c r="F620" s="12">
        <v>2012</v>
      </c>
      <c r="G620" s="12">
        <v>2013</v>
      </c>
      <c r="H620" s="12">
        <v>2014</v>
      </c>
      <c r="I620" s="12">
        <v>2015</v>
      </c>
      <c r="J620" s="12">
        <v>2016</v>
      </c>
      <c r="K620" s="12">
        <v>2017</v>
      </c>
      <c r="L620" s="12">
        <v>2018</v>
      </c>
      <c r="M620" s="12">
        <v>2019</v>
      </c>
      <c r="N620" s="12">
        <v>2020</v>
      </c>
      <c r="O620" s="12">
        <v>2021</v>
      </c>
      <c r="P620" s="12">
        <v>2022</v>
      </c>
      <c r="Q620" s="12">
        <v>2023</v>
      </c>
      <c r="R620" s="12">
        <v>2024</v>
      </c>
      <c r="S620" s="12">
        <v>2025</v>
      </c>
      <c r="T620" s="12">
        <v>2026</v>
      </c>
      <c r="U620" s="12">
        <v>2027</v>
      </c>
      <c r="V620" s="12">
        <v>2028</v>
      </c>
      <c r="W620" s="12">
        <v>2029</v>
      </c>
      <c r="X620" s="12">
        <v>2030</v>
      </c>
      <c r="Y620" s="12">
        <v>2031</v>
      </c>
      <c r="Z620" s="12">
        <v>2032</v>
      </c>
      <c r="AA620" s="12">
        <v>2033</v>
      </c>
      <c r="AB620" s="12">
        <v>2034</v>
      </c>
      <c r="AC620" s="12">
        <v>2035</v>
      </c>
      <c r="AD620" s="12">
        <v>2036</v>
      </c>
      <c r="AE620" s="12">
        <v>2037</v>
      </c>
      <c r="AF620" s="12">
        <v>2038</v>
      </c>
      <c r="AG620" s="12">
        <v>2039</v>
      </c>
      <c r="AH620" s="12">
        <v>2040</v>
      </c>
      <c r="AI620" s="12">
        <v>2041</v>
      </c>
      <c r="AJ620" s="12">
        <v>2042</v>
      </c>
      <c r="AK620" s="12">
        <v>2043</v>
      </c>
      <c r="AL620" s="12">
        <v>2044</v>
      </c>
      <c r="AM620" s="12">
        <v>2045</v>
      </c>
      <c r="AN620" s="12">
        <v>2046</v>
      </c>
      <c r="AO620" s="12">
        <v>2047</v>
      </c>
      <c r="AP620" s="12">
        <v>2048</v>
      </c>
      <c r="AQ620" s="12">
        <v>2049</v>
      </c>
      <c r="AR620" s="12">
        <v>2050</v>
      </c>
      <c r="AS620" s="12">
        <v>2051</v>
      </c>
      <c r="AT620" s="12">
        <v>2052</v>
      </c>
      <c r="AU620" s="12">
        <v>2053</v>
      </c>
      <c r="AV620" s="12">
        <v>2054</v>
      </c>
      <c r="AW620" s="12">
        <v>2055</v>
      </c>
      <c r="AX620" s="12">
        <v>2056</v>
      </c>
      <c r="AY620" s="12">
        <v>2057</v>
      </c>
      <c r="AZ620" s="12">
        <v>2058</v>
      </c>
      <c r="BA620" s="12">
        <v>2059</v>
      </c>
      <c r="BB620" s="12">
        <v>2060</v>
      </c>
      <c r="BC620" s="12">
        <v>2061</v>
      </c>
      <c r="BD620" s="12">
        <v>2062</v>
      </c>
      <c r="BE620" s="12">
        <v>2063</v>
      </c>
      <c r="BF620" s="12">
        <v>2064</v>
      </c>
      <c r="BG620" s="12">
        <v>2065</v>
      </c>
      <c r="BH620" s="12">
        <v>2066</v>
      </c>
      <c r="BI620" s="12">
        <v>2067</v>
      </c>
      <c r="BJ620" s="12">
        <v>2068</v>
      </c>
      <c r="BK620" s="12">
        <v>2069</v>
      </c>
      <c r="BL620" s="12">
        <v>2070</v>
      </c>
      <c r="BM620" s="12">
        <v>2071</v>
      </c>
      <c r="BN620" s="12">
        <v>2072</v>
      </c>
      <c r="BO620" s="12">
        <v>2073</v>
      </c>
      <c r="BP620" s="12">
        <v>2074</v>
      </c>
      <c r="BQ620" s="12">
        <v>2075</v>
      </c>
      <c r="BR620" s="12">
        <v>2076</v>
      </c>
      <c r="BS620" s="12">
        <v>2077</v>
      </c>
      <c r="BT620" s="12">
        <v>2078</v>
      </c>
      <c r="BU620" s="12">
        <v>2079</v>
      </c>
      <c r="BV620" s="12">
        <v>2080</v>
      </c>
      <c r="BW620" s="12">
        <v>2081</v>
      </c>
      <c r="BX620" s="12">
        <v>2082</v>
      </c>
      <c r="BY620" s="12">
        <v>2083</v>
      </c>
      <c r="BZ620" s="12">
        <v>2084</v>
      </c>
      <c r="CA620" s="12">
        <v>2085</v>
      </c>
      <c r="CB620" s="12">
        <v>2086</v>
      </c>
      <c r="CC620" s="12">
        <v>2087</v>
      </c>
      <c r="CD620" s="12">
        <v>2088</v>
      </c>
      <c r="CE620" s="12">
        <v>2089</v>
      </c>
      <c r="CF620" s="12">
        <v>2090</v>
      </c>
      <c r="CG620" s="12">
        <v>2091</v>
      </c>
      <c r="CH620" s="12">
        <v>2092</v>
      </c>
      <c r="CI620" s="12">
        <v>2093</v>
      </c>
      <c r="CJ620" s="12">
        <v>2094</v>
      </c>
      <c r="CK620" s="12">
        <v>2095</v>
      </c>
      <c r="CL620" s="12">
        <v>2096</v>
      </c>
      <c r="CM620" s="12">
        <v>2097</v>
      </c>
      <c r="CN620" s="12">
        <v>2098</v>
      </c>
      <c r="CO620" s="12">
        <v>2099</v>
      </c>
      <c r="CP620" s="12">
        <v>2100</v>
      </c>
      <c r="CQ620" s="97"/>
    </row>
    <row r="621" spans="1:95" ht="14.45" outlineLevel="2">
      <c r="A621" s="97"/>
      <c r="B621" s="97" t="s">
        <v>59</v>
      </c>
      <c r="C621" s="97"/>
      <c r="D621" s="111">
        <f t="shared" ref="D621:AI621" si="278">Opening_year_stroke_cost*Opening_year_mask</f>
        <v>0</v>
      </c>
      <c r="E621" s="111">
        <f t="shared" si="278"/>
        <v>0</v>
      </c>
      <c r="F621" s="111">
        <f t="shared" si="278"/>
        <v>0</v>
      </c>
      <c r="G621" s="111">
        <f t="shared" si="278"/>
        <v>0</v>
      </c>
      <c r="H621" s="111">
        <f t="shared" si="278"/>
        <v>0</v>
      </c>
      <c r="I621" s="111">
        <f t="shared" si="278"/>
        <v>0</v>
      </c>
      <c r="J621" s="111">
        <f t="shared" si="278"/>
        <v>0</v>
      </c>
      <c r="K621" s="111">
        <f t="shared" si="278"/>
        <v>0</v>
      </c>
      <c r="L621" s="111">
        <f t="shared" si="278"/>
        <v>0</v>
      </c>
      <c r="M621" s="111">
        <f t="shared" si="278"/>
        <v>0</v>
      </c>
      <c r="N621" s="111">
        <f t="shared" si="278"/>
        <v>0</v>
      </c>
      <c r="O621" s="111">
        <f t="shared" si="278"/>
        <v>0</v>
      </c>
      <c r="P621" s="111">
        <f t="shared" si="278"/>
        <v>0</v>
      </c>
      <c r="Q621" s="111">
        <f t="shared" si="278"/>
        <v>0</v>
      </c>
      <c r="R621" s="111">
        <f t="shared" si="278"/>
        <v>0</v>
      </c>
      <c r="S621" s="111">
        <f t="shared" si="278"/>
        <v>0</v>
      </c>
      <c r="T621" s="111">
        <f t="shared" si="278"/>
        <v>0</v>
      </c>
      <c r="U621" s="111">
        <f t="shared" si="278"/>
        <v>0</v>
      </c>
      <c r="V621" s="111">
        <f t="shared" si="278"/>
        <v>0</v>
      </c>
      <c r="W621" s="111">
        <f t="shared" si="278"/>
        <v>0</v>
      </c>
      <c r="X621" s="111">
        <f t="shared" si="278"/>
        <v>0</v>
      </c>
      <c r="Y621" s="111">
        <f t="shared" si="278"/>
        <v>0</v>
      </c>
      <c r="Z621" s="111">
        <f t="shared" si="278"/>
        <v>0</v>
      </c>
      <c r="AA621" s="111">
        <f t="shared" si="278"/>
        <v>0</v>
      </c>
      <c r="AB621" s="111">
        <f t="shared" si="278"/>
        <v>0</v>
      </c>
      <c r="AC621" s="111">
        <f t="shared" si="278"/>
        <v>0</v>
      </c>
      <c r="AD621" s="111">
        <f t="shared" si="278"/>
        <v>0</v>
      </c>
      <c r="AE621" s="111">
        <f t="shared" si="278"/>
        <v>0</v>
      </c>
      <c r="AF621" s="111">
        <f t="shared" si="278"/>
        <v>0</v>
      </c>
      <c r="AG621" s="111">
        <f t="shared" si="278"/>
        <v>0</v>
      </c>
      <c r="AH621" s="111">
        <f t="shared" si="278"/>
        <v>0</v>
      </c>
      <c r="AI621" s="111">
        <f t="shared" si="278"/>
        <v>0</v>
      </c>
      <c r="AJ621" s="111">
        <f t="shared" ref="AJ621:BO621" si="279">Opening_year_stroke_cost*Opening_year_mask</f>
        <v>0</v>
      </c>
      <c r="AK621" s="111">
        <f t="shared" si="279"/>
        <v>0</v>
      </c>
      <c r="AL621" s="111">
        <f t="shared" si="279"/>
        <v>0</v>
      </c>
      <c r="AM621" s="111">
        <f t="shared" si="279"/>
        <v>0</v>
      </c>
      <c r="AN621" s="111">
        <f t="shared" si="279"/>
        <v>0</v>
      </c>
      <c r="AO621" s="111">
        <f t="shared" si="279"/>
        <v>0</v>
      </c>
      <c r="AP621" s="111">
        <f t="shared" si="279"/>
        <v>0</v>
      </c>
      <c r="AQ621" s="111">
        <f t="shared" si="279"/>
        <v>0</v>
      </c>
      <c r="AR621" s="111">
        <f t="shared" si="279"/>
        <v>0</v>
      </c>
      <c r="AS621" s="111">
        <f t="shared" si="279"/>
        <v>0</v>
      </c>
      <c r="AT621" s="111">
        <f t="shared" si="279"/>
        <v>0</v>
      </c>
      <c r="AU621" s="111">
        <f t="shared" si="279"/>
        <v>0</v>
      </c>
      <c r="AV621" s="111">
        <f t="shared" si="279"/>
        <v>0</v>
      </c>
      <c r="AW621" s="111">
        <f t="shared" si="279"/>
        <v>0</v>
      </c>
      <c r="AX621" s="111">
        <f t="shared" si="279"/>
        <v>0</v>
      </c>
      <c r="AY621" s="111">
        <f t="shared" si="279"/>
        <v>0</v>
      </c>
      <c r="AZ621" s="111">
        <f t="shared" si="279"/>
        <v>0</v>
      </c>
      <c r="BA621" s="111">
        <f t="shared" si="279"/>
        <v>0</v>
      </c>
      <c r="BB621" s="111">
        <f t="shared" si="279"/>
        <v>0</v>
      </c>
      <c r="BC621" s="111">
        <f t="shared" si="279"/>
        <v>0</v>
      </c>
      <c r="BD621" s="111">
        <f t="shared" si="279"/>
        <v>0</v>
      </c>
      <c r="BE621" s="111">
        <f t="shared" si="279"/>
        <v>0</v>
      </c>
      <c r="BF621" s="111">
        <f t="shared" si="279"/>
        <v>0</v>
      </c>
      <c r="BG621" s="111">
        <f t="shared" si="279"/>
        <v>0</v>
      </c>
      <c r="BH621" s="111">
        <f t="shared" si="279"/>
        <v>0</v>
      </c>
      <c r="BI621" s="111">
        <f t="shared" si="279"/>
        <v>0</v>
      </c>
      <c r="BJ621" s="111">
        <f t="shared" si="279"/>
        <v>0</v>
      </c>
      <c r="BK621" s="111">
        <f t="shared" si="279"/>
        <v>0</v>
      </c>
      <c r="BL621" s="111">
        <f t="shared" si="279"/>
        <v>0</v>
      </c>
      <c r="BM621" s="111">
        <f t="shared" si="279"/>
        <v>0</v>
      </c>
      <c r="BN621" s="111">
        <f t="shared" si="279"/>
        <v>0</v>
      </c>
      <c r="BO621" s="111">
        <f t="shared" si="279"/>
        <v>0</v>
      </c>
      <c r="BP621" s="111">
        <f t="shared" ref="BP621:CP621" si="280">Opening_year_stroke_cost*Opening_year_mask</f>
        <v>0</v>
      </c>
      <c r="BQ621" s="111">
        <f t="shared" si="280"/>
        <v>0</v>
      </c>
      <c r="BR621" s="111">
        <f t="shared" si="280"/>
        <v>0</v>
      </c>
      <c r="BS621" s="111">
        <f t="shared" si="280"/>
        <v>0</v>
      </c>
      <c r="BT621" s="111">
        <f t="shared" si="280"/>
        <v>0</v>
      </c>
      <c r="BU621" s="111">
        <f t="shared" si="280"/>
        <v>0</v>
      </c>
      <c r="BV621" s="111">
        <f t="shared" si="280"/>
        <v>0</v>
      </c>
      <c r="BW621" s="111">
        <f t="shared" si="280"/>
        <v>0</v>
      </c>
      <c r="BX621" s="111">
        <f t="shared" si="280"/>
        <v>0</v>
      </c>
      <c r="BY621" s="111">
        <f t="shared" si="280"/>
        <v>0</v>
      </c>
      <c r="BZ621" s="111">
        <f t="shared" si="280"/>
        <v>0</v>
      </c>
      <c r="CA621" s="111">
        <f t="shared" si="280"/>
        <v>0</v>
      </c>
      <c r="CB621" s="111">
        <f t="shared" si="280"/>
        <v>0</v>
      </c>
      <c r="CC621" s="111">
        <f t="shared" si="280"/>
        <v>0</v>
      </c>
      <c r="CD621" s="111">
        <f t="shared" si="280"/>
        <v>0</v>
      </c>
      <c r="CE621" s="111">
        <f t="shared" si="280"/>
        <v>0</v>
      </c>
      <c r="CF621" s="111">
        <f t="shared" si="280"/>
        <v>0</v>
      </c>
      <c r="CG621" s="111">
        <f t="shared" si="280"/>
        <v>0</v>
      </c>
      <c r="CH621" s="111">
        <f t="shared" si="280"/>
        <v>0</v>
      </c>
      <c r="CI621" s="111">
        <f t="shared" si="280"/>
        <v>0</v>
      </c>
      <c r="CJ621" s="111">
        <f t="shared" si="280"/>
        <v>0</v>
      </c>
      <c r="CK621" s="111">
        <f t="shared" si="280"/>
        <v>0</v>
      </c>
      <c r="CL621" s="111">
        <f t="shared" si="280"/>
        <v>0</v>
      </c>
      <c r="CM621" s="111">
        <f t="shared" si="280"/>
        <v>0</v>
      </c>
      <c r="CN621" s="111">
        <f t="shared" si="280"/>
        <v>0</v>
      </c>
      <c r="CO621" s="111">
        <f t="shared" si="280"/>
        <v>0</v>
      </c>
      <c r="CP621" s="111">
        <f t="shared" si="280"/>
        <v>0</v>
      </c>
      <c r="CQ621" s="3" t="s">
        <v>700</v>
      </c>
    </row>
    <row r="622" spans="1:95" ht="14.45" outlineLevel="2">
      <c r="A622" s="97"/>
      <c r="B622" s="97" t="s">
        <v>61</v>
      </c>
      <c r="C622" s="97"/>
      <c r="D622" s="111">
        <f t="shared" ref="D622:AI622" si="281">Forecast_year_stroke_cost*Forecast_year_mask</f>
        <v>0</v>
      </c>
      <c r="E622" s="111">
        <f t="shared" si="281"/>
        <v>0</v>
      </c>
      <c r="F622" s="111">
        <f t="shared" si="281"/>
        <v>0</v>
      </c>
      <c r="G622" s="111">
        <f t="shared" si="281"/>
        <v>0</v>
      </c>
      <c r="H622" s="111">
        <f t="shared" si="281"/>
        <v>0</v>
      </c>
      <c r="I622" s="111">
        <f t="shared" si="281"/>
        <v>0</v>
      </c>
      <c r="J622" s="111">
        <f t="shared" si="281"/>
        <v>0</v>
      </c>
      <c r="K622" s="111">
        <f t="shared" si="281"/>
        <v>0</v>
      </c>
      <c r="L622" s="111">
        <f t="shared" si="281"/>
        <v>0</v>
      </c>
      <c r="M622" s="111">
        <f t="shared" si="281"/>
        <v>0</v>
      </c>
      <c r="N622" s="111">
        <f t="shared" si="281"/>
        <v>0</v>
      </c>
      <c r="O622" s="111">
        <f t="shared" si="281"/>
        <v>0</v>
      </c>
      <c r="P622" s="111">
        <f t="shared" si="281"/>
        <v>0</v>
      </c>
      <c r="Q622" s="111">
        <f t="shared" si="281"/>
        <v>0</v>
      </c>
      <c r="R622" s="111">
        <f t="shared" si="281"/>
        <v>0</v>
      </c>
      <c r="S622" s="111">
        <f t="shared" si="281"/>
        <v>0</v>
      </c>
      <c r="T622" s="111">
        <f t="shared" si="281"/>
        <v>0</v>
      </c>
      <c r="U622" s="111">
        <f t="shared" si="281"/>
        <v>0</v>
      </c>
      <c r="V622" s="111">
        <f t="shared" si="281"/>
        <v>0</v>
      </c>
      <c r="W622" s="111">
        <f t="shared" si="281"/>
        <v>0</v>
      </c>
      <c r="X622" s="111">
        <f t="shared" si="281"/>
        <v>0</v>
      </c>
      <c r="Y622" s="111">
        <f t="shared" si="281"/>
        <v>0</v>
      </c>
      <c r="Z622" s="111">
        <f t="shared" si="281"/>
        <v>0</v>
      </c>
      <c r="AA622" s="111">
        <f t="shared" si="281"/>
        <v>0</v>
      </c>
      <c r="AB622" s="111">
        <f t="shared" si="281"/>
        <v>0</v>
      </c>
      <c r="AC622" s="111">
        <f t="shared" si="281"/>
        <v>0</v>
      </c>
      <c r="AD622" s="111">
        <f t="shared" si="281"/>
        <v>0</v>
      </c>
      <c r="AE622" s="111">
        <f t="shared" si="281"/>
        <v>0</v>
      </c>
      <c r="AF622" s="111">
        <f t="shared" si="281"/>
        <v>0</v>
      </c>
      <c r="AG622" s="111">
        <f t="shared" si="281"/>
        <v>0</v>
      </c>
      <c r="AH622" s="111">
        <f t="shared" si="281"/>
        <v>0</v>
      </c>
      <c r="AI622" s="111">
        <f t="shared" si="281"/>
        <v>0</v>
      </c>
      <c r="AJ622" s="111">
        <f t="shared" ref="AJ622:BO622" si="282">Forecast_year_stroke_cost*Forecast_year_mask</f>
        <v>0</v>
      </c>
      <c r="AK622" s="111">
        <f t="shared" si="282"/>
        <v>0</v>
      </c>
      <c r="AL622" s="111">
        <f t="shared" si="282"/>
        <v>0</v>
      </c>
      <c r="AM622" s="111">
        <f t="shared" si="282"/>
        <v>0</v>
      </c>
      <c r="AN622" s="111">
        <f t="shared" si="282"/>
        <v>0</v>
      </c>
      <c r="AO622" s="111">
        <f t="shared" si="282"/>
        <v>0</v>
      </c>
      <c r="AP622" s="111">
        <f t="shared" si="282"/>
        <v>0</v>
      </c>
      <c r="AQ622" s="111">
        <f t="shared" si="282"/>
        <v>0</v>
      </c>
      <c r="AR622" s="111">
        <f t="shared" si="282"/>
        <v>0</v>
      </c>
      <c r="AS622" s="111">
        <f t="shared" si="282"/>
        <v>0</v>
      </c>
      <c r="AT622" s="111">
        <f t="shared" si="282"/>
        <v>0</v>
      </c>
      <c r="AU622" s="111">
        <f t="shared" si="282"/>
        <v>0</v>
      </c>
      <c r="AV622" s="111">
        <f t="shared" si="282"/>
        <v>0</v>
      </c>
      <c r="AW622" s="111">
        <f t="shared" si="282"/>
        <v>0</v>
      </c>
      <c r="AX622" s="111">
        <f t="shared" si="282"/>
        <v>0</v>
      </c>
      <c r="AY622" s="111">
        <f t="shared" si="282"/>
        <v>0</v>
      </c>
      <c r="AZ622" s="111">
        <f t="shared" si="282"/>
        <v>0</v>
      </c>
      <c r="BA622" s="111">
        <f t="shared" si="282"/>
        <v>0</v>
      </c>
      <c r="BB622" s="111">
        <f t="shared" si="282"/>
        <v>0</v>
      </c>
      <c r="BC622" s="111">
        <f t="shared" si="282"/>
        <v>0</v>
      </c>
      <c r="BD622" s="111">
        <f t="shared" si="282"/>
        <v>0</v>
      </c>
      <c r="BE622" s="111">
        <f t="shared" si="282"/>
        <v>0</v>
      </c>
      <c r="BF622" s="111">
        <f t="shared" si="282"/>
        <v>0</v>
      </c>
      <c r="BG622" s="111">
        <f t="shared" si="282"/>
        <v>0</v>
      </c>
      <c r="BH622" s="111">
        <f t="shared" si="282"/>
        <v>0</v>
      </c>
      <c r="BI622" s="111">
        <f t="shared" si="282"/>
        <v>0</v>
      </c>
      <c r="BJ622" s="111">
        <f t="shared" si="282"/>
        <v>0</v>
      </c>
      <c r="BK622" s="111">
        <f t="shared" si="282"/>
        <v>0</v>
      </c>
      <c r="BL622" s="111">
        <f t="shared" si="282"/>
        <v>0</v>
      </c>
      <c r="BM622" s="111">
        <f t="shared" si="282"/>
        <v>0</v>
      </c>
      <c r="BN622" s="111">
        <f t="shared" si="282"/>
        <v>0</v>
      </c>
      <c r="BO622" s="111">
        <f t="shared" si="282"/>
        <v>0</v>
      </c>
      <c r="BP622" s="111">
        <f t="shared" ref="BP622:CP622" si="283">Forecast_year_stroke_cost*Forecast_year_mask</f>
        <v>0</v>
      </c>
      <c r="BQ622" s="111">
        <f t="shared" si="283"/>
        <v>0</v>
      </c>
      <c r="BR622" s="111">
        <f t="shared" si="283"/>
        <v>0</v>
      </c>
      <c r="BS622" s="111">
        <f t="shared" si="283"/>
        <v>0</v>
      </c>
      <c r="BT622" s="111">
        <f t="shared" si="283"/>
        <v>0</v>
      </c>
      <c r="BU622" s="111">
        <f t="shared" si="283"/>
        <v>0</v>
      </c>
      <c r="BV622" s="111">
        <f t="shared" si="283"/>
        <v>0</v>
      </c>
      <c r="BW622" s="111">
        <f t="shared" si="283"/>
        <v>0</v>
      </c>
      <c r="BX622" s="111">
        <f t="shared" si="283"/>
        <v>0</v>
      </c>
      <c r="BY622" s="111">
        <f t="shared" si="283"/>
        <v>0</v>
      </c>
      <c r="BZ622" s="111">
        <f t="shared" si="283"/>
        <v>0</v>
      </c>
      <c r="CA622" s="111">
        <f t="shared" si="283"/>
        <v>0</v>
      </c>
      <c r="CB622" s="111">
        <f t="shared" si="283"/>
        <v>0</v>
      </c>
      <c r="CC622" s="111">
        <f t="shared" si="283"/>
        <v>0</v>
      </c>
      <c r="CD622" s="111">
        <f t="shared" si="283"/>
        <v>0</v>
      </c>
      <c r="CE622" s="111">
        <f t="shared" si="283"/>
        <v>0</v>
      </c>
      <c r="CF622" s="111">
        <f t="shared" si="283"/>
        <v>0</v>
      </c>
      <c r="CG622" s="111">
        <f t="shared" si="283"/>
        <v>0</v>
      </c>
      <c r="CH622" s="111">
        <f t="shared" si="283"/>
        <v>0</v>
      </c>
      <c r="CI622" s="111">
        <f t="shared" si="283"/>
        <v>0</v>
      </c>
      <c r="CJ622" s="111">
        <f t="shared" si="283"/>
        <v>0</v>
      </c>
      <c r="CK622" s="111">
        <f t="shared" si="283"/>
        <v>0</v>
      </c>
      <c r="CL622" s="111">
        <f t="shared" si="283"/>
        <v>0</v>
      </c>
      <c r="CM622" s="111">
        <f t="shared" si="283"/>
        <v>0</v>
      </c>
      <c r="CN622" s="111">
        <f t="shared" si="283"/>
        <v>0</v>
      </c>
      <c r="CO622" s="111">
        <f t="shared" si="283"/>
        <v>0</v>
      </c>
      <c r="CP622" s="111">
        <f t="shared" si="283"/>
        <v>0</v>
      </c>
      <c r="CQ622" s="3" t="s">
        <v>701</v>
      </c>
    </row>
    <row r="623" spans="1:95" ht="14.45" outlineLevel="2">
      <c r="A623" s="97"/>
      <c r="B623" s="97" t="s">
        <v>674</v>
      </c>
      <c r="C623" s="97"/>
      <c r="D623" s="111">
        <f t="shared" ref="D623:AI623" si="284">(Opening_year_stroke_cost+(Difference_stroke_cost)*(year-Opening_year)/(Forecast_and_opening_year_difference))*Interpolation_mask</f>
        <v>0</v>
      </c>
      <c r="E623" s="111">
        <f t="shared" si="284"/>
        <v>0</v>
      </c>
      <c r="F623" s="111">
        <f t="shared" si="284"/>
        <v>0</v>
      </c>
      <c r="G623" s="111">
        <f t="shared" si="284"/>
        <v>0</v>
      </c>
      <c r="H623" s="111">
        <f t="shared" si="284"/>
        <v>0</v>
      </c>
      <c r="I623" s="111">
        <f t="shared" si="284"/>
        <v>0</v>
      </c>
      <c r="J623" s="111">
        <f t="shared" si="284"/>
        <v>0</v>
      </c>
      <c r="K623" s="111">
        <f t="shared" si="284"/>
        <v>0</v>
      </c>
      <c r="L623" s="111">
        <f t="shared" si="284"/>
        <v>0</v>
      </c>
      <c r="M623" s="111">
        <f t="shared" si="284"/>
        <v>0</v>
      </c>
      <c r="N623" s="111">
        <f t="shared" si="284"/>
        <v>0</v>
      </c>
      <c r="O623" s="111">
        <f t="shared" si="284"/>
        <v>0</v>
      </c>
      <c r="P623" s="111">
        <f t="shared" si="284"/>
        <v>0</v>
      </c>
      <c r="Q623" s="111">
        <f t="shared" si="284"/>
        <v>0</v>
      </c>
      <c r="R623" s="111">
        <f t="shared" si="284"/>
        <v>0</v>
      </c>
      <c r="S623" s="111">
        <f t="shared" si="284"/>
        <v>0</v>
      </c>
      <c r="T623" s="111">
        <f t="shared" si="284"/>
        <v>0</v>
      </c>
      <c r="U623" s="111">
        <f t="shared" si="284"/>
        <v>0</v>
      </c>
      <c r="V623" s="111">
        <f t="shared" si="284"/>
        <v>0</v>
      </c>
      <c r="W623" s="111">
        <f t="shared" si="284"/>
        <v>0</v>
      </c>
      <c r="X623" s="111">
        <f t="shared" si="284"/>
        <v>0</v>
      </c>
      <c r="Y623" s="111">
        <f t="shared" si="284"/>
        <v>0</v>
      </c>
      <c r="Z623" s="111">
        <f t="shared" si="284"/>
        <v>0</v>
      </c>
      <c r="AA623" s="111">
        <f t="shared" si="284"/>
        <v>0</v>
      </c>
      <c r="AB623" s="111">
        <f t="shared" si="284"/>
        <v>0</v>
      </c>
      <c r="AC623" s="111">
        <f t="shared" si="284"/>
        <v>0</v>
      </c>
      <c r="AD623" s="111">
        <f t="shared" si="284"/>
        <v>0</v>
      </c>
      <c r="AE623" s="111">
        <f t="shared" si="284"/>
        <v>0</v>
      </c>
      <c r="AF623" s="111">
        <f t="shared" si="284"/>
        <v>0</v>
      </c>
      <c r="AG623" s="111">
        <f t="shared" si="284"/>
        <v>0</v>
      </c>
      <c r="AH623" s="111">
        <f t="shared" si="284"/>
        <v>0</v>
      </c>
      <c r="AI623" s="111">
        <f t="shared" si="284"/>
        <v>0</v>
      </c>
      <c r="AJ623" s="111">
        <f t="shared" ref="AJ623:BO623" si="285">(Opening_year_stroke_cost+(Difference_stroke_cost)*(year-Opening_year)/(Forecast_and_opening_year_difference))*Interpolation_mask</f>
        <v>0</v>
      </c>
      <c r="AK623" s="111">
        <f t="shared" si="285"/>
        <v>0</v>
      </c>
      <c r="AL623" s="111">
        <f t="shared" si="285"/>
        <v>0</v>
      </c>
      <c r="AM623" s="111">
        <f t="shared" si="285"/>
        <v>0</v>
      </c>
      <c r="AN623" s="111">
        <f t="shared" si="285"/>
        <v>0</v>
      </c>
      <c r="AO623" s="111">
        <f t="shared" si="285"/>
        <v>0</v>
      </c>
      <c r="AP623" s="111">
        <f t="shared" si="285"/>
        <v>0</v>
      </c>
      <c r="AQ623" s="111">
        <f t="shared" si="285"/>
        <v>0</v>
      </c>
      <c r="AR623" s="111">
        <f t="shared" si="285"/>
        <v>0</v>
      </c>
      <c r="AS623" s="111">
        <f t="shared" si="285"/>
        <v>0</v>
      </c>
      <c r="AT623" s="111">
        <f t="shared" si="285"/>
        <v>0</v>
      </c>
      <c r="AU623" s="111">
        <f t="shared" si="285"/>
        <v>0</v>
      </c>
      <c r="AV623" s="111">
        <f t="shared" si="285"/>
        <v>0</v>
      </c>
      <c r="AW623" s="111">
        <f t="shared" si="285"/>
        <v>0</v>
      </c>
      <c r="AX623" s="111">
        <f t="shared" si="285"/>
        <v>0</v>
      </c>
      <c r="AY623" s="111">
        <f t="shared" si="285"/>
        <v>0</v>
      </c>
      <c r="AZ623" s="111">
        <f t="shared" si="285"/>
        <v>0</v>
      </c>
      <c r="BA623" s="111">
        <f t="shared" si="285"/>
        <v>0</v>
      </c>
      <c r="BB623" s="111">
        <f t="shared" si="285"/>
        <v>0</v>
      </c>
      <c r="BC623" s="111">
        <f t="shared" si="285"/>
        <v>0</v>
      </c>
      <c r="BD623" s="111">
        <f t="shared" si="285"/>
        <v>0</v>
      </c>
      <c r="BE623" s="111">
        <f t="shared" si="285"/>
        <v>0</v>
      </c>
      <c r="BF623" s="111">
        <f t="shared" si="285"/>
        <v>0</v>
      </c>
      <c r="BG623" s="111">
        <f t="shared" si="285"/>
        <v>0</v>
      </c>
      <c r="BH623" s="111">
        <f t="shared" si="285"/>
        <v>0</v>
      </c>
      <c r="BI623" s="111">
        <f t="shared" si="285"/>
        <v>0</v>
      </c>
      <c r="BJ623" s="111">
        <f t="shared" si="285"/>
        <v>0</v>
      </c>
      <c r="BK623" s="111">
        <f t="shared" si="285"/>
        <v>0</v>
      </c>
      <c r="BL623" s="111">
        <f t="shared" si="285"/>
        <v>0</v>
      </c>
      <c r="BM623" s="111">
        <f t="shared" si="285"/>
        <v>0</v>
      </c>
      <c r="BN623" s="111">
        <f t="shared" si="285"/>
        <v>0</v>
      </c>
      <c r="BO623" s="111">
        <f t="shared" si="285"/>
        <v>0</v>
      </c>
      <c r="BP623" s="111">
        <f t="shared" ref="BP623:CP623" si="286">(Opening_year_stroke_cost+(Difference_stroke_cost)*(year-Opening_year)/(Forecast_and_opening_year_difference))*Interpolation_mask</f>
        <v>0</v>
      </c>
      <c r="BQ623" s="111">
        <f t="shared" si="286"/>
        <v>0</v>
      </c>
      <c r="BR623" s="111">
        <f t="shared" si="286"/>
        <v>0</v>
      </c>
      <c r="BS623" s="111">
        <f t="shared" si="286"/>
        <v>0</v>
      </c>
      <c r="BT623" s="111">
        <f t="shared" si="286"/>
        <v>0</v>
      </c>
      <c r="BU623" s="111">
        <f t="shared" si="286"/>
        <v>0</v>
      </c>
      <c r="BV623" s="111">
        <f t="shared" si="286"/>
        <v>0</v>
      </c>
      <c r="BW623" s="111">
        <f t="shared" si="286"/>
        <v>0</v>
      </c>
      <c r="BX623" s="111">
        <f t="shared" si="286"/>
        <v>0</v>
      </c>
      <c r="BY623" s="111">
        <f t="shared" si="286"/>
        <v>0</v>
      </c>
      <c r="BZ623" s="111">
        <f t="shared" si="286"/>
        <v>0</v>
      </c>
      <c r="CA623" s="111">
        <f t="shared" si="286"/>
        <v>0</v>
      </c>
      <c r="CB623" s="111">
        <f t="shared" si="286"/>
        <v>0</v>
      </c>
      <c r="CC623" s="111">
        <f t="shared" si="286"/>
        <v>0</v>
      </c>
      <c r="CD623" s="111">
        <f t="shared" si="286"/>
        <v>0</v>
      </c>
      <c r="CE623" s="111">
        <f t="shared" si="286"/>
        <v>0</v>
      </c>
      <c r="CF623" s="111">
        <f t="shared" si="286"/>
        <v>0</v>
      </c>
      <c r="CG623" s="111">
        <f t="shared" si="286"/>
        <v>0</v>
      </c>
      <c r="CH623" s="111">
        <f t="shared" si="286"/>
        <v>0</v>
      </c>
      <c r="CI623" s="111">
        <f t="shared" si="286"/>
        <v>0</v>
      </c>
      <c r="CJ623" s="111">
        <f t="shared" si="286"/>
        <v>0</v>
      </c>
      <c r="CK623" s="111">
        <f t="shared" si="286"/>
        <v>0</v>
      </c>
      <c r="CL623" s="111">
        <f t="shared" si="286"/>
        <v>0</v>
      </c>
      <c r="CM623" s="111">
        <f t="shared" si="286"/>
        <v>0</v>
      </c>
      <c r="CN623" s="111">
        <f t="shared" si="286"/>
        <v>0</v>
      </c>
      <c r="CO623" s="111">
        <f t="shared" si="286"/>
        <v>0</v>
      </c>
      <c r="CP623" s="111">
        <f t="shared" si="286"/>
        <v>0</v>
      </c>
      <c r="CQ623" s="3" t="s">
        <v>702</v>
      </c>
    </row>
    <row r="624" spans="1:95" ht="14.45" outlineLevel="2">
      <c r="A624" s="97"/>
      <c r="B624" s="97" t="s">
        <v>676</v>
      </c>
      <c r="C624" s="97"/>
      <c r="D624" s="111">
        <f t="shared" ref="D624:AI624" si="287">Forecast_year_stroke_cost*Extrapolation_mask</f>
        <v>0</v>
      </c>
      <c r="E624" s="111">
        <f t="shared" si="287"/>
        <v>0</v>
      </c>
      <c r="F624" s="111">
        <f t="shared" si="287"/>
        <v>0</v>
      </c>
      <c r="G624" s="111">
        <f t="shared" si="287"/>
        <v>0</v>
      </c>
      <c r="H624" s="111">
        <f t="shared" si="287"/>
        <v>0</v>
      </c>
      <c r="I624" s="111">
        <f t="shared" si="287"/>
        <v>0</v>
      </c>
      <c r="J624" s="111">
        <f t="shared" si="287"/>
        <v>0</v>
      </c>
      <c r="K624" s="111">
        <f t="shared" si="287"/>
        <v>0</v>
      </c>
      <c r="L624" s="111">
        <f t="shared" si="287"/>
        <v>0</v>
      </c>
      <c r="M624" s="111">
        <f t="shared" si="287"/>
        <v>0</v>
      </c>
      <c r="N624" s="111">
        <f t="shared" si="287"/>
        <v>0</v>
      </c>
      <c r="O624" s="111">
        <f t="shared" si="287"/>
        <v>0</v>
      </c>
      <c r="P624" s="111">
        <f t="shared" si="287"/>
        <v>0</v>
      </c>
      <c r="Q624" s="111">
        <f t="shared" si="287"/>
        <v>0</v>
      </c>
      <c r="R624" s="111">
        <f t="shared" si="287"/>
        <v>0</v>
      </c>
      <c r="S624" s="111">
        <f t="shared" si="287"/>
        <v>0</v>
      </c>
      <c r="T624" s="111">
        <f t="shared" si="287"/>
        <v>0</v>
      </c>
      <c r="U624" s="111">
        <f t="shared" si="287"/>
        <v>0</v>
      </c>
      <c r="V624" s="111">
        <f t="shared" si="287"/>
        <v>0</v>
      </c>
      <c r="W624" s="111">
        <f t="shared" si="287"/>
        <v>0</v>
      </c>
      <c r="X624" s="111">
        <f t="shared" si="287"/>
        <v>0</v>
      </c>
      <c r="Y624" s="111">
        <f t="shared" si="287"/>
        <v>0</v>
      </c>
      <c r="Z624" s="111">
        <f t="shared" si="287"/>
        <v>0</v>
      </c>
      <c r="AA624" s="111">
        <f t="shared" si="287"/>
        <v>0</v>
      </c>
      <c r="AB624" s="111">
        <f t="shared" si="287"/>
        <v>0</v>
      </c>
      <c r="AC624" s="111">
        <f t="shared" si="287"/>
        <v>0</v>
      </c>
      <c r="AD624" s="111">
        <f t="shared" si="287"/>
        <v>0</v>
      </c>
      <c r="AE624" s="111">
        <f t="shared" si="287"/>
        <v>0</v>
      </c>
      <c r="AF624" s="111">
        <f t="shared" si="287"/>
        <v>0</v>
      </c>
      <c r="AG624" s="111">
        <f t="shared" si="287"/>
        <v>0</v>
      </c>
      <c r="AH624" s="111">
        <f t="shared" si="287"/>
        <v>0</v>
      </c>
      <c r="AI624" s="111">
        <f t="shared" si="287"/>
        <v>0</v>
      </c>
      <c r="AJ624" s="111">
        <f t="shared" ref="AJ624:BO624" si="288">Forecast_year_stroke_cost*Extrapolation_mask</f>
        <v>0</v>
      </c>
      <c r="AK624" s="111">
        <f t="shared" si="288"/>
        <v>0</v>
      </c>
      <c r="AL624" s="111">
        <f t="shared" si="288"/>
        <v>0</v>
      </c>
      <c r="AM624" s="111">
        <f t="shared" si="288"/>
        <v>0</v>
      </c>
      <c r="AN624" s="111">
        <f t="shared" si="288"/>
        <v>0</v>
      </c>
      <c r="AO624" s="111">
        <f t="shared" si="288"/>
        <v>0</v>
      </c>
      <c r="AP624" s="111">
        <f t="shared" si="288"/>
        <v>0</v>
      </c>
      <c r="AQ624" s="111">
        <f t="shared" si="288"/>
        <v>0</v>
      </c>
      <c r="AR624" s="111">
        <f t="shared" si="288"/>
        <v>0</v>
      </c>
      <c r="AS624" s="111">
        <f t="shared" si="288"/>
        <v>0</v>
      </c>
      <c r="AT624" s="111">
        <f t="shared" si="288"/>
        <v>0</v>
      </c>
      <c r="AU624" s="111">
        <f t="shared" si="288"/>
        <v>0</v>
      </c>
      <c r="AV624" s="111">
        <f t="shared" si="288"/>
        <v>0</v>
      </c>
      <c r="AW624" s="111">
        <f t="shared" si="288"/>
        <v>0</v>
      </c>
      <c r="AX624" s="111">
        <f t="shared" si="288"/>
        <v>0</v>
      </c>
      <c r="AY624" s="111">
        <f t="shared" si="288"/>
        <v>0</v>
      </c>
      <c r="AZ624" s="111">
        <f t="shared" si="288"/>
        <v>0</v>
      </c>
      <c r="BA624" s="111">
        <f t="shared" si="288"/>
        <v>0</v>
      </c>
      <c r="BB624" s="111">
        <f t="shared" si="288"/>
        <v>0</v>
      </c>
      <c r="BC624" s="111">
        <f t="shared" si="288"/>
        <v>0</v>
      </c>
      <c r="BD624" s="111">
        <f t="shared" si="288"/>
        <v>0</v>
      </c>
      <c r="BE624" s="111">
        <f t="shared" si="288"/>
        <v>0</v>
      </c>
      <c r="BF624" s="111">
        <f t="shared" si="288"/>
        <v>0</v>
      </c>
      <c r="BG624" s="111">
        <f t="shared" si="288"/>
        <v>0</v>
      </c>
      <c r="BH624" s="111">
        <f t="shared" si="288"/>
        <v>0</v>
      </c>
      <c r="BI624" s="111">
        <f t="shared" si="288"/>
        <v>0</v>
      </c>
      <c r="BJ624" s="111">
        <f t="shared" si="288"/>
        <v>0</v>
      </c>
      <c r="BK624" s="111">
        <f t="shared" si="288"/>
        <v>0</v>
      </c>
      <c r="BL624" s="111">
        <f t="shared" si="288"/>
        <v>0</v>
      </c>
      <c r="BM624" s="111">
        <f t="shared" si="288"/>
        <v>0</v>
      </c>
      <c r="BN624" s="111">
        <f t="shared" si="288"/>
        <v>0</v>
      </c>
      <c r="BO624" s="111">
        <f t="shared" si="288"/>
        <v>0</v>
      </c>
      <c r="BP624" s="111">
        <f t="shared" ref="BP624:CP624" si="289">Forecast_year_stroke_cost*Extrapolation_mask</f>
        <v>0</v>
      </c>
      <c r="BQ624" s="111">
        <f t="shared" si="289"/>
        <v>0</v>
      </c>
      <c r="BR624" s="111">
        <f t="shared" si="289"/>
        <v>0</v>
      </c>
      <c r="BS624" s="111">
        <f t="shared" si="289"/>
        <v>0</v>
      </c>
      <c r="BT624" s="111">
        <f t="shared" si="289"/>
        <v>0</v>
      </c>
      <c r="BU624" s="111">
        <f t="shared" si="289"/>
        <v>0</v>
      </c>
      <c r="BV624" s="111">
        <f t="shared" si="289"/>
        <v>0</v>
      </c>
      <c r="BW624" s="111">
        <f t="shared" si="289"/>
        <v>0</v>
      </c>
      <c r="BX624" s="111">
        <f t="shared" si="289"/>
        <v>0</v>
      </c>
      <c r="BY624" s="111">
        <f t="shared" si="289"/>
        <v>0</v>
      </c>
      <c r="BZ624" s="111">
        <f t="shared" si="289"/>
        <v>0</v>
      </c>
      <c r="CA624" s="111">
        <f t="shared" si="289"/>
        <v>0</v>
      </c>
      <c r="CB624" s="111">
        <f t="shared" si="289"/>
        <v>0</v>
      </c>
      <c r="CC624" s="111">
        <f t="shared" si="289"/>
        <v>0</v>
      </c>
      <c r="CD624" s="111">
        <f t="shared" si="289"/>
        <v>0</v>
      </c>
      <c r="CE624" s="111">
        <f t="shared" si="289"/>
        <v>0</v>
      </c>
      <c r="CF624" s="111">
        <f t="shared" si="289"/>
        <v>0</v>
      </c>
      <c r="CG624" s="111">
        <f t="shared" si="289"/>
        <v>0</v>
      </c>
      <c r="CH624" s="111">
        <f t="shared" si="289"/>
        <v>0</v>
      </c>
      <c r="CI624" s="111">
        <f t="shared" si="289"/>
        <v>0</v>
      </c>
      <c r="CJ624" s="111">
        <f t="shared" si="289"/>
        <v>0</v>
      </c>
      <c r="CK624" s="111">
        <f t="shared" si="289"/>
        <v>0</v>
      </c>
      <c r="CL624" s="111">
        <f t="shared" si="289"/>
        <v>0</v>
      </c>
      <c r="CM624" s="111">
        <f t="shared" si="289"/>
        <v>0</v>
      </c>
      <c r="CN624" s="111">
        <f t="shared" si="289"/>
        <v>0</v>
      </c>
      <c r="CO624" s="111">
        <f t="shared" si="289"/>
        <v>0</v>
      </c>
      <c r="CP624" s="111">
        <f t="shared" si="289"/>
        <v>0</v>
      </c>
      <c r="CQ624" s="3" t="s">
        <v>703</v>
      </c>
    </row>
    <row r="625" spans="1:95" ht="14.45" outlineLevel="2">
      <c r="A625" s="97"/>
      <c r="B625" s="97" t="s">
        <v>685</v>
      </c>
      <c r="C625" s="97"/>
      <c r="D625" s="111">
        <f t="shared" ref="D625:AI625" si="290">Opening_year_stroke_cost_mask+Forecast_year_stroke_cost_mask+Interpolation_stroke_cost_mask+Extrapolation_stroke_cost_mask</f>
        <v>0</v>
      </c>
      <c r="E625" s="111">
        <f t="shared" si="290"/>
        <v>0</v>
      </c>
      <c r="F625" s="111">
        <f t="shared" si="290"/>
        <v>0</v>
      </c>
      <c r="G625" s="111">
        <f t="shared" si="290"/>
        <v>0</v>
      </c>
      <c r="H625" s="111">
        <f t="shared" si="290"/>
        <v>0</v>
      </c>
      <c r="I625" s="111">
        <f t="shared" si="290"/>
        <v>0</v>
      </c>
      <c r="J625" s="111">
        <f t="shared" si="290"/>
        <v>0</v>
      </c>
      <c r="K625" s="111">
        <f t="shared" si="290"/>
        <v>0</v>
      </c>
      <c r="L625" s="111">
        <f t="shared" si="290"/>
        <v>0</v>
      </c>
      <c r="M625" s="111">
        <f t="shared" si="290"/>
        <v>0</v>
      </c>
      <c r="N625" s="111">
        <f t="shared" si="290"/>
        <v>0</v>
      </c>
      <c r="O625" s="111">
        <f t="shared" si="290"/>
        <v>0</v>
      </c>
      <c r="P625" s="111">
        <f t="shared" si="290"/>
        <v>0</v>
      </c>
      <c r="Q625" s="111">
        <f t="shared" si="290"/>
        <v>0</v>
      </c>
      <c r="R625" s="111">
        <f t="shared" si="290"/>
        <v>0</v>
      </c>
      <c r="S625" s="111">
        <f t="shared" si="290"/>
        <v>0</v>
      </c>
      <c r="T625" s="111">
        <f t="shared" si="290"/>
        <v>0</v>
      </c>
      <c r="U625" s="111">
        <f t="shared" si="290"/>
        <v>0</v>
      </c>
      <c r="V625" s="111">
        <f t="shared" si="290"/>
        <v>0</v>
      </c>
      <c r="W625" s="111">
        <f t="shared" si="290"/>
        <v>0</v>
      </c>
      <c r="X625" s="111">
        <f t="shared" si="290"/>
        <v>0</v>
      </c>
      <c r="Y625" s="111">
        <f t="shared" si="290"/>
        <v>0</v>
      </c>
      <c r="Z625" s="111">
        <f t="shared" si="290"/>
        <v>0</v>
      </c>
      <c r="AA625" s="111">
        <f t="shared" si="290"/>
        <v>0</v>
      </c>
      <c r="AB625" s="111">
        <f t="shared" si="290"/>
        <v>0</v>
      </c>
      <c r="AC625" s="111">
        <f t="shared" si="290"/>
        <v>0</v>
      </c>
      <c r="AD625" s="111">
        <f t="shared" si="290"/>
        <v>0</v>
      </c>
      <c r="AE625" s="111">
        <f t="shared" si="290"/>
        <v>0</v>
      </c>
      <c r="AF625" s="111">
        <f t="shared" si="290"/>
        <v>0</v>
      </c>
      <c r="AG625" s="111">
        <f t="shared" si="290"/>
        <v>0</v>
      </c>
      <c r="AH625" s="111">
        <f t="shared" si="290"/>
        <v>0</v>
      </c>
      <c r="AI625" s="111">
        <f t="shared" si="290"/>
        <v>0</v>
      </c>
      <c r="AJ625" s="111">
        <f t="shared" ref="AJ625:BO625" si="291">Opening_year_stroke_cost_mask+Forecast_year_stroke_cost_mask+Interpolation_stroke_cost_mask+Extrapolation_stroke_cost_mask</f>
        <v>0</v>
      </c>
      <c r="AK625" s="111">
        <f t="shared" si="291"/>
        <v>0</v>
      </c>
      <c r="AL625" s="111">
        <f t="shared" si="291"/>
        <v>0</v>
      </c>
      <c r="AM625" s="111">
        <f t="shared" si="291"/>
        <v>0</v>
      </c>
      <c r="AN625" s="111">
        <f t="shared" si="291"/>
        <v>0</v>
      </c>
      <c r="AO625" s="111">
        <f t="shared" si="291"/>
        <v>0</v>
      </c>
      <c r="AP625" s="111">
        <f t="shared" si="291"/>
        <v>0</v>
      </c>
      <c r="AQ625" s="111">
        <f t="shared" si="291"/>
        <v>0</v>
      </c>
      <c r="AR625" s="111">
        <f t="shared" si="291"/>
        <v>0</v>
      </c>
      <c r="AS625" s="111">
        <f t="shared" si="291"/>
        <v>0</v>
      </c>
      <c r="AT625" s="111">
        <f t="shared" si="291"/>
        <v>0</v>
      </c>
      <c r="AU625" s="111">
        <f t="shared" si="291"/>
        <v>0</v>
      </c>
      <c r="AV625" s="111">
        <f t="shared" si="291"/>
        <v>0</v>
      </c>
      <c r="AW625" s="111">
        <f t="shared" si="291"/>
        <v>0</v>
      </c>
      <c r="AX625" s="111">
        <f t="shared" si="291"/>
        <v>0</v>
      </c>
      <c r="AY625" s="111">
        <f t="shared" si="291"/>
        <v>0</v>
      </c>
      <c r="AZ625" s="111">
        <f t="shared" si="291"/>
        <v>0</v>
      </c>
      <c r="BA625" s="111">
        <f t="shared" si="291"/>
        <v>0</v>
      </c>
      <c r="BB625" s="111">
        <f t="shared" si="291"/>
        <v>0</v>
      </c>
      <c r="BC625" s="111">
        <f t="shared" si="291"/>
        <v>0</v>
      </c>
      <c r="BD625" s="111">
        <f t="shared" si="291"/>
        <v>0</v>
      </c>
      <c r="BE625" s="111">
        <f t="shared" si="291"/>
        <v>0</v>
      </c>
      <c r="BF625" s="111">
        <f t="shared" si="291"/>
        <v>0</v>
      </c>
      <c r="BG625" s="111">
        <f t="shared" si="291"/>
        <v>0</v>
      </c>
      <c r="BH625" s="111">
        <f t="shared" si="291"/>
        <v>0</v>
      </c>
      <c r="BI625" s="111">
        <f t="shared" si="291"/>
        <v>0</v>
      </c>
      <c r="BJ625" s="111">
        <f t="shared" si="291"/>
        <v>0</v>
      </c>
      <c r="BK625" s="111">
        <f t="shared" si="291"/>
        <v>0</v>
      </c>
      <c r="BL625" s="111">
        <f t="shared" si="291"/>
        <v>0</v>
      </c>
      <c r="BM625" s="111">
        <f t="shared" si="291"/>
        <v>0</v>
      </c>
      <c r="BN625" s="111">
        <f t="shared" si="291"/>
        <v>0</v>
      </c>
      <c r="BO625" s="111">
        <f t="shared" si="291"/>
        <v>0</v>
      </c>
      <c r="BP625" s="111">
        <f t="shared" ref="BP625:CP625" si="292">Opening_year_stroke_cost_mask+Forecast_year_stroke_cost_mask+Interpolation_stroke_cost_mask+Extrapolation_stroke_cost_mask</f>
        <v>0</v>
      </c>
      <c r="BQ625" s="111">
        <f t="shared" si="292"/>
        <v>0</v>
      </c>
      <c r="BR625" s="111">
        <f t="shared" si="292"/>
        <v>0</v>
      </c>
      <c r="BS625" s="111">
        <f t="shared" si="292"/>
        <v>0</v>
      </c>
      <c r="BT625" s="111">
        <f t="shared" si="292"/>
        <v>0</v>
      </c>
      <c r="BU625" s="111">
        <f t="shared" si="292"/>
        <v>0</v>
      </c>
      <c r="BV625" s="111">
        <f t="shared" si="292"/>
        <v>0</v>
      </c>
      <c r="BW625" s="111">
        <f t="shared" si="292"/>
        <v>0</v>
      </c>
      <c r="BX625" s="111">
        <f t="shared" si="292"/>
        <v>0</v>
      </c>
      <c r="BY625" s="111">
        <f t="shared" si="292"/>
        <v>0</v>
      </c>
      <c r="BZ625" s="111">
        <f t="shared" si="292"/>
        <v>0</v>
      </c>
      <c r="CA625" s="111">
        <f t="shared" si="292"/>
        <v>0</v>
      </c>
      <c r="CB625" s="111">
        <f t="shared" si="292"/>
        <v>0</v>
      </c>
      <c r="CC625" s="111">
        <f t="shared" si="292"/>
        <v>0</v>
      </c>
      <c r="CD625" s="111">
        <f t="shared" si="292"/>
        <v>0</v>
      </c>
      <c r="CE625" s="111">
        <f t="shared" si="292"/>
        <v>0</v>
      </c>
      <c r="CF625" s="111">
        <f t="shared" si="292"/>
        <v>0</v>
      </c>
      <c r="CG625" s="111">
        <f t="shared" si="292"/>
        <v>0</v>
      </c>
      <c r="CH625" s="111">
        <f t="shared" si="292"/>
        <v>0</v>
      </c>
      <c r="CI625" s="111">
        <f t="shared" si="292"/>
        <v>0</v>
      </c>
      <c r="CJ625" s="111">
        <f t="shared" si="292"/>
        <v>0</v>
      </c>
      <c r="CK625" s="111">
        <f t="shared" si="292"/>
        <v>0</v>
      </c>
      <c r="CL625" s="111">
        <f t="shared" si="292"/>
        <v>0</v>
      </c>
      <c r="CM625" s="111">
        <f t="shared" si="292"/>
        <v>0</v>
      </c>
      <c r="CN625" s="111">
        <f t="shared" si="292"/>
        <v>0</v>
      </c>
      <c r="CO625" s="111">
        <f t="shared" si="292"/>
        <v>0</v>
      </c>
      <c r="CP625" s="111">
        <f t="shared" si="292"/>
        <v>0</v>
      </c>
      <c r="CQ625" s="3" t="s">
        <v>704</v>
      </c>
    </row>
    <row r="626" spans="1:95" ht="14.45" outlineLevel="2">
      <c r="A626" s="97"/>
      <c r="B626" s="97"/>
      <c r="C626" s="97"/>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4"/>
      <c r="AY626" s="114"/>
      <c r="AZ626" s="114"/>
      <c r="BA626" s="114"/>
      <c r="BB626" s="114"/>
      <c r="BC626" s="114"/>
      <c r="BD626" s="114"/>
      <c r="BE626" s="114"/>
      <c r="BF626" s="114"/>
      <c r="BG626" s="114"/>
      <c r="BH626" s="114"/>
      <c r="BI626" s="114"/>
      <c r="BJ626" s="114"/>
      <c r="BK626" s="114"/>
      <c r="BL626" s="114"/>
      <c r="BM626" s="114"/>
      <c r="BN626" s="114"/>
      <c r="BO626" s="114"/>
      <c r="BP626" s="114"/>
      <c r="BQ626" s="114"/>
      <c r="BR626" s="114"/>
      <c r="BS626" s="114"/>
      <c r="BT626" s="114"/>
      <c r="BU626" s="114"/>
      <c r="BV626" s="114"/>
      <c r="BW626" s="114"/>
      <c r="BX626" s="114"/>
      <c r="BY626" s="114"/>
      <c r="BZ626" s="114"/>
      <c r="CA626" s="114"/>
      <c r="CB626" s="114"/>
      <c r="CC626" s="114"/>
      <c r="CD626" s="114"/>
      <c r="CE626" s="114"/>
      <c r="CF626" s="114"/>
      <c r="CG626" s="114"/>
      <c r="CH626" s="114"/>
      <c r="CI626" s="114"/>
      <c r="CJ626" s="114"/>
      <c r="CK626" s="114"/>
      <c r="CL626" s="114"/>
      <c r="CM626" s="114"/>
      <c r="CN626" s="114"/>
      <c r="CO626" s="114"/>
      <c r="CP626" s="114"/>
      <c r="CQ626" s="3"/>
    </row>
    <row r="627" spans="1:95" s="5" customFormat="1" ht="18.75" customHeight="1" outlineLevel="2">
      <c r="B627" s="5" t="s">
        <v>705</v>
      </c>
    </row>
    <row r="628" spans="1:95" s="4" customFormat="1" ht="18.75" customHeight="1" outlineLevel="2">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c r="CC628" s="62"/>
      <c r="CD628" s="62"/>
      <c r="CE628" s="62"/>
      <c r="CF628" s="62"/>
      <c r="CG628" s="62"/>
      <c r="CH628" s="62"/>
      <c r="CI628" s="62"/>
      <c r="CJ628" s="62"/>
      <c r="CK628" s="62"/>
      <c r="CL628" s="62"/>
      <c r="CM628" s="62"/>
      <c r="CN628" s="62"/>
      <c r="CO628" s="62"/>
      <c r="CP628" s="62"/>
      <c r="CQ628" s="62"/>
    </row>
    <row r="629" spans="1:95" ht="14.25" customHeight="1" outlineLevel="2">
      <c r="A629" s="97"/>
      <c r="B629" s="134"/>
      <c r="C629" s="134"/>
      <c r="D629" s="12">
        <v>2010</v>
      </c>
      <c r="E629" s="12">
        <v>2011</v>
      </c>
      <c r="F629" s="12">
        <v>2012</v>
      </c>
      <c r="G629" s="12">
        <v>2013</v>
      </c>
      <c r="H629" s="12">
        <v>2014</v>
      </c>
      <c r="I629" s="12">
        <v>2015</v>
      </c>
      <c r="J629" s="12">
        <v>2016</v>
      </c>
      <c r="K629" s="12">
        <v>2017</v>
      </c>
      <c r="L629" s="12">
        <v>2018</v>
      </c>
      <c r="M629" s="12">
        <v>2019</v>
      </c>
      <c r="N629" s="12">
        <v>2020</v>
      </c>
      <c r="O629" s="12">
        <v>2021</v>
      </c>
      <c r="P629" s="12">
        <v>2022</v>
      </c>
      <c r="Q629" s="12">
        <v>2023</v>
      </c>
      <c r="R629" s="12">
        <v>2024</v>
      </c>
      <c r="S629" s="12">
        <v>2025</v>
      </c>
      <c r="T629" s="12">
        <v>2026</v>
      </c>
      <c r="U629" s="12">
        <v>2027</v>
      </c>
      <c r="V629" s="12">
        <v>2028</v>
      </c>
      <c r="W629" s="12">
        <v>2029</v>
      </c>
      <c r="X629" s="12">
        <v>2030</v>
      </c>
      <c r="Y629" s="12">
        <v>2031</v>
      </c>
      <c r="Z629" s="12">
        <v>2032</v>
      </c>
      <c r="AA629" s="12">
        <v>2033</v>
      </c>
      <c r="AB629" s="12">
        <v>2034</v>
      </c>
      <c r="AC629" s="12">
        <v>2035</v>
      </c>
      <c r="AD629" s="12">
        <v>2036</v>
      </c>
      <c r="AE629" s="12">
        <v>2037</v>
      </c>
      <c r="AF629" s="12">
        <v>2038</v>
      </c>
      <c r="AG629" s="12">
        <v>2039</v>
      </c>
      <c r="AH629" s="12">
        <v>2040</v>
      </c>
      <c r="AI629" s="12">
        <v>2041</v>
      </c>
      <c r="AJ629" s="12">
        <v>2042</v>
      </c>
      <c r="AK629" s="12">
        <v>2043</v>
      </c>
      <c r="AL629" s="12">
        <v>2044</v>
      </c>
      <c r="AM629" s="12">
        <v>2045</v>
      </c>
      <c r="AN629" s="12">
        <v>2046</v>
      </c>
      <c r="AO629" s="12">
        <v>2047</v>
      </c>
      <c r="AP629" s="12">
        <v>2048</v>
      </c>
      <c r="AQ629" s="12">
        <v>2049</v>
      </c>
      <c r="AR629" s="12">
        <v>2050</v>
      </c>
      <c r="AS629" s="12">
        <v>2051</v>
      </c>
      <c r="AT629" s="12">
        <v>2052</v>
      </c>
      <c r="AU629" s="12">
        <v>2053</v>
      </c>
      <c r="AV629" s="12">
        <v>2054</v>
      </c>
      <c r="AW629" s="12">
        <v>2055</v>
      </c>
      <c r="AX629" s="12">
        <v>2056</v>
      </c>
      <c r="AY629" s="12">
        <v>2057</v>
      </c>
      <c r="AZ629" s="12">
        <v>2058</v>
      </c>
      <c r="BA629" s="12">
        <v>2059</v>
      </c>
      <c r="BB629" s="12">
        <v>2060</v>
      </c>
      <c r="BC629" s="12">
        <v>2061</v>
      </c>
      <c r="BD629" s="12">
        <v>2062</v>
      </c>
      <c r="BE629" s="12">
        <v>2063</v>
      </c>
      <c r="BF629" s="12">
        <v>2064</v>
      </c>
      <c r="BG629" s="12">
        <v>2065</v>
      </c>
      <c r="BH629" s="12">
        <v>2066</v>
      </c>
      <c r="BI629" s="12">
        <v>2067</v>
      </c>
      <c r="BJ629" s="12">
        <v>2068</v>
      </c>
      <c r="BK629" s="12">
        <v>2069</v>
      </c>
      <c r="BL629" s="12">
        <v>2070</v>
      </c>
      <c r="BM629" s="12">
        <v>2071</v>
      </c>
      <c r="BN629" s="12">
        <v>2072</v>
      </c>
      <c r="BO629" s="12">
        <v>2073</v>
      </c>
      <c r="BP629" s="12">
        <v>2074</v>
      </c>
      <c r="BQ629" s="12">
        <v>2075</v>
      </c>
      <c r="BR629" s="12">
        <v>2076</v>
      </c>
      <c r="BS629" s="12">
        <v>2077</v>
      </c>
      <c r="BT629" s="12">
        <v>2078</v>
      </c>
      <c r="BU629" s="12">
        <v>2079</v>
      </c>
      <c r="BV629" s="12">
        <v>2080</v>
      </c>
      <c r="BW629" s="12">
        <v>2081</v>
      </c>
      <c r="BX629" s="12">
        <v>2082</v>
      </c>
      <c r="BY629" s="12">
        <v>2083</v>
      </c>
      <c r="BZ629" s="12">
        <v>2084</v>
      </c>
      <c r="CA629" s="12">
        <v>2085</v>
      </c>
      <c r="CB629" s="12">
        <v>2086</v>
      </c>
      <c r="CC629" s="12">
        <v>2087</v>
      </c>
      <c r="CD629" s="12">
        <v>2088</v>
      </c>
      <c r="CE629" s="12">
        <v>2089</v>
      </c>
      <c r="CF629" s="12">
        <v>2090</v>
      </c>
      <c r="CG629" s="12">
        <v>2091</v>
      </c>
      <c r="CH629" s="12">
        <v>2092</v>
      </c>
      <c r="CI629" s="12">
        <v>2093</v>
      </c>
      <c r="CJ629" s="12">
        <v>2094</v>
      </c>
      <c r="CK629" s="12">
        <v>2095</v>
      </c>
      <c r="CL629" s="12">
        <v>2096</v>
      </c>
      <c r="CM629" s="12">
        <v>2097</v>
      </c>
      <c r="CN629" s="12">
        <v>2098</v>
      </c>
      <c r="CO629" s="12">
        <v>2099</v>
      </c>
      <c r="CP629" s="12">
        <v>2100</v>
      </c>
      <c r="CQ629" s="97"/>
    </row>
    <row r="630" spans="1:95" ht="14.45" outlineLevel="2">
      <c r="A630" s="97"/>
      <c r="B630" s="97" t="s">
        <v>59</v>
      </c>
      <c r="C630" s="97"/>
      <c r="D630" s="111">
        <f t="shared" ref="D630:AI630" si="293">Opening_year_dementia_cost*Opening_year_mask</f>
        <v>0</v>
      </c>
      <c r="E630" s="111">
        <f t="shared" si="293"/>
        <v>0</v>
      </c>
      <c r="F630" s="111">
        <f t="shared" si="293"/>
        <v>0</v>
      </c>
      <c r="G630" s="111">
        <f t="shared" si="293"/>
        <v>0</v>
      </c>
      <c r="H630" s="111">
        <f t="shared" si="293"/>
        <v>0</v>
      </c>
      <c r="I630" s="111">
        <f t="shared" si="293"/>
        <v>0</v>
      </c>
      <c r="J630" s="111">
        <f t="shared" si="293"/>
        <v>0</v>
      </c>
      <c r="K630" s="111">
        <f t="shared" si="293"/>
        <v>0</v>
      </c>
      <c r="L630" s="111">
        <f t="shared" si="293"/>
        <v>0</v>
      </c>
      <c r="M630" s="111">
        <f t="shared" si="293"/>
        <v>0</v>
      </c>
      <c r="N630" s="111">
        <f t="shared" si="293"/>
        <v>0</v>
      </c>
      <c r="O630" s="111">
        <f t="shared" si="293"/>
        <v>0</v>
      </c>
      <c r="P630" s="111">
        <f t="shared" si="293"/>
        <v>0</v>
      </c>
      <c r="Q630" s="111">
        <f t="shared" si="293"/>
        <v>0</v>
      </c>
      <c r="R630" s="111">
        <f t="shared" si="293"/>
        <v>0</v>
      </c>
      <c r="S630" s="111">
        <f t="shared" si="293"/>
        <v>0</v>
      </c>
      <c r="T630" s="111">
        <f t="shared" si="293"/>
        <v>0</v>
      </c>
      <c r="U630" s="111">
        <f t="shared" si="293"/>
        <v>0</v>
      </c>
      <c r="V630" s="111">
        <f t="shared" si="293"/>
        <v>0</v>
      </c>
      <c r="W630" s="111">
        <f t="shared" si="293"/>
        <v>0</v>
      </c>
      <c r="X630" s="111">
        <f t="shared" si="293"/>
        <v>0</v>
      </c>
      <c r="Y630" s="111">
        <f t="shared" si="293"/>
        <v>0</v>
      </c>
      <c r="Z630" s="111">
        <f t="shared" si="293"/>
        <v>0</v>
      </c>
      <c r="AA630" s="111">
        <f t="shared" si="293"/>
        <v>0</v>
      </c>
      <c r="AB630" s="111">
        <f t="shared" si="293"/>
        <v>0</v>
      </c>
      <c r="AC630" s="111">
        <f t="shared" si="293"/>
        <v>0</v>
      </c>
      <c r="AD630" s="111">
        <f t="shared" si="293"/>
        <v>0</v>
      </c>
      <c r="AE630" s="111">
        <f t="shared" si="293"/>
        <v>0</v>
      </c>
      <c r="AF630" s="111">
        <f t="shared" si="293"/>
        <v>0</v>
      </c>
      <c r="AG630" s="111">
        <f t="shared" si="293"/>
        <v>0</v>
      </c>
      <c r="AH630" s="111">
        <f t="shared" si="293"/>
        <v>0</v>
      </c>
      <c r="AI630" s="111">
        <f t="shared" si="293"/>
        <v>0</v>
      </c>
      <c r="AJ630" s="111">
        <f t="shared" ref="AJ630:BO630" si="294">Opening_year_dementia_cost*Opening_year_mask</f>
        <v>0</v>
      </c>
      <c r="AK630" s="111">
        <f t="shared" si="294"/>
        <v>0</v>
      </c>
      <c r="AL630" s="111">
        <f t="shared" si="294"/>
        <v>0</v>
      </c>
      <c r="AM630" s="111">
        <f t="shared" si="294"/>
        <v>0</v>
      </c>
      <c r="AN630" s="111">
        <f t="shared" si="294"/>
        <v>0</v>
      </c>
      <c r="AO630" s="111">
        <f t="shared" si="294"/>
        <v>0</v>
      </c>
      <c r="AP630" s="111">
        <f t="shared" si="294"/>
        <v>0</v>
      </c>
      <c r="AQ630" s="111">
        <f t="shared" si="294"/>
        <v>0</v>
      </c>
      <c r="AR630" s="111">
        <f t="shared" si="294"/>
        <v>0</v>
      </c>
      <c r="AS630" s="111">
        <f t="shared" si="294"/>
        <v>0</v>
      </c>
      <c r="AT630" s="111">
        <f t="shared" si="294"/>
        <v>0</v>
      </c>
      <c r="AU630" s="111">
        <f t="shared" si="294"/>
        <v>0</v>
      </c>
      <c r="AV630" s="111">
        <f t="shared" si="294"/>
        <v>0</v>
      </c>
      <c r="AW630" s="111">
        <f t="shared" si="294"/>
        <v>0</v>
      </c>
      <c r="AX630" s="111">
        <f t="shared" si="294"/>
        <v>0</v>
      </c>
      <c r="AY630" s="111">
        <f t="shared" si="294"/>
        <v>0</v>
      </c>
      <c r="AZ630" s="111">
        <f t="shared" si="294"/>
        <v>0</v>
      </c>
      <c r="BA630" s="111">
        <f t="shared" si="294"/>
        <v>0</v>
      </c>
      <c r="BB630" s="111">
        <f t="shared" si="294"/>
        <v>0</v>
      </c>
      <c r="BC630" s="111">
        <f t="shared" si="294"/>
        <v>0</v>
      </c>
      <c r="BD630" s="111">
        <f t="shared" si="294"/>
        <v>0</v>
      </c>
      <c r="BE630" s="111">
        <f t="shared" si="294"/>
        <v>0</v>
      </c>
      <c r="BF630" s="111">
        <f t="shared" si="294"/>
        <v>0</v>
      </c>
      <c r="BG630" s="111">
        <f t="shared" si="294"/>
        <v>0</v>
      </c>
      <c r="BH630" s="111">
        <f t="shared" si="294"/>
        <v>0</v>
      </c>
      <c r="BI630" s="111">
        <f t="shared" si="294"/>
        <v>0</v>
      </c>
      <c r="BJ630" s="111">
        <f t="shared" si="294"/>
        <v>0</v>
      </c>
      <c r="BK630" s="111">
        <f t="shared" si="294"/>
        <v>0</v>
      </c>
      <c r="BL630" s="111">
        <f t="shared" si="294"/>
        <v>0</v>
      </c>
      <c r="BM630" s="111">
        <f t="shared" si="294"/>
        <v>0</v>
      </c>
      <c r="BN630" s="111">
        <f t="shared" si="294"/>
        <v>0</v>
      </c>
      <c r="BO630" s="111">
        <f t="shared" si="294"/>
        <v>0</v>
      </c>
      <c r="BP630" s="111">
        <f t="shared" ref="BP630:CP630" si="295">Opening_year_dementia_cost*Opening_year_mask</f>
        <v>0</v>
      </c>
      <c r="BQ630" s="111">
        <f t="shared" si="295"/>
        <v>0</v>
      </c>
      <c r="BR630" s="111">
        <f t="shared" si="295"/>
        <v>0</v>
      </c>
      <c r="BS630" s="111">
        <f t="shared" si="295"/>
        <v>0</v>
      </c>
      <c r="BT630" s="111">
        <f t="shared" si="295"/>
        <v>0</v>
      </c>
      <c r="BU630" s="111">
        <f t="shared" si="295"/>
        <v>0</v>
      </c>
      <c r="BV630" s="111">
        <f t="shared" si="295"/>
        <v>0</v>
      </c>
      <c r="BW630" s="111">
        <f t="shared" si="295"/>
        <v>0</v>
      </c>
      <c r="BX630" s="111">
        <f t="shared" si="295"/>
        <v>0</v>
      </c>
      <c r="BY630" s="111">
        <f t="shared" si="295"/>
        <v>0</v>
      </c>
      <c r="BZ630" s="111">
        <f t="shared" si="295"/>
        <v>0</v>
      </c>
      <c r="CA630" s="111">
        <f t="shared" si="295"/>
        <v>0</v>
      </c>
      <c r="CB630" s="111">
        <f t="shared" si="295"/>
        <v>0</v>
      </c>
      <c r="CC630" s="111">
        <f t="shared" si="295"/>
        <v>0</v>
      </c>
      <c r="CD630" s="111">
        <f t="shared" si="295"/>
        <v>0</v>
      </c>
      <c r="CE630" s="111">
        <f t="shared" si="295"/>
        <v>0</v>
      </c>
      <c r="CF630" s="111">
        <f t="shared" si="295"/>
        <v>0</v>
      </c>
      <c r="CG630" s="111">
        <f t="shared" si="295"/>
        <v>0</v>
      </c>
      <c r="CH630" s="111">
        <f t="shared" si="295"/>
        <v>0</v>
      </c>
      <c r="CI630" s="111">
        <f t="shared" si="295"/>
        <v>0</v>
      </c>
      <c r="CJ630" s="111">
        <f t="shared" si="295"/>
        <v>0</v>
      </c>
      <c r="CK630" s="111">
        <f t="shared" si="295"/>
        <v>0</v>
      </c>
      <c r="CL630" s="111">
        <f t="shared" si="295"/>
        <v>0</v>
      </c>
      <c r="CM630" s="111">
        <f t="shared" si="295"/>
        <v>0</v>
      </c>
      <c r="CN630" s="111">
        <f t="shared" si="295"/>
        <v>0</v>
      </c>
      <c r="CO630" s="111">
        <f t="shared" si="295"/>
        <v>0</v>
      </c>
      <c r="CP630" s="111">
        <f t="shared" si="295"/>
        <v>0</v>
      </c>
      <c r="CQ630" s="3" t="s">
        <v>706</v>
      </c>
    </row>
    <row r="631" spans="1:95" ht="14.45" outlineLevel="2">
      <c r="A631" s="97"/>
      <c r="B631" s="97" t="s">
        <v>61</v>
      </c>
      <c r="C631" s="97"/>
      <c r="D631" s="111">
        <f t="shared" ref="D631:AI631" si="296">Forecast_year_dementia_cost*Forecast_year_mask</f>
        <v>0</v>
      </c>
      <c r="E631" s="111">
        <f t="shared" si="296"/>
        <v>0</v>
      </c>
      <c r="F631" s="111">
        <f t="shared" si="296"/>
        <v>0</v>
      </c>
      <c r="G631" s="111">
        <f t="shared" si="296"/>
        <v>0</v>
      </c>
      <c r="H631" s="111">
        <f t="shared" si="296"/>
        <v>0</v>
      </c>
      <c r="I631" s="111">
        <f t="shared" si="296"/>
        <v>0</v>
      </c>
      <c r="J631" s="111">
        <f t="shared" si="296"/>
        <v>0</v>
      </c>
      <c r="K631" s="111">
        <f t="shared" si="296"/>
        <v>0</v>
      </c>
      <c r="L631" s="111">
        <f t="shared" si="296"/>
        <v>0</v>
      </c>
      <c r="M631" s="111">
        <f t="shared" si="296"/>
        <v>0</v>
      </c>
      <c r="N631" s="111">
        <f t="shared" si="296"/>
        <v>0</v>
      </c>
      <c r="O631" s="111">
        <f t="shared" si="296"/>
        <v>0</v>
      </c>
      <c r="P631" s="111">
        <f t="shared" si="296"/>
        <v>0</v>
      </c>
      <c r="Q631" s="111">
        <f t="shared" si="296"/>
        <v>0</v>
      </c>
      <c r="R631" s="111">
        <f t="shared" si="296"/>
        <v>0</v>
      </c>
      <c r="S631" s="111">
        <f t="shared" si="296"/>
        <v>0</v>
      </c>
      <c r="T631" s="111">
        <f t="shared" si="296"/>
        <v>0</v>
      </c>
      <c r="U631" s="111">
        <f t="shared" si="296"/>
        <v>0</v>
      </c>
      <c r="V631" s="111">
        <f t="shared" si="296"/>
        <v>0</v>
      </c>
      <c r="W631" s="111">
        <f t="shared" si="296"/>
        <v>0</v>
      </c>
      <c r="X631" s="111">
        <f t="shared" si="296"/>
        <v>0</v>
      </c>
      <c r="Y631" s="111">
        <f t="shared" si="296"/>
        <v>0</v>
      </c>
      <c r="Z631" s="111">
        <f t="shared" si="296"/>
        <v>0</v>
      </c>
      <c r="AA631" s="111">
        <f t="shared" si="296"/>
        <v>0</v>
      </c>
      <c r="AB631" s="111">
        <f t="shared" si="296"/>
        <v>0</v>
      </c>
      <c r="AC631" s="111">
        <f t="shared" si="296"/>
        <v>0</v>
      </c>
      <c r="AD631" s="111">
        <f t="shared" si="296"/>
        <v>0</v>
      </c>
      <c r="AE631" s="111">
        <f t="shared" si="296"/>
        <v>0</v>
      </c>
      <c r="AF631" s="111">
        <f t="shared" si="296"/>
        <v>0</v>
      </c>
      <c r="AG631" s="111">
        <f t="shared" si="296"/>
        <v>0</v>
      </c>
      <c r="AH631" s="111">
        <f t="shared" si="296"/>
        <v>0</v>
      </c>
      <c r="AI631" s="111">
        <f t="shared" si="296"/>
        <v>0</v>
      </c>
      <c r="AJ631" s="111">
        <f t="shared" ref="AJ631:BO631" si="297">Forecast_year_dementia_cost*Forecast_year_mask</f>
        <v>0</v>
      </c>
      <c r="AK631" s="111">
        <f t="shared" si="297"/>
        <v>0</v>
      </c>
      <c r="AL631" s="111">
        <f t="shared" si="297"/>
        <v>0</v>
      </c>
      <c r="AM631" s="111">
        <f t="shared" si="297"/>
        <v>0</v>
      </c>
      <c r="AN631" s="111">
        <f t="shared" si="297"/>
        <v>0</v>
      </c>
      <c r="AO631" s="111">
        <f t="shared" si="297"/>
        <v>0</v>
      </c>
      <c r="AP631" s="111">
        <f t="shared" si="297"/>
        <v>0</v>
      </c>
      <c r="AQ631" s="111">
        <f t="shared" si="297"/>
        <v>0</v>
      </c>
      <c r="AR631" s="111">
        <f t="shared" si="297"/>
        <v>0</v>
      </c>
      <c r="AS631" s="111">
        <f t="shared" si="297"/>
        <v>0</v>
      </c>
      <c r="AT631" s="111">
        <f t="shared" si="297"/>
        <v>0</v>
      </c>
      <c r="AU631" s="111">
        <f t="shared" si="297"/>
        <v>0</v>
      </c>
      <c r="AV631" s="111">
        <f t="shared" si="297"/>
        <v>0</v>
      </c>
      <c r="AW631" s="111">
        <f t="shared" si="297"/>
        <v>0</v>
      </c>
      <c r="AX631" s="111">
        <f t="shared" si="297"/>
        <v>0</v>
      </c>
      <c r="AY631" s="111">
        <f t="shared" si="297"/>
        <v>0</v>
      </c>
      <c r="AZ631" s="111">
        <f t="shared" si="297"/>
        <v>0</v>
      </c>
      <c r="BA631" s="111">
        <f t="shared" si="297"/>
        <v>0</v>
      </c>
      <c r="BB631" s="111">
        <f t="shared" si="297"/>
        <v>0</v>
      </c>
      <c r="BC631" s="111">
        <f t="shared" si="297"/>
        <v>0</v>
      </c>
      <c r="BD631" s="111">
        <f t="shared" si="297"/>
        <v>0</v>
      </c>
      <c r="BE631" s="111">
        <f t="shared" si="297"/>
        <v>0</v>
      </c>
      <c r="BF631" s="111">
        <f t="shared" si="297"/>
        <v>0</v>
      </c>
      <c r="BG631" s="111">
        <f t="shared" si="297"/>
        <v>0</v>
      </c>
      <c r="BH631" s="111">
        <f t="shared" si="297"/>
        <v>0</v>
      </c>
      <c r="BI631" s="111">
        <f t="shared" si="297"/>
        <v>0</v>
      </c>
      <c r="BJ631" s="111">
        <f t="shared" si="297"/>
        <v>0</v>
      </c>
      <c r="BK631" s="111">
        <f t="shared" si="297"/>
        <v>0</v>
      </c>
      <c r="BL631" s="111">
        <f t="shared" si="297"/>
        <v>0</v>
      </c>
      <c r="BM631" s="111">
        <f t="shared" si="297"/>
        <v>0</v>
      </c>
      <c r="BN631" s="111">
        <f t="shared" si="297"/>
        <v>0</v>
      </c>
      <c r="BO631" s="111">
        <f t="shared" si="297"/>
        <v>0</v>
      </c>
      <c r="BP631" s="111">
        <f t="shared" ref="BP631:CP631" si="298">Forecast_year_dementia_cost*Forecast_year_mask</f>
        <v>0</v>
      </c>
      <c r="BQ631" s="111">
        <f t="shared" si="298"/>
        <v>0</v>
      </c>
      <c r="BR631" s="111">
        <f t="shared" si="298"/>
        <v>0</v>
      </c>
      <c r="BS631" s="111">
        <f t="shared" si="298"/>
        <v>0</v>
      </c>
      <c r="BT631" s="111">
        <f t="shared" si="298"/>
        <v>0</v>
      </c>
      <c r="BU631" s="111">
        <f t="shared" si="298"/>
        <v>0</v>
      </c>
      <c r="BV631" s="111">
        <f t="shared" si="298"/>
        <v>0</v>
      </c>
      <c r="BW631" s="111">
        <f t="shared" si="298"/>
        <v>0</v>
      </c>
      <c r="BX631" s="111">
        <f t="shared" si="298"/>
        <v>0</v>
      </c>
      <c r="BY631" s="111">
        <f t="shared" si="298"/>
        <v>0</v>
      </c>
      <c r="BZ631" s="111">
        <f t="shared" si="298"/>
        <v>0</v>
      </c>
      <c r="CA631" s="111">
        <f t="shared" si="298"/>
        <v>0</v>
      </c>
      <c r="CB631" s="111">
        <f t="shared" si="298"/>
        <v>0</v>
      </c>
      <c r="CC631" s="111">
        <f t="shared" si="298"/>
        <v>0</v>
      </c>
      <c r="CD631" s="111">
        <f t="shared" si="298"/>
        <v>0</v>
      </c>
      <c r="CE631" s="111">
        <f t="shared" si="298"/>
        <v>0</v>
      </c>
      <c r="CF631" s="111">
        <f t="shared" si="298"/>
        <v>0</v>
      </c>
      <c r="CG631" s="111">
        <f t="shared" si="298"/>
        <v>0</v>
      </c>
      <c r="CH631" s="111">
        <f t="shared" si="298"/>
        <v>0</v>
      </c>
      <c r="CI631" s="111">
        <f t="shared" si="298"/>
        <v>0</v>
      </c>
      <c r="CJ631" s="111">
        <f t="shared" si="298"/>
        <v>0</v>
      </c>
      <c r="CK631" s="111">
        <f t="shared" si="298"/>
        <v>0</v>
      </c>
      <c r="CL631" s="111">
        <f t="shared" si="298"/>
        <v>0</v>
      </c>
      <c r="CM631" s="111">
        <f t="shared" si="298"/>
        <v>0</v>
      </c>
      <c r="CN631" s="111">
        <f t="shared" si="298"/>
        <v>0</v>
      </c>
      <c r="CO631" s="111">
        <f t="shared" si="298"/>
        <v>0</v>
      </c>
      <c r="CP631" s="111">
        <f t="shared" si="298"/>
        <v>0</v>
      </c>
      <c r="CQ631" s="3" t="s">
        <v>707</v>
      </c>
    </row>
    <row r="632" spans="1:95" ht="14.45" outlineLevel="2">
      <c r="A632" s="97"/>
      <c r="B632" s="97" t="s">
        <v>674</v>
      </c>
      <c r="C632" s="97"/>
      <c r="D632" s="111">
        <f t="shared" ref="D632:AI632" si="299">(Opening_year_dementia_cost+(Difference_dementia_cost)*(year-Opening_year)/(Forecast_and_opening_year_difference))*Interpolation_mask</f>
        <v>0</v>
      </c>
      <c r="E632" s="111">
        <f t="shared" si="299"/>
        <v>0</v>
      </c>
      <c r="F632" s="111">
        <f t="shared" si="299"/>
        <v>0</v>
      </c>
      <c r="G632" s="111">
        <f t="shared" si="299"/>
        <v>0</v>
      </c>
      <c r="H632" s="111">
        <f t="shared" si="299"/>
        <v>0</v>
      </c>
      <c r="I632" s="111">
        <f t="shared" si="299"/>
        <v>0</v>
      </c>
      <c r="J632" s="111">
        <f t="shared" si="299"/>
        <v>0</v>
      </c>
      <c r="K632" s="111">
        <f t="shared" si="299"/>
        <v>0</v>
      </c>
      <c r="L632" s="111">
        <f t="shared" si="299"/>
        <v>0</v>
      </c>
      <c r="M632" s="111">
        <f t="shared" si="299"/>
        <v>0</v>
      </c>
      <c r="N632" s="111">
        <f t="shared" si="299"/>
        <v>0</v>
      </c>
      <c r="O632" s="111">
        <f t="shared" si="299"/>
        <v>0</v>
      </c>
      <c r="P632" s="111">
        <f t="shared" si="299"/>
        <v>0</v>
      </c>
      <c r="Q632" s="111">
        <f t="shared" si="299"/>
        <v>0</v>
      </c>
      <c r="R632" s="111">
        <f t="shared" si="299"/>
        <v>0</v>
      </c>
      <c r="S632" s="111">
        <f t="shared" si="299"/>
        <v>0</v>
      </c>
      <c r="T632" s="111">
        <f t="shared" si="299"/>
        <v>0</v>
      </c>
      <c r="U632" s="111">
        <f t="shared" si="299"/>
        <v>0</v>
      </c>
      <c r="V632" s="111">
        <f t="shared" si="299"/>
        <v>0</v>
      </c>
      <c r="W632" s="111">
        <f t="shared" si="299"/>
        <v>0</v>
      </c>
      <c r="X632" s="111">
        <f t="shared" si="299"/>
        <v>0</v>
      </c>
      <c r="Y632" s="111">
        <f t="shared" si="299"/>
        <v>0</v>
      </c>
      <c r="Z632" s="111">
        <f t="shared" si="299"/>
        <v>0</v>
      </c>
      <c r="AA632" s="111">
        <f t="shared" si="299"/>
        <v>0</v>
      </c>
      <c r="AB632" s="111">
        <f t="shared" si="299"/>
        <v>0</v>
      </c>
      <c r="AC632" s="111">
        <f t="shared" si="299"/>
        <v>0</v>
      </c>
      <c r="AD632" s="111">
        <f t="shared" si="299"/>
        <v>0</v>
      </c>
      <c r="AE632" s="111">
        <f t="shared" si="299"/>
        <v>0</v>
      </c>
      <c r="AF632" s="111">
        <f t="shared" si="299"/>
        <v>0</v>
      </c>
      <c r="AG632" s="111">
        <f t="shared" si="299"/>
        <v>0</v>
      </c>
      <c r="AH632" s="111">
        <f t="shared" si="299"/>
        <v>0</v>
      </c>
      <c r="AI632" s="111">
        <f t="shared" si="299"/>
        <v>0</v>
      </c>
      <c r="AJ632" s="111">
        <f t="shared" ref="AJ632:BO632" si="300">(Opening_year_dementia_cost+(Difference_dementia_cost)*(year-Opening_year)/(Forecast_and_opening_year_difference))*Interpolation_mask</f>
        <v>0</v>
      </c>
      <c r="AK632" s="111">
        <f t="shared" si="300"/>
        <v>0</v>
      </c>
      <c r="AL632" s="111">
        <f t="shared" si="300"/>
        <v>0</v>
      </c>
      <c r="AM632" s="111">
        <f t="shared" si="300"/>
        <v>0</v>
      </c>
      <c r="AN632" s="111">
        <f t="shared" si="300"/>
        <v>0</v>
      </c>
      <c r="AO632" s="111">
        <f t="shared" si="300"/>
        <v>0</v>
      </c>
      <c r="AP632" s="111">
        <f t="shared" si="300"/>
        <v>0</v>
      </c>
      <c r="AQ632" s="111">
        <f t="shared" si="300"/>
        <v>0</v>
      </c>
      <c r="AR632" s="111">
        <f t="shared" si="300"/>
        <v>0</v>
      </c>
      <c r="AS632" s="111">
        <f t="shared" si="300"/>
        <v>0</v>
      </c>
      <c r="AT632" s="111">
        <f t="shared" si="300"/>
        <v>0</v>
      </c>
      <c r="AU632" s="111">
        <f t="shared" si="300"/>
        <v>0</v>
      </c>
      <c r="AV632" s="111">
        <f t="shared" si="300"/>
        <v>0</v>
      </c>
      <c r="AW632" s="111">
        <f t="shared" si="300"/>
        <v>0</v>
      </c>
      <c r="AX632" s="111">
        <f t="shared" si="300"/>
        <v>0</v>
      </c>
      <c r="AY632" s="111">
        <f t="shared" si="300"/>
        <v>0</v>
      </c>
      <c r="AZ632" s="111">
        <f t="shared" si="300"/>
        <v>0</v>
      </c>
      <c r="BA632" s="111">
        <f t="shared" si="300"/>
        <v>0</v>
      </c>
      <c r="BB632" s="111">
        <f t="shared" si="300"/>
        <v>0</v>
      </c>
      <c r="BC632" s="111">
        <f t="shared" si="300"/>
        <v>0</v>
      </c>
      <c r="BD632" s="111">
        <f t="shared" si="300"/>
        <v>0</v>
      </c>
      <c r="BE632" s="111">
        <f t="shared" si="300"/>
        <v>0</v>
      </c>
      <c r="BF632" s="111">
        <f t="shared" si="300"/>
        <v>0</v>
      </c>
      <c r="BG632" s="111">
        <f t="shared" si="300"/>
        <v>0</v>
      </c>
      <c r="BH632" s="111">
        <f t="shared" si="300"/>
        <v>0</v>
      </c>
      <c r="BI632" s="111">
        <f t="shared" si="300"/>
        <v>0</v>
      </c>
      <c r="BJ632" s="111">
        <f t="shared" si="300"/>
        <v>0</v>
      </c>
      <c r="BK632" s="111">
        <f t="shared" si="300"/>
        <v>0</v>
      </c>
      <c r="BL632" s="111">
        <f t="shared" si="300"/>
        <v>0</v>
      </c>
      <c r="BM632" s="111">
        <f t="shared" si="300"/>
        <v>0</v>
      </c>
      <c r="BN632" s="111">
        <f t="shared" si="300"/>
        <v>0</v>
      </c>
      <c r="BO632" s="111">
        <f t="shared" si="300"/>
        <v>0</v>
      </c>
      <c r="BP632" s="111">
        <f t="shared" ref="BP632:CP632" si="301">(Opening_year_dementia_cost+(Difference_dementia_cost)*(year-Opening_year)/(Forecast_and_opening_year_difference))*Interpolation_mask</f>
        <v>0</v>
      </c>
      <c r="BQ632" s="111">
        <f t="shared" si="301"/>
        <v>0</v>
      </c>
      <c r="BR632" s="111">
        <f t="shared" si="301"/>
        <v>0</v>
      </c>
      <c r="BS632" s="111">
        <f t="shared" si="301"/>
        <v>0</v>
      </c>
      <c r="BT632" s="111">
        <f t="shared" si="301"/>
        <v>0</v>
      </c>
      <c r="BU632" s="111">
        <f t="shared" si="301"/>
        <v>0</v>
      </c>
      <c r="BV632" s="111">
        <f t="shared" si="301"/>
        <v>0</v>
      </c>
      <c r="BW632" s="111">
        <f t="shared" si="301"/>
        <v>0</v>
      </c>
      <c r="BX632" s="111">
        <f t="shared" si="301"/>
        <v>0</v>
      </c>
      <c r="BY632" s="111">
        <f t="shared" si="301"/>
        <v>0</v>
      </c>
      <c r="BZ632" s="111">
        <f t="shared" si="301"/>
        <v>0</v>
      </c>
      <c r="CA632" s="111">
        <f t="shared" si="301"/>
        <v>0</v>
      </c>
      <c r="CB632" s="111">
        <f t="shared" si="301"/>
        <v>0</v>
      </c>
      <c r="CC632" s="111">
        <f t="shared" si="301"/>
        <v>0</v>
      </c>
      <c r="CD632" s="111">
        <f t="shared" si="301"/>
        <v>0</v>
      </c>
      <c r="CE632" s="111">
        <f t="shared" si="301"/>
        <v>0</v>
      </c>
      <c r="CF632" s="111">
        <f t="shared" si="301"/>
        <v>0</v>
      </c>
      <c r="CG632" s="111">
        <f t="shared" si="301"/>
        <v>0</v>
      </c>
      <c r="CH632" s="111">
        <f t="shared" si="301"/>
        <v>0</v>
      </c>
      <c r="CI632" s="111">
        <f t="shared" si="301"/>
        <v>0</v>
      </c>
      <c r="CJ632" s="111">
        <f t="shared" si="301"/>
        <v>0</v>
      </c>
      <c r="CK632" s="111">
        <f t="shared" si="301"/>
        <v>0</v>
      </c>
      <c r="CL632" s="111">
        <f t="shared" si="301"/>
        <v>0</v>
      </c>
      <c r="CM632" s="111">
        <f t="shared" si="301"/>
        <v>0</v>
      </c>
      <c r="CN632" s="111">
        <f t="shared" si="301"/>
        <v>0</v>
      </c>
      <c r="CO632" s="111">
        <f t="shared" si="301"/>
        <v>0</v>
      </c>
      <c r="CP632" s="111">
        <f t="shared" si="301"/>
        <v>0</v>
      </c>
      <c r="CQ632" s="3" t="s">
        <v>708</v>
      </c>
    </row>
    <row r="633" spans="1:95" ht="14.45" outlineLevel="2">
      <c r="A633" s="97"/>
      <c r="B633" s="97" t="s">
        <v>676</v>
      </c>
      <c r="C633" s="97"/>
      <c r="D633" s="111">
        <f t="shared" ref="D633:AI633" si="302">Forecast_year_dementia_cost*Extrapolation_mask</f>
        <v>0</v>
      </c>
      <c r="E633" s="111">
        <f t="shared" si="302"/>
        <v>0</v>
      </c>
      <c r="F633" s="111">
        <f t="shared" si="302"/>
        <v>0</v>
      </c>
      <c r="G633" s="111">
        <f t="shared" si="302"/>
        <v>0</v>
      </c>
      <c r="H633" s="111">
        <f t="shared" si="302"/>
        <v>0</v>
      </c>
      <c r="I633" s="111">
        <f t="shared" si="302"/>
        <v>0</v>
      </c>
      <c r="J633" s="111">
        <f t="shared" si="302"/>
        <v>0</v>
      </c>
      <c r="K633" s="111">
        <f t="shared" si="302"/>
        <v>0</v>
      </c>
      <c r="L633" s="111">
        <f t="shared" si="302"/>
        <v>0</v>
      </c>
      <c r="M633" s="111">
        <f t="shared" si="302"/>
        <v>0</v>
      </c>
      <c r="N633" s="111">
        <f t="shared" si="302"/>
        <v>0</v>
      </c>
      <c r="O633" s="111">
        <f t="shared" si="302"/>
        <v>0</v>
      </c>
      <c r="P633" s="111">
        <f t="shared" si="302"/>
        <v>0</v>
      </c>
      <c r="Q633" s="111">
        <f t="shared" si="302"/>
        <v>0</v>
      </c>
      <c r="R633" s="111">
        <f t="shared" si="302"/>
        <v>0</v>
      </c>
      <c r="S633" s="111">
        <f t="shared" si="302"/>
        <v>0</v>
      </c>
      <c r="T633" s="111">
        <f t="shared" si="302"/>
        <v>0</v>
      </c>
      <c r="U633" s="111">
        <f t="shared" si="302"/>
        <v>0</v>
      </c>
      <c r="V633" s="111">
        <f t="shared" si="302"/>
        <v>0</v>
      </c>
      <c r="W633" s="111">
        <f t="shared" si="302"/>
        <v>0</v>
      </c>
      <c r="X633" s="111">
        <f t="shared" si="302"/>
        <v>0</v>
      </c>
      <c r="Y633" s="111">
        <f t="shared" si="302"/>
        <v>0</v>
      </c>
      <c r="Z633" s="111">
        <f t="shared" si="302"/>
        <v>0</v>
      </c>
      <c r="AA633" s="111">
        <f t="shared" si="302"/>
        <v>0</v>
      </c>
      <c r="AB633" s="111">
        <f t="shared" si="302"/>
        <v>0</v>
      </c>
      <c r="AC633" s="111">
        <f t="shared" si="302"/>
        <v>0</v>
      </c>
      <c r="AD633" s="111">
        <f t="shared" si="302"/>
        <v>0</v>
      </c>
      <c r="AE633" s="111">
        <f t="shared" si="302"/>
        <v>0</v>
      </c>
      <c r="AF633" s="111">
        <f t="shared" si="302"/>
        <v>0</v>
      </c>
      <c r="AG633" s="111">
        <f t="shared" si="302"/>
        <v>0</v>
      </c>
      <c r="AH633" s="111">
        <f t="shared" si="302"/>
        <v>0</v>
      </c>
      <c r="AI633" s="111">
        <f t="shared" si="302"/>
        <v>0</v>
      </c>
      <c r="AJ633" s="111">
        <f t="shared" ref="AJ633:BO633" si="303">Forecast_year_dementia_cost*Extrapolation_mask</f>
        <v>0</v>
      </c>
      <c r="AK633" s="111">
        <f t="shared" si="303"/>
        <v>0</v>
      </c>
      <c r="AL633" s="111">
        <f t="shared" si="303"/>
        <v>0</v>
      </c>
      <c r="AM633" s="111">
        <f t="shared" si="303"/>
        <v>0</v>
      </c>
      <c r="AN633" s="111">
        <f t="shared" si="303"/>
        <v>0</v>
      </c>
      <c r="AO633" s="111">
        <f t="shared" si="303"/>
        <v>0</v>
      </c>
      <c r="AP633" s="111">
        <f t="shared" si="303"/>
        <v>0</v>
      </c>
      <c r="AQ633" s="111">
        <f t="shared" si="303"/>
        <v>0</v>
      </c>
      <c r="AR633" s="111">
        <f t="shared" si="303"/>
        <v>0</v>
      </c>
      <c r="AS633" s="111">
        <f t="shared" si="303"/>
        <v>0</v>
      </c>
      <c r="AT633" s="111">
        <f t="shared" si="303"/>
        <v>0</v>
      </c>
      <c r="AU633" s="111">
        <f t="shared" si="303"/>
        <v>0</v>
      </c>
      <c r="AV633" s="111">
        <f t="shared" si="303"/>
        <v>0</v>
      </c>
      <c r="AW633" s="111">
        <f t="shared" si="303"/>
        <v>0</v>
      </c>
      <c r="AX633" s="111">
        <f t="shared" si="303"/>
        <v>0</v>
      </c>
      <c r="AY633" s="111">
        <f t="shared" si="303"/>
        <v>0</v>
      </c>
      <c r="AZ633" s="111">
        <f t="shared" si="303"/>
        <v>0</v>
      </c>
      <c r="BA633" s="111">
        <f t="shared" si="303"/>
        <v>0</v>
      </c>
      <c r="BB633" s="111">
        <f t="shared" si="303"/>
        <v>0</v>
      </c>
      <c r="BC633" s="111">
        <f t="shared" si="303"/>
        <v>0</v>
      </c>
      <c r="BD633" s="111">
        <f t="shared" si="303"/>
        <v>0</v>
      </c>
      <c r="BE633" s="111">
        <f t="shared" si="303"/>
        <v>0</v>
      </c>
      <c r="BF633" s="111">
        <f t="shared" si="303"/>
        <v>0</v>
      </c>
      <c r="BG633" s="111">
        <f t="shared" si="303"/>
        <v>0</v>
      </c>
      <c r="BH633" s="111">
        <f t="shared" si="303"/>
        <v>0</v>
      </c>
      <c r="BI633" s="111">
        <f t="shared" si="303"/>
        <v>0</v>
      </c>
      <c r="BJ633" s="111">
        <f t="shared" si="303"/>
        <v>0</v>
      </c>
      <c r="BK633" s="111">
        <f t="shared" si="303"/>
        <v>0</v>
      </c>
      <c r="BL633" s="111">
        <f t="shared" si="303"/>
        <v>0</v>
      </c>
      <c r="BM633" s="111">
        <f t="shared" si="303"/>
        <v>0</v>
      </c>
      <c r="BN633" s="111">
        <f t="shared" si="303"/>
        <v>0</v>
      </c>
      <c r="BO633" s="111">
        <f t="shared" si="303"/>
        <v>0</v>
      </c>
      <c r="BP633" s="111">
        <f t="shared" ref="BP633:CP633" si="304">Forecast_year_dementia_cost*Extrapolation_mask</f>
        <v>0</v>
      </c>
      <c r="BQ633" s="111">
        <f t="shared" si="304"/>
        <v>0</v>
      </c>
      <c r="BR633" s="111">
        <f t="shared" si="304"/>
        <v>0</v>
      </c>
      <c r="BS633" s="111">
        <f t="shared" si="304"/>
        <v>0</v>
      </c>
      <c r="BT633" s="111">
        <f t="shared" si="304"/>
        <v>0</v>
      </c>
      <c r="BU633" s="111">
        <f t="shared" si="304"/>
        <v>0</v>
      </c>
      <c r="BV633" s="111">
        <f t="shared" si="304"/>
        <v>0</v>
      </c>
      <c r="BW633" s="111">
        <f t="shared" si="304"/>
        <v>0</v>
      </c>
      <c r="BX633" s="111">
        <f t="shared" si="304"/>
        <v>0</v>
      </c>
      <c r="BY633" s="111">
        <f t="shared" si="304"/>
        <v>0</v>
      </c>
      <c r="BZ633" s="111">
        <f t="shared" si="304"/>
        <v>0</v>
      </c>
      <c r="CA633" s="111">
        <f t="shared" si="304"/>
        <v>0</v>
      </c>
      <c r="CB633" s="111">
        <f t="shared" si="304"/>
        <v>0</v>
      </c>
      <c r="CC633" s="111">
        <f t="shared" si="304"/>
        <v>0</v>
      </c>
      <c r="CD633" s="111">
        <f t="shared" si="304"/>
        <v>0</v>
      </c>
      <c r="CE633" s="111">
        <f t="shared" si="304"/>
        <v>0</v>
      </c>
      <c r="CF633" s="111">
        <f t="shared" si="304"/>
        <v>0</v>
      </c>
      <c r="CG633" s="111">
        <f t="shared" si="304"/>
        <v>0</v>
      </c>
      <c r="CH633" s="111">
        <f t="shared" si="304"/>
        <v>0</v>
      </c>
      <c r="CI633" s="111">
        <f t="shared" si="304"/>
        <v>0</v>
      </c>
      <c r="CJ633" s="111">
        <f t="shared" si="304"/>
        <v>0</v>
      </c>
      <c r="CK633" s="111">
        <f t="shared" si="304"/>
        <v>0</v>
      </c>
      <c r="CL633" s="111">
        <f t="shared" si="304"/>
        <v>0</v>
      </c>
      <c r="CM633" s="111">
        <f t="shared" si="304"/>
        <v>0</v>
      </c>
      <c r="CN633" s="111">
        <f t="shared" si="304"/>
        <v>0</v>
      </c>
      <c r="CO633" s="111">
        <f t="shared" si="304"/>
        <v>0</v>
      </c>
      <c r="CP633" s="111">
        <f t="shared" si="304"/>
        <v>0</v>
      </c>
      <c r="CQ633" s="3" t="s">
        <v>709</v>
      </c>
    </row>
    <row r="634" spans="1:95" ht="14.45" outlineLevel="2">
      <c r="A634" s="97"/>
      <c r="B634" s="97" t="s">
        <v>685</v>
      </c>
      <c r="C634" s="97"/>
      <c r="D634" s="111">
        <f t="shared" ref="D634:AI634" si="305">Opening_year_dementia_cost_mask+Forecast_year_dementia_cost_mask+Interpolation_dementia_cost_mask+Extrapolation_dementia_cost_mask</f>
        <v>0</v>
      </c>
      <c r="E634" s="111">
        <f t="shared" si="305"/>
        <v>0</v>
      </c>
      <c r="F634" s="111">
        <f t="shared" si="305"/>
        <v>0</v>
      </c>
      <c r="G634" s="111">
        <f t="shared" si="305"/>
        <v>0</v>
      </c>
      <c r="H634" s="111">
        <f t="shared" si="305"/>
        <v>0</v>
      </c>
      <c r="I634" s="111">
        <f t="shared" si="305"/>
        <v>0</v>
      </c>
      <c r="J634" s="111">
        <f t="shared" si="305"/>
        <v>0</v>
      </c>
      <c r="K634" s="111">
        <f t="shared" si="305"/>
        <v>0</v>
      </c>
      <c r="L634" s="111">
        <f t="shared" si="305"/>
        <v>0</v>
      </c>
      <c r="M634" s="111">
        <f t="shared" si="305"/>
        <v>0</v>
      </c>
      <c r="N634" s="111">
        <f t="shared" si="305"/>
        <v>0</v>
      </c>
      <c r="O634" s="111">
        <f t="shared" si="305"/>
        <v>0</v>
      </c>
      <c r="P634" s="111">
        <f t="shared" si="305"/>
        <v>0</v>
      </c>
      <c r="Q634" s="111">
        <f t="shared" si="305"/>
        <v>0</v>
      </c>
      <c r="R634" s="111">
        <f t="shared" si="305"/>
        <v>0</v>
      </c>
      <c r="S634" s="111">
        <f t="shared" si="305"/>
        <v>0</v>
      </c>
      <c r="T634" s="111">
        <f t="shared" si="305"/>
        <v>0</v>
      </c>
      <c r="U634" s="111">
        <f t="shared" si="305"/>
        <v>0</v>
      </c>
      <c r="V634" s="111">
        <f t="shared" si="305"/>
        <v>0</v>
      </c>
      <c r="W634" s="111">
        <f t="shared" si="305"/>
        <v>0</v>
      </c>
      <c r="X634" s="111">
        <f t="shared" si="305"/>
        <v>0</v>
      </c>
      <c r="Y634" s="111">
        <f t="shared" si="305"/>
        <v>0</v>
      </c>
      <c r="Z634" s="111">
        <f t="shared" si="305"/>
        <v>0</v>
      </c>
      <c r="AA634" s="111">
        <f t="shared" si="305"/>
        <v>0</v>
      </c>
      <c r="AB634" s="111">
        <f t="shared" si="305"/>
        <v>0</v>
      </c>
      <c r="AC634" s="111">
        <f t="shared" si="305"/>
        <v>0</v>
      </c>
      <c r="AD634" s="111">
        <f t="shared" si="305"/>
        <v>0</v>
      </c>
      <c r="AE634" s="111">
        <f t="shared" si="305"/>
        <v>0</v>
      </c>
      <c r="AF634" s="111">
        <f t="shared" si="305"/>
        <v>0</v>
      </c>
      <c r="AG634" s="111">
        <f t="shared" si="305"/>
        <v>0</v>
      </c>
      <c r="AH634" s="111">
        <f t="shared" si="305"/>
        <v>0</v>
      </c>
      <c r="AI634" s="111">
        <f t="shared" si="305"/>
        <v>0</v>
      </c>
      <c r="AJ634" s="111">
        <f t="shared" ref="AJ634:BO634" si="306">Opening_year_dementia_cost_mask+Forecast_year_dementia_cost_mask+Interpolation_dementia_cost_mask+Extrapolation_dementia_cost_mask</f>
        <v>0</v>
      </c>
      <c r="AK634" s="111">
        <f t="shared" si="306"/>
        <v>0</v>
      </c>
      <c r="AL634" s="111">
        <f t="shared" si="306"/>
        <v>0</v>
      </c>
      <c r="AM634" s="111">
        <f t="shared" si="306"/>
        <v>0</v>
      </c>
      <c r="AN634" s="111">
        <f t="shared" si="306"/>
        <v>0</v>
      </c>
      <c r="AO634" s="111">
        <f t="shared" si="306"/>
        <v>0</v>
      </c>
      <c r="AP634" s="111">
        <f t="shared" si="306"/>
        <v>0</v>
      </c>
      <c r="AQ634" s="111">
        <f t="shared" si="306"/>
        <v>0</v>
      </c>
      <c r="AR634" s="111">
        <f t="shared" si="306"/>
        <v>0</v>
      </c>
      <c r="AS634" s="111">
        <f t="shared" si="306"/>
        <v>0</v>
      </c>
      <c r="AT634" s="111">
        <f t="shared" si="306"/>
        <v>0</v>
      </c>
      <c r="AU634" s="111">
        <f t="shared" si="306"/>
        <v>0</v>
      </c>
      <c r="AV634" s="111">
        <f t="shared" si="306"/>
        <v>0</v>
      </c>
      <c r="AW634" s="111">
        <f t="shared" si="306"/>
        <v>0</v>
      </c>
      <c r="AX634" s="111">
        <f t="shared" si="306"/>
        <v>0</v>
      </c>
      <c r="AY634" s="111">
        <f t="shared" si="306"/>
        <v>0</v>
      </c>
      <c r="AZ634" s="111">
        <f t="shared" si="306"/>
        <v>0</v>
      </c>
      <c r="BA634" s="111">
        <f t="shared" si="306"/>
        <v>0</v>
      </c>
      <c r="BB634" s="111">
        <f t="shared" si="306"/>
        <v>0</v>
      </c>
      <c r="BC634" s="111">
        <f t="shared" si="306"/>
        <v>0</v>
      </c>
      <c r="BD634" s="111">
        <f t="shared" si="306"/>
        <v>0</v>
      </c>
      <c r="BE634" s="111">
        <f t="shared" si="306"/>
        <v>0</v>
      </c>
      <c r="BF634" s="111">
        <f t="shared" si="306"/>
        <v>0</v>
      </c>
      <c r="BG634" s="111">
        <f t="shared" si="306"/>
        <v>0</v>
      </c>
      <c r="BH634" s="111">
        <f t="shared" si="306"/>
        <v>0</v>
      </c>
      <c r="BI634" s="111">
        <f t="shared" si="306"/>
        <v>0</v>
      </c>
      <c r="BJ634" s="111">
        <f t="shared" si="306"/>
        <v>0</v>
      </c>
      <c r="BK634" s="111">
        <f t="shared" si="306"/>
        <v>0</v>
      </c>
      <c r="BL634" s="111">
        <f t="shared" si="306"/>
        <v>0</v>
      </c>
      <c r="BM634" s="111">
        <f t="shared" si="306"/>
        <v>0</v>
      </c>
      <c r="BN634" s="111">
        <f t="shared" si="306"/>
        <v>0</v>
      </c>
      <c r="BO634" s="111">
        <f t="shared" si="306"/>
        <v>0</v>
      </c>
      <c r="BP634" s="111">
        <f t="shared" ref="BP634:CP634" si="307">Opening_year_dementia_cost_mask+Forecast_year_dementia_cost_mask+Interpolation_dementia_cost_mask+Extrapolation_dementia_cost_mask</f>
        <v>0</v>
      </c>
      <c r="BQ634" s="111">
        <f t="shared" si="307"/>
        <v>0</v>
      </c>
      <c r="BR634" s="111">
        <f t="shared" si="307"/>
        <v>0</v>
      </c>
      <c r="BS634" s="111">
        <f t="shared" si="307"/>
        <v>0</v>
      </c>
      <c r="BT634" s="111">
        <f t="shared" si="307"/>
        <v>0</v>
      </c>
      <c r="BU634" s="111">
        <f t="shared" si="307"/>
        <v>0</v>
      </c>
      <c r="BV634" s="111">
        <f t="shared" si="307"/>
        <v>0</v>
      </c>
      <c r="BW634" s="111">
        <f t="shared" si="307"/>
        <v>0</v>
      </c>
      <c r="BX634" s="111">
        <f t="shared" si="307"/>
        <v>0</v>
      </c>
      <c r="BY634" s="111">
        <f t="shared" si="307"/>
        <v>0</v>
      </c>
      <c r="BZ634" s="111">
        <f t="shared" si="307"/>
        <v>0</v>
      </c>
      <c r="CA634" s="111">
        <f t="shared" si="307"/>
        <v>0</v>
      </c>
      <c r="CB634" s="111">
        <f t="shared" si="307"/>
        <v>0</v>
      </c>
      <c r="CC634" s="111">
        <f t="shared" si="307"/>
        <v>0</v>
      </c>
      <c r="CD634" s="111">
        <f t="shared" si="307"/>
        <v>0</v>
      </c>
      <c r="CE634" s="111">
        <f t="shared" si="307"/>
        <v>0</v>
      </c>
      <c r="CF634" s="111">
        <f t="shared" si="307"/>
        <v>0</v>
      </c>
      <c r="CG634" s="111">
        <f t="shared" si="307"/>
        <v>0</v>
      </c>
      <c r="CH634" s="111">
        <f t="shared" si="307"/>
        <v>0</v>
      </c>
      <c r="CI634" s="111">
        <f t="shared" si="307"/>
        <v>0</v>
      </c>
      <c r="CJ634" s="111">
        <f t="shared" si="307"/>
        <v>0</v>
      </c>
      <c r="CK634" s="111">
        <f t="shared" si="307"/>
        <v>0</v>
      </c>
      <c r="CL634" s="111">
        <f t="shared" si="307"/>
        <v>0</v>
      </c>
      <c r="CM634" s="111">
        <f t="shared" si="307"/>
        <v>0</v>
      </c>
      <c r="CN634" s="111">
        <f t="shared" si="307"/>
        <v>0</v>
      </c>
      <c r="CO634" s="111">
        <f t="shared" si="307"/>
        <v>0</v>
      </c>
      <c r="CP634" s="111">
        <f t="shared" si="307"/>
        <v>0</v>
      </c>
      <c r="CQ634" s="3" t="s">
        <v>710</v>
      </c>
    </row>
    <row r="635" spans="1:95" ht="14.45" outlineLevel="2">
      <c r="A635" s="97"/>
      <c r="B635" s="97"/>
      <c r="C635" s="97"/>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c r="AO635" s="114"/>
      <c r="AP635" s="114"/>
      <c r="AQ635" s="114"/>
      <c r="AR635" s="114"/>
      <c r="AS635" s="114"/>
      <c r="AT635" s="114"/>
      <c r="AU635" s="114"/>
      <c r="AV635" s="114"/>
      <c r="AW635" s="114"/>
      <c r="AX635" s="114"/>
      <c r="AY635" s="114"/>
      <c r="AZ635" s="114"/>
      <c r="BA635" s="114"/>
      <c r="BB635" s="114"/>
      <c r="BC635" s="114"/>
      <c r="BD635" s="114"/>
      <c r="BE635" s="114"/>
      <c r="BF635" s="114"/>
      <c r="BG635" s="114"/>
      <c r="BH635" s="114"/>
      <c r="BI635" s="114"/>
      <c r="BJ635" s="114"/>
      <c r="BK635" s="114"/>
      <c r="BL635" s="114"/>
      <c r="BM635" s="114"/>
      <c r="BN635" s="114"/>
      <c r="BO635" s="114"/>
      <c r="BP635" s="114"/>
      <c r="BQ635" s="114"/>
      <c r="BR635" s="114"/>
      <c r="BS635" s="114"/>
      <c r="BT635" s="114"/>
      <c r="BU635" s="114"/>
      <c r="BV635" s="114"/>
      <c r="BW635" s="114"/>
      <c r="BX635" s="114"/>
      <c r="BY635" s="114"/>
      <c r="BZ635" s="114"/>
      <c r="CA635" s="114"/>
      <c r="CB635" s="114"/>
      <c r="CC635" s="114"/>
      <c r="CD635" s="114"/>
      <c r="CE635" s="114"/>
      <c r="CF635" s="114"/>
      <c r="CG635" s="114"/>
      <c r="CH635" s="114"/>
      <c r="CI635" s="114"/>
      <c r="CJ635" s="114"/>
      <c r="CK635" s="114"/>
      <c r="CL635" s="114"/>
      <c r="CM635" s="114"/>
      <c r="CN635" s="114"/>
      <c r="CO635" s="114"/>
      <c r="CP635" s="114"/>
      <c r="CQ635" s="3"/>
    </row>
    <row r="636" spans="1:95" s="5" customFormat="1" ht="15.6" outlineLevel="2">
      <c r="B636" s="5" t="s">
        <v>711</v>
      </c>
    </row>
    <row r="637" spans="1:95" ht="14.45" outlineLevel="2">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c r="AA637" s="97"/>
      <c r="AB637" s="97"/>
      <c r="AC637" s="97"/>
      <c r="AD637" s="97"/>
      <c r="AE637" s="97"/>
      <c r="AF637" s="97"/>
      <c r="AG637" s="97"/>
      <c r="AH637" s="97"/>
      <c r="AI637" s="97"/>
      <c r="AJ637" s="97"/>
      <c r="AK637" s="97"/>
      <c r="AL637" s="97"/>
      <c r="AM637" s="97"/>
      <c r="AN637" s="97"/>
      <c r="AO637" s="97"/>
      <c r="AP637" s="97"/>
      <c r="AQ637" s="97"/>
      <c r="AR637" s="97"/>
      <c r="AS637" s="97"/>
      <c r="AT637" s="97"/>
      <c r="AU637" s="97"/>
      <c r="AV637" s="97"/>
      <c r="AW637" s="97"/>
      <c r="AX637" s="97"/>
      <c r="AY637" s="97"/>
      <c r="AZ637" s="97"/>
      <c r="BA637" s="97"/>
      <c r="BB637" s="97"/>
      <c r="BC637" s="97"/>
      <c r="BD637" s="97"/>
      <c r="BE637" s="97"/>
      <c r="BF637" s="97"/>
      <c r="BG637" s="97"/>
      <c r="BH637" s="97"/>
      <c r="BI637" s="97"/>
      <c r="BJ637" s="97"/>
      <c r="BK637" s="97"/>
      <c r="BL637" s="97"/>
      <c r="BM637" s="97"/>
      <c r="BN637" s="97"/>
      <c r="BO637" s="97"/>
      <c r="BP637" s="97"/>
      <c r="BQ637" s="97"/>
      <c r="BR637" s="97"/>
      <c r="BS637" s="97"/>
      <c r="BT637" s="97"/>
      <c r="BU637" s="97"/>
      <c r="BV637" s="97"/>
      <c r="BW637" s="97"/>
      <c r="BX637" s="97"/>
      <c r="BY637" s="97"/>
      <c r="BZ637" s="97"/>
      <c r="CA637" s="97"/>
      <c r="CB637" s="97"/>
      <c r="CC637" s="97"/>
      <c r="CD637" s="97"/>
      <c r="CE637" s="97"/>
      <c r="CF637" s="97"/>
      <c r="CG637" s="97"/>
      <c r="CH637" s="97"/>
      <c r="CI637" s="97"/>
      <c r="CJ637" s="97"/>
      <c r="CK637" s="97"/>
      <c r="CL637" s="97"/>
      <c r="CM637" s="97"/>
      <c r="CN637" s="97"/>
      <c r="CO637" s="97"/>
      <c r="CP637" s="97"/>
      <c r="CQ637" s="97"/>
    </row>
    <row r="638" spans="1:95" ht="14.45" outlineLevel="2">
      <c r="A638" s="97"/>
      <c r="B638" s="97"/>
      <c r="C638" s="97"/>
      <c r="D638" s="12">
        <v>2010</v>
      </c>
      <c r="E638" s="12">
        <v>2011</v>
      </c>
      <c r="F638" s="12">
        <v>2012</v>
      </c>
      <c r="G638" s="12">
        <v>2013</v>
      </c>
      <c r="H638" s="12">
        <v>2014</v>
      </c>
      <c r="I638" s="12">
        <v>2015</v>
      </c>
      <c r="J638" s="12">
        <v>2016</v>
      </c>
      <c r="K638" s="12">
        <v>2017</v>
      </c>
      <c r="L638" s="12">
        <v>2018</v>
      </c>
      <c r="M638" s="12">
        <v>2019</v>
      </c>
      <c r="N638" s="12">
        <v>2020</v>
      </c>
      <c r="O638" s="12">
        <v>2021</v>
      </c>
      <c r="P638" s="12">
        <v>2022</v>
      </c>
      <c r="Q638" s="12">
        <v>2023</v>
      </c>
      <c r="R638" s="12">
        <v>2024</v>
      </c>
      <c r="S638" s="12">
        <v>2025</v>
      </c>
      <c r="T638" s="12">
        <v>2026</v>
      </c>
      <c r="U638" s="12">
        <v>2027</v>
      </c>
      <c r="V638" s="12">
        <v>2028</v>
      </c>
      <c r="W638" s="12">
        <v>2029</v>
      </c>
      <c r="X638" s="12">
        <v>2030</v>
      </c>
      <c r="Y638" s="12">
        <v>2031</v>
      </c>
      <c r="Z638" s="12">
        <v>2032</v>
      </c>
      <c r="AA638" s="12">
        <v>2033</v>
      </c>
      <c r="AB638" s="12">
        <v>2034</v>
      </c>
      <c r="AC638" s="12">
        <v>2035</v>
      </c>
      <c r="AD638" s="12">
        <v>2036</v>
      </c>
      <c r="AE638" s="12">
        <v>2037</v>
      </c>
      <c r="AF638" s="12">
        <v>2038</v>
      </c>
      <c r="AG638" s="12">
        <v>2039</v>
      </c>
      <c r="AH638" s="12">
        <v>2040</v>
      </c>
      <c r="AI638" s="12">
        <v>2041</v>
      </c>
      <c r="AJ638" s="12">
        <v>2042</v>
      </c>
      <c r="AK638" s="12">
        <v>2043</v>
      </c>
      <c r="AL638" s="12">
        <v>2044</v>
      </c>
      <c r="AM638" s="12">
        <v>2045</v>
      </c>
      <c r="AN638" s="12">
        <v>2046</v>
      </c>
      <c r="AO638" s="12">
        <v>2047</v>
      </c>
      <c r="AP638" s="12">
        <v>2048</v>
      </c>
      <c r="AQ638" s="12">
        <v>2049</v>
      </c>
      <c r="AR638" s="12">
        <v>2050</v>
      </c>
      <c r="AS638" s="12">
        <v>2051</v>
      </c>
      <c r="AT638" s="12">
        <v>2052</v>
      </c>
      <c r="AU638" s="12">
        <v>2053</v>
      </c>
      <c r="AV638" s="12">
        <v>2054</v>
      </c>
      <c r="AW638" s="12">
        <v>2055</v>
      </c>
      <c r="AX638" s="12">
        <v>2056</v>
      </c>
      <c r="AY638" s="12">
        <v>2057</v>
      </c>
      <c r="AZ638" s="12">
        <v>2058</v>
      </c>
      <c r="BA638" s="12">
        <v>2059</v>
      </c>
      <c r="BB638" s="12">
        <v>2060</v>
      </c>
      <c r="BC638" s="12">
        <v>2061</v>
      </c>
      <c r="BD638" s="12">
        <v>2062</v>
      </c>
      <c r="BE638" s="12">
        <v>2063</v>
      </c>
      <c r="BF638" s="12">
        <v>2064</v>
      </c>
      <c r="BG638" s="12">
        <v>2065</v>
      </c>
      <c r="BH638" s="12">
        <v>2066</v>
      </c>
      <c r="BI638" s="12">
        <v>2067</v>
      </c>
      <c r="BJ638" s="12">
        <v>2068</v>
      </c>
      <c r="BK638" s="12">
        <v>2069</v>
      </c>
      <c r="BL638" s="12">
        <v>2070</v>
      </c>
      <c r="BM638" s="12">
        <v>2071</v>
      </c>
      <c r="BN638" s="12">
        <v>2072</v>
      </c>
      <c r="BO638" s="12">
        <v>2073</v>
      </c>
      <c r="BP638" s="12">
        <v>2074</v>
      </c>
      <c r="BQ638" s="12">
        <v>2075</v>
      </c>
      <c r="BR638" s="12">
        <v>2076</v>
      </c>
      <c r="BS638" s="12">
        <v>2077</v>
      </c>
      <c r="BT638" s="12">
        <v>2078</v>
      </c>
      <c r="BU638" s="12">
        <v>2079</v>
      </c>
      <c r="BV638" s="12">
        <v>2080</v>
      </c>
      <c r="BW638" s="12">
        <v>2081</v>
      </c>
      <c r="BX638" s="12">
        <v>2082</v>
      </c>
      <c r="BY638" s="12">
        <v>2083</v>
      </c>
      <c r="BZ638" s="12">
        <v>2084</v>
      </c>
      <c r="CA638" s="12">
        <v>2085</v>
      </c>
      <c r="CB638" s="12">
        <v>2086</v>
      </c>
      <c r="CC638" s="12">
        <v>2087</v>
      </c>
      <c r="CD638" s="12">
        <v>2088</v>
      </c>
      <c r="CE638" s="12">
        <v>2089</v>
      </c>
      <c r="CF638" s="12">
        <v>2090</v>
      </c>
      <c r="CG638" s="12">
        <v>2091</v>
      </c>
      <c r="CH638" s="12">
        <v>2092</v>
      </c>
      <c r="CI638" s="12">
        <v>2093</v>
      </c>
      <c r="CJ638" s="12">
        <v>2094</v>
      </c>
      <c r="CK638" s="12">
        <v>2095</v>
      </c>
      <c r="CL638" s="12">
        <v>2096</v>
      </c>
      <c r="CM638" s="12">
        <v>2097</v>
      </c>
      <c r="CN638" s="12">
        <v>2098</v>
      </c>
      <c r="CO638" s="12">
        <v>2099</v>
      </c>
      <c r="CP638" s="12">
        <v>2100</v>
      </c>
      <c r="CQ638" s="97"/>
    </row>
    <row r="639" spans="1:95" ht="14.45" outlineLevel="2">
      <c r="A639" s="97"/>
      <c r="B639" s="97" t="s">
        <v>712</v>
      </c>
      <c r="C639" s="97"/>
      <c r="D639" s="114">
        <f t="shared" ref="D639:AI639" si="308">GDP_deflator_in</f>
        <v>100</v>
      </c>
      <c r="E639" s="114">
        <f t="shared" si="308"/>
        <v>102.19056975817094</v>
      </c>
      <c r="F639" s="114">
        <f t="shared" si="308"/>
        <v>103.76209248949486</v>
      </c>
      <c r="G639" s="114">
        <f t="shared" si="308"/>
        <v>105.95694583200337</v>
      </c>
      <c r="H639" s="114">
        <f t="shared" si="308"/>
        <v>107.35311796576727</v>
      </c>
      <c r="I639" s="114">
        <f t="shared" si="308"/>
        <v>108.06488386650142</v>
      </c>
      <c r="J639" s="114">
        <f t="shared" si="308"/>
        <v>110.18498175331253</v>
      </c>
      <c r="K639" s="114">
        <f t="shared" si="308"/>
        <v>112.23239688652509</v>
      </c>
      <c r="L639" s="114">
        <f t="shared" si="308"/>
        <v>114.39063249195446</v>
      </c>
      <c r="M639" s="114">
        <f t="shared" si="308"/>
        <v>116.80933766113533</v>
      </c>
      <c r="N639" s="114">
        <f t="shared" si="308"/>
        <v>123.00409151394307</v>
      </c>
      <c r="O639" s="114">
        <f t="shared" si="308"/>
        <v>122.61165991656684</v>
      </c>
      <c r="P639" s="114">
        <f t="shared" si="308"/>
        <v>128.91198339627439</v>
      </c>
      <c r="Q639" s="114">
        <f t="shared" si="308"/>
        <v>138.1801399212097</v>
      </c>
      <c r="R639" s="114">
        <f t="shared" si="308"/>
        <v>142.07327405106113</v>
      </c>
      <c r="S639" s="114">
        <f t="shared" si="308"/>
        <v>145.6325526871409</v>
      </c>
      <c r="T639" s="114">
        <f t="shared" si="308"/>
        <v>148.5328102225586</v>
      </c>
      <c r="U639" s="114">
        <f t="shared" si="308"/>
        <v>151.43949486795384</v>
      </c>
      <c r="V639" s="114">
        <f t="shared" si="308"/>
        <v>154.41797172483169</v>
      </c>
      <c r="W639" s="114">
        <f t="shared" si="308"/>
        <v>157.46567190445177</v>
      </c>
      <c r="X639" s="114">
        <f t="shared" si="308"/>
        <v>161.0873823582541</v>
      </c>
      <c r="Y639" s="114">
        <f t="shared" si="308"/>
        <v>164.79239215249393</v>
      </c>
      <c r="Z639" s="114">
        <f t="shared" si="308"/>
        <v>168.58261717200128</v>
      </c>
      <c r="AA639" s="114">
        <f t="shared" si="308"/>
        <v>172.46001736695729</v>
      </c>
      <c r="AB639" s="114">
        <f t="shared" si="308"/>
        <v>176.42659776639732</v>
      </c>
      <c r="AC639" s="114">
        <f t="shared" si="308"/>
        <v>180.48440951502445</v>
      </c>
      <c r="AD639" s="114">
        <f t="shared" si="308"/>
        <v>184.63555093386998</v>
      </c>
      <c r="AE639" s="114">
        <f t="shared" si="308"/>
        <v>188.88216860534899</v>
      </c>
      <c r="AF639" s="114">
        <f t="shared" si="308"/>
        <v>193.22645848327201</v>
      </c>
      <c r="AG639" s="114">
        <f t="shared" si="308"/>
        <v>197.67066702838724</v>
      </c>
      <c r="AH639" s="114">
        <f t="shared" si="308"/>
        <v>202.21709237004015</v>
      </c>
      <c r="AI639" s="114">
        <f t="shared" si="308"/>
        <v>206.86808549455105</v>
      </c>
      <c r="AJ639" s="114">
        <f t="shared" ref="AJ639:BO639" si="309">GDP_deflator_in</f>
        <v>211.62605146092571</v>
      </c>
      <c r="AK639" s="114">
        <f t="shared" si="309"/>
        <v>216.49345064452697</v>
      </c>
      <c r="AL639" s="114">
        <f t="shared" si="309"/>
        <v>221.47280000935109</v>
      </c>
      <c r="AM639" s="114">
        <f t="shared" si="309"/>
        <v>226.56667440956616</v>
      </c>
      <c r="AN639" s="114">
        <f t="shared" si="309"/>
        <v>231.77770792098613</v>
      </c>
      <c r="AO639" s="114">
        <f t="shared" si="309"/>
        <v>237.10859520316882</v>
      </c>
      <c r="AP639" s="114">
        <f t="shared" si="309"/>
        <v>242.56209289284166</v>
      </c>
      <c r="AQ639" s="114">
        <f t="shared" si="309"/>
        <v>248.14102102937704</v>
      </c>
      <c r="AR639" s="114">
        <f t="shared" si="309"/>
        <v>253.8482645130527</v>
      </c>
      <c r="AS639" s="114">
        <f t="shared" si="309"/>
        <v>259.6867745968529</v>
      </c>
      <c r="AT639" s="114">
        <f t="shared" si="309"/>
        <v>265.65957041258048</v>
      </c>
      <c r="AU639" s="114">
        <f t="shared" si="309"/>
        <v>271.76974053206976</v>
      </c>
      <c r="AV639" s="114">
        <f t="shared" si="309"/>
        <v>278.02044456430741</v>
      </c>
      <c r="AW639" s="114">
        <f t="shared" si="309"/>
        <v>284.4149147892864</v>
      </c>
      <c r="AX639" s="114">
        <f t="shared" si="309"/>
        <v>290.95645782944001</v>
      </c>
      <c r="AY639" s="114">
        <f t="shared" si="309"/>
        <v>297.64845635951707</v>
      </c>
      <c r="AZ639" s="114">
        <f t="shared" si="309"/>
        <v>304.49437085578597</v>
      </c>
      <c r="BA639" s="114">
        <f t="shared" si="309"/>
        <v>311.497741385469</v>
      </c>
      <c r="BB639" s="114">
        <f t="shared" si="309"/>
        <v>318.66218943733475</v>
      </c>
      <c r="BC639" s="114">
        <f t="shared" si="309"/>
        <v>325.99141979439344</v>
      </c>
      <c r="BD639" s="114">
        <f t="shared" si="309"/>
        <v>333.48922244966445</v>
      </c>
      <c r="BE639" s="114">
        <f t="shared" si="309"/>
        <v>341.15947456600668</v>
      </c>
      <c r="BF639" s="114">
        <f t="shared" si="309"/>
        <v>349.00614248102477</v>
      </c>
      <c r="BG639" s="114">
        <f t="shared" si="309"/>
        <v>357.03328375808832</v>
      </c>
      <c r="BH639" s="114">
        <f t="shared" si="309"/>
        <v>365.24504928452438</v>
      </c>
      <c r="BI639" s="114">
        <f t="shared" si="309"/>
        <v>373.64568541806841</v>
      </c>
      <c r="BJ639" s="114">
        <f t="shared" si="309"/>
        <v>382.23953618268399</v>
      </c>
      <c r="BK639" s="114">
        <f t="shared" si="309"/>
        <v>391.0310455148857</v>
      </c>
      <c r="BL639" s="114">
        <f t="shared" si="309"/>
        <v>400.02475956172799</v>
      </c>
      <c r="BM639" s="114">
        <f t="shared" si="309"/>
        <v>409.22532903164768</v>
      </c>
      <c r="BN639" s="114">
        <f t="shared" si="309"/>
        <v>418.6375115993755</v>
      </c>
      <c r="BO639" s="114">
        <f t="shared" si="309"/>
        <v>428.26617436616107</v>
      </c>
      <c r="BP639" s="114">
        <f t="shared" ref="BP639:CP639" si="310">GDP_deflator_in</f>
        <v>438.11629637658268</v>
      </c>
      <c r="BQ639" s="114">
        <f t="shared" si="310"/>
        <v>448.19297119324409</v>
      </c>
      <c r="BR639" s="114">
        <f t="shared" si="310"/>
        <v>458.5014095306887</v>
      </c>
      <c r="BS639" s="114">
        <f t="shared" si="310"/>
        <v>469.04694194989452</v>
      </c>
      <c r="BT639" s="114">
        <f t="shared" si="310"/>
        <v>479.83502161474212</v>
      </c>
      <c r="BU639" s="114">
        <f t="shared" si="310"/>
        <v>490.87122711188107</v>
      </c>
      <c r="BV639" s="114">
        <f t="shared" si="310"/>
        <v>502.16126533545429</v>
      </c>
      <c r="BW639" s="114">
        <f t="shared" si="310"/>
        <v>513.71097443816961</v>
      </c>
      <c r="BX639" s="114">
        <f t="shared" si="310"/>
        <v>525.52632685024753</v>
      </c>
      <c r="BY639" s="114">
        <f t="shared" si="310"/>
        <v>537.61343236780317</v>
      </c>
      <c r="BZ639" s="114">
        <f t="shared" si="310"/>
        <v>549.97854131226256</v>
      </c>
      <c r="CA639" s="114">
        <f t="shared" si="310"/>
        <v>562.62804776244457</v>
      </c>
      <c r="CB639" s="114">
        <f t="shared" si="310"/>
        <v>575.56849286098077</v>
      </c>
      <c r="CC639" s="114">
        <f t="shared" si="310"/>
        <v>588.80656819678325</v>
      </c>
      <c r="CD639" s="114">
        <f t="shared" si="310"/>
        <v>602.34911926530924</v>
      </c>
      <c r="CE639" s="114">
        <f t="shared" si="310"/>
        <v>616.20314900841129</v>
      </c>
      <c r="CF639" s="114">
        <f t="shared" si="310"/>
        <v>630.37582143560473</v>
      </c>
      <c r="CG639" s="114">
        <f t="shared" si="310"/>
        <v>644.8744653286235</v>
      </c>
      <c r="CH639" s="114">
        <f t="shared" si="310"/>
        <v>659.70657803118183</v>
      </c>
      <c r="CI639" s="114">
        <f t="shared" si="310"/>
        <v>674.87982932589898</v>
      </c>
      <c r="CJ639" s="114">
        <f t="shared" si="310"/>
        <v>690.40206540039458</v>
      </c>
      <c r="CK639" s="114">
        <f t="shared" si="310"/>
        <v>706.28131290460351</v>
      </c>
      <c r="CL639" s="114">
        <f t="shared" si="310"/>
        <v>722.52578310140939</v>
      </c>
      <c r="CM639" s="114">
        <f t="shared" si="310"/>
        <v>739.14387611274174</v>
      </c>
      <c r="CN639" s="114">
        <f t="shared" si="310"/>
        <v>756.14418526333463</v>
      </c>
      <c r="CO639" s="114">
        <f t="shared" si="310"/>
        <v>773.53550152439129</v>
      </c>
      <c r="CP639" s="114">
        <f t="shared" si="310"/>
        <v>791.32681805945219</v>
      </c>
      <c r="CQ639" s="3" t="s">
        <v>713</v>
      </c>
    </row>
    <row r="640" spans="1:95" ht="14.45" outlineLevel="2">
      <c r="A640" s="97"/>
      <c r="B640" s="97" t="s">
        <v>211</v>
      </c>
      <c r="C640" s="97"/>
      <c r="D640" s="114">
        <f t="shared" ref="D640:AI640" si="311">GDP_capita_in</f>
        <v>135.33182670759209</v>
      </c>
      <c r="E640" s="114">
        <f t="shared" si="311"/>
        <v>135.74467527809568</v>
      </c>
      <c r="F640" s="114">
        <f t="shared" si="311"/>
        <v>136.87767108383409</v>
      </c>
      <c r="G640" s="114">
        <f t="shared" si="311"/>
        <v>138.40141639885624</v>
      </c>
      <c r="H640" s="114">
        <f t="shared" si="311"/>
        <v>141.7617425532344</v>
      </c>
      <c r="I640" s="114">
        <f t="shared" si="311"/>
        <v>143.86594944976318</v>
      </c>
      <c r="J640" s="114">
        <f t="shared" si="311"/>
        <v>145.46975764783977</v>
      </c>
      <c r="K640" s="114">
        <f t="shared" si="311"/>
        <v>148.51961280768145</v>
      </c>
      <c r="L640" s="114">
        <f t="shared" si="311"/>
        <v>149.87090937139365</v>
      </c>
      <c r="M640" s="114">
        <f t="shared" si="311"/>
        <v>151.54978305646353</v>
      </c>
      <c r="N640" s="114">
        <f t="shared" si="311"/>
        <v>135.61856413818404</v>
      </c>
      <c r="O640" s="114">
        <f t="shared" si="311"/>
        <v>146.85659428467332</v>
      </c>
      <c r="P640" s="114">
        <f t="shared" si="311"/>
        <v>151.83405837907182</v>
      </c>
      <c r="Q640" s="114">
        <f t="shared" si="311"/>
        <v>150.57834744157515</v>
      </c>
      <c r="R640" s="114">
        <f t="shared" si="311"/>
        <v>150.90529096944923</v>
      </c>
      <c r="S640" s="114">
        <f t="shared" si="311"/>
        <v>152.98099582086763</v>
      </c>
      <c r="T640" s="114">
        <f t="shared" si="311"/>
        <v>154.98267241696811</v>
      </c>
      <c r="U640" s="114">
        <f t="shared" si="311"/>
        <v>156.56753876902923</v>
      </c>
      <c r="V640" s="114">
        <f t="shared" si="311"/>
        <v>158.13256653059517</v>
      </c>
      <c r="W640" s="114">
        <f t="shared" si="311"/>
        <v>159.79553409978939</v>
      </c>
      <c r="X640" s="114">
        <f t="shared" si="311"/>
        <v>161.95532179581329</v>
      </c>
      <c r="Y640" s="114">
        <f t="shared" si="311"/>
        <v>164.18671385604947</v>
      </c>
      <c r="Z640" s="114">
        <f t="shared" si="311"/>
        <v>166.54370588226485</v>
      </c>
      <c r="AA640" s="114">
        <f t="shared" si="311"/>
        <v>168.99134457135267</v>
      </c>
      <c r="AB640" s="114">
        <f t="shared" si="311"/>
        <v>171.47029524447422</v>
      </c>
      <c r="AC640" s="114">
        <f t="shared" si="311"/>
        <v>173.99518595405968</v>
      </c>
      <c r="AD640" s="114">
        <f t="shared" si="311"/>
        <v>176.78012369227108</v>
      </c>
      <c r="AE640" s="114">
        <f t="shared" si="311"/>
        <v>179.60173499087017</v>
      </c>
      <c r="AF640" s="114">
        <f t="shared" si="311"/>
        <v>182.43576499307869</v>
      </c>
      <c r="AG640" s="114">
        <f t="shared" si="311"/>
        <v>185.34859751384255</v>
      </c>
      <c r="AH640" s="114">
        <f t="shared" si="311"/>
        <v>188.23067595515732</v>
      </c>
      <c r="AI640" s="114">
        <f t="shared" si="311"/>
        <v>191.10868238482544</v>
      </c>
      <c r="AJ640" s="114">
        <f t="shared" ref="AJ640:BO640" si="312">GDP_capita_in</f>
        <v>193.99695394427584</v>
      </c>
      <c r="AK640" s="114">
        <f t="shared" si="312"/>
        <v>196.87896789823884</v>
      </c>
      <c r="AL640" s="114">
        <f t="shared" si="312"/>
        <v>199.74961864278328</v>
      </c>
      <c r="AM640" s="114">
        <f t="shared" si="312"/>
        <v>202.66564311400438</v>
      </c>
      <c r="AN640" s="114">
        <f t="shared" si="312"/>
        <v>205.64812040615874</v>
      </c>
      <c r="AO640" s="114">
        <f t="shared" si="312"/>
        <v>208.66607297766637</v>
      </c>
      <c r="AP640" s="114">
        <f t="shared" si="312"/>
        <v>211.70155169406229</v>
      </c>
      <c r="AQ640" s="114">
        <f t="shared" si="312"/>
        <v>214.74762479404103</v>
      </c>
      <c r="AR640" s="114">
        <f t="shared" si="312"/>
        <v>217.85012442613177</v>
      </c>
      <c r="AS640" s="114">
        <f t="shared" si="312"/>
        <v>221.00975533264511</v>
      </c>
      <c r="AT640" s="114">
        <f t="shared" si="312"/>
        <v>224.21109388097847</v>
      </c>
      <c r="AU640" s="114">
        <f t="shared" si="312"/>
        <v>227.45404017756647</v>
      </c>
      <c r="AV640" s="114">
        <f t="shared" si="312"/>
        <v>230.72634323704253</v>
      </c>
      <c r="AW640" s="114">
        <f t="shared" si="312"/>
        <v>234.02739647786305</v>
      </c>
      <c r="AX640" s="114">
        <f t="shared" si="312"/>
        <v>237.35783659891348</v>
      </c>
      <c r="AY640" s="114">
        <f t="shared" si="312"/>
        <v>240.70300902319079</v>
      </c>
      <c r="AZ640" s="114">
        <f t="shared" si="312"/>
        <v>244.08102805554998</v>
      </c>
      <c r="BA640" s="114">
        <f t="shared" si="312"/>
        <v>247.46147148535132</v>
      </c>
      <c r="BB640" s="114">
        <f t="shared" si="312"/>
        <v>250.92106836305774</v>
      </c>
      <c r="BC640" s="114">
        <f t="shared" si="312"/>
        <v>254.38596957633044</v>
      </c>
      <c r="BD640" s="114">
        <f t="shared" si="312"/>
        <v>257.84431557769364</v>
      </c>
      <c r="BE640" s="114">
        <f t="shared" si="312"/>
        <v>261.31913521560875</v>
      </c>
      <c r="BF640" s="114">
        <f t="shared" si="312"/>
        <v>264.84857641595113</v>
      </c>
      <c r="BG640" s="114">
        <f t="shared" si="312"/>
        <v>268.44141145324068</v>
      </c>
      <c r="BH640" s="114">
        <f t="shared" si="312"/>
        <v>272.1035017600401</v>
      </c>
      <c r="BI640" s="114">
        <f t="shared" si="312"/>
        <v>275.88325632543933</v>
      </c>
      <c r="BJ640" s="114">
        <f t="shared" si="312"/>
        <v>279.87042404520878</v>
      </c>
      <c r="BK640" s="114">
        <f t="shared" si="312"/>
        <v>284.05095726638154</v>
      </c>
      <c r="BL640" s="114">
        <f t="shared" si="312"/>
        <v>288.44805753917967</v>
      </c>
      <c r="BM640" s="114">
        <f t="shared" si="312"/>
        <v>292.97413719031027</v>
      </c>
      <c r="BN640" s="114">
        <f t="shared" si="312"/>
        <v>297.553813665863</v>
      </c>
      <c r="BO640" s="114">
        <f t="shared" si="312"/>
        <v>302.19305641645195</v>
      </c>
      <c r="BP640" s="114">
        <f t="shared" ref="BP640:CP640" si="313">GDP_capita_in</f>
        <v>306.03544999288374</v>
      </c>
      <c r="BQ640" s="114">
        <f t="shared" si="313"/>
        <v>309.86884755180415</v>
      </c>
      <c r="BR640" s="114">
        <f t="shared" si="313"/>
        <v>313.60218994468181</v>
      </c>
      <c r="BS640" s="114">
        <f t="shared" si="313"/>
        <v>317.44873050819604</v>
      </c>
      <c r="BT640" s="114">
        <f t="shared" si="313"/>
        <v>321.34523744636249</v>
      </c>
      <c r="BU640" s="114">
        <f t="shared" si="313"/>
        <v>325.23735772020427</v>
      </c>
      <c r="BV640" s="114">
        <f t="shared" si="313"/>
        <v>329.22250039504854</v>
      </c>
      <c r="BW640" s="114">
        <f t="shared" si="313"/>
        <v>333.4144710092317</v>
      </c>
      <c r="BX640" s="114">
        <f t="shared" si="313"/>
        <v>337.80251571598797</v>
      </c>
      <c r="BY640" s="114">
        <f t="shared" si="313"/>
        <v>342.29740650151228</v>
      </c>
      <c r="BZ640" s="114">
        <f t="shared" si="313"/>
        <v>346.83426137021206</v>
      </c>
      <c r="CA640" s="114">
        <f t="shared" si="313"/>
        <v>351.59095854751149</v>
      </c>
      <c r="CB640" s="114">
        <f t="shared" si="313"/>
        <v>356.54104758220325</v>
      </c>
      <c r="CC640" s="114">
        <f t="shared" si="313"/>
        <v>361.64369516312064</v>
      </c>
      <c r="CD640" s="114">
        <f t="shared" si="313"/>
        <v>366.90966775153754</v>
      </c>
      <c r="CE640" s="114">
        <f t="shared" si="313"/>
        <v>372.4303547296268</v>
      </c>
      <c r="CF640" s="114">
        <f t="shared" si="313"/>
        <v>377.94848895760464</v>
      </c>
      <c r="CG640" s="114">
        <f t="shared" si="313"/>
        <v>383.77501233846533</v>
      </c>
      <c r="CH640" s="114">
        <f t="shared" si="313"/>
        <v>389.37516907926636</v>
      </c>
      <c r="CI640" s="114">
        <f t="shared" si="313"/>
        <v>395.01202985744015</v>
      </c>
      <c r="CJ640" s="114">
        <f t="shared" si="313"/>
        <v>400.71285318620329</v>
      </c>
      <c r="CK640" s="114">
        <f t="shared" si="313"/>
        <v>406.48227987494255</v>
      </c>
      <c r="CL640" s="114">
        <f t="shared" si="313"/>
        <v>412.32570290466845</v>
      </c>
      <c r="CM640" s="114">
        <f t="shared" si="313"/>
        <v>418.24719429649252</v>
      </c>
      <c r="CN640" s="114">
        <f t="shared" si="313"/>
        <v>424.24619783100565</v>
      </c>
      <c r="CO640" s="114">
        <f t="shared" si="313"/>
        <v>430.32228455159753</v>
      </c>
      <c r="CP640" s="114">
        <f t="shared" si="313"/>
        <v>436.47378387351739</v>
      </c>
      <c r="CQ640" s="3" t="s">
        <v>714</v>
      </c>
    </row>
    <row r="641" spans="1:95" ht="14.45" outlineLevel="2">
      <c r="A641" s="97"/>
      <c r="B641" s="97" t="s">
        <v>715</v>
      </c>
      <c r="C641" s="97"/>
      <c r="D641" s="111">
        <f t="shared" ref="D641:AI641" si="314">IF(AND(D638&gt;Price_base_values_in,D638&lt;=Current_year_in),1,0)</f>
        <v>0</v>
      </c>
      <c r="E641" s="111">
        <f t="shared" si="314"/>
        <v>1</v>
      </c>
      <c r="F641" s="111">
        <f t="shared" si="314"/>
        <v>1</v>
      </c>
      <c r="G641" s="111">
        <f t="shared" si="314"/>
        <v>1</v>
      </c>
      <c r="H641" s="111">
        <f t="shared" si="314"/>
        <v>1</v>
      </c>
      <c r="I641" s="111">
        <f t="shared" si="314"/>
        <v>1</v>
      </c>
      <c r="J641" s="111">
        <f t="shared" si="314"/>
        <v>1</v>
      </c>
      <c r="K641" s="111">
        <f t="shared" si="314"/>
        <v>1</v>
      </c>
      <c r="L641" s="111">
        <f t="shared" si="314"/>
        <v>1</v>
      </c>
      <c r="M641" s="111">
        <f t="shared" si="314"/>
        <v>1</v>
      </c>
      <c r="N641" s="111">
        <f t="shared" si="314"/>
        <v>1</v>
      </c>
      <c r="O641" s="111">
        <f t="shared" si="314"/>
        <v>1</v>
      </c>
      <c r="P641" s="111">
        <f t="shared" si="314"/>
        <v>1</v>
      </c>
      <c r="Q641" s="111">
        <f t="shared" si="314"/>
        <v>1</v>
      </c>
      <c r="R641" s="111">
        <f t="shared" si="314"/>
        <v>1</v>
      </c>
      <c r="S641" s="111">
        <f t="shared" si="314"/>
        <v>0</v>
      </c>
      <c r="T641" s="111">
        <f t="shared" si="314"/>
        <v>0</v>
      </c>
      <c r="U641" s="111">
        <f t="shared" si="314"/>
        <v>0</v>
      </c>
      <c r="V641" s="111">
        <f t="shared" si="314"/>
        <v>0</v>
      </c>
      <c r="W641" s="111">
        <f t="shared" si="314"/>
        <v>0</v>
      </c>
      <c r="X641" s="111">
        <f t="shared" si="314"/>
        <v>0</v>
      </c>
      <c r="Y641" s="111">
        <f t="shared" si="314"/>
        <v>0</v>
      </c>
      <c r="Z641" s="111">
        <f t="shared" si="314"/>
        <v>0</v>
      </c>
      <c r="AA641" s="111">
        <f t="shared" si="314"/>
        <v>0</v>
      </c>
      <c r="AB641" s="111">
        <f t="shared" si="314"/>
        <v>0</v>
      </c>
      <c r="AC641" s="111">
        <f t="shared" si="314"/>
        <v>0</v>
      </c>
      <c r="AD641" s="111">
        <f t="shared" si="314"/>
        <v>0</v>
      </c>
      <c r="AE641" s="111">
        <f t="shared" si="314"/>
        <v>0</v>
      </c>
      <c r="AF641" s="111">
        <f t="shared" si="314"/>
        <v>0</v>
      </c>
      <c r="AG641" s="111">
        <f t="shared" si="314"/>
        <v>0</v>
      </c>
      <c r="AH641" s="111">
        <f t="shared" si="314"/>
        <v>0</v>
      </c>
      <c r="AI641" s="111">
        <f t="shared" si="314"/>
        <v>0</v>
      </c>
      <c r="AJ641" s="111">
        <f t="shared" ref="AJ641:BO641" si="315">IF(AND(AJ638&gt;Price_base_values_in,AJ638&lt;=Current_year_in),1,0)</f>
        <v>0</v>
      </c>
      <c r="AK641" s="111">
        <f t="shared" si="315"/>
        <v>0</v>
      </c>
      <c r="AL641" s="111">
        <f t="shared" si="315"/>
        <v>0</v>
      </c>
      <c r="AM641" s="111">
        <f t="shared" si="315"/>
        <v>0</v>
      </c>
      <c r="AN641" s="111">
        <f t="shared" si="315"/>
        <v>0</v>
      </c>
      <c r="AO641" s="111">
        <f t="shared" si="315"/>
        <v>0</v>
      </c>
      <c r="AP641" s="111">
        <f t="shared" si="315"/>
        <v>0</v>
      </c>
      <c r="AQ641" s="111">
        <f t="shared" si="315"/>
        <v>0</v>
      </c>
      <c r="AR641" s="111">
        <f t="shared" si="315"/>
        <v>0</v>
      </c>
      <c r="AS641" s="111">
        <f t="shared" si="315"/>
        <v>0</v>
      </c>
      <c r="AT641" s="111">
        <f t="shared" si="315"/>
        <v>0</v>
      </c>
      <c r="AU641" s="111">
        <f t="shared" si="315"/>
        <v>0</v>
      </c>
      <c r="AV641" s="111">
        <f t="shared" si="315"/>
        <v>0</v>
      </c>
      <c r="AW641" s="111">
        <f t="shared" si="315"/>
        <v>0</v>
      </c>
      <c r="AX641" s="111">
        <f t="shared" si="315"/>
        <v>0</v>
      </c>
      <c r="AY641" s="111">
        <f t="shared" si="315"/>
        <v>0</v>
      </c>
      <c r="AZ641" s="111">
        <f t="shared" si="315"/>
        <v>0</v>
      </c>
      <c r="BA641" s="111">
        <f t="shared" si="315"/>
        <v>0</v>
      </c>
      <c r="BB641" s="111">
        <f t="shared" si="315"/>
        <v>0</v>
      </c>
      <c r="BC641" s="111">
        <f t="shared" si="315"/>
        <v>0</v>
      </c>
      <c r="BD641" s="111">
        <f t="shared" si="315"/>
        <v>0</v>
      </c>
      <c r="BE641" s="111">
        <f t="shared" si="315"/>
        <v>0</v>
      </c>
      <c r="BF641" s="111">
        <f t="shared" si="315"/>
        <v>0</v>
      </c>
      <c r="BG641" s="111">
        <f t="shared" si="315"/>
        <v>0</v>
      </c>
      <c r="BH641" s="111">
        <f t="shared" si="315"/>
        <v>0</v>
      </c>
      <c r="BI641" s="111">
        <f t="shared" si="315"/>
        <v>0</v>
      </c>
      <c r="BJ641" s="111">
        <f t="shared" si="315"/>
        <v>0</v>
      </c>
      <c r="BK641" s="111">
        <f t="shared" si="315"/>
        <v>0</v>
      </c>
      <c r="BL641" s="111">
        <f t="shared" si="315"/>
        <v>0</v>
      </c>
      <c r="BM641" s="111">
        <f t="shared" si="315"/>
        <v>0</v>
      </c>
      <c r="BN641" s="111">
        <f t="shared" si="315"/>
        <v>0</v>
      </c>
      <c r="BO641" s="111">
        <f t="shared" si="315"/>
        <v>0</v>
      </c>
      <c r="BP641" s="111">
        <f t="shared" ref="BP641:CP641" si="316">IF(AND(BP638&gt;Price_base_values_in,BP638&lt;=Current_year_in),1,0)</f>
        <v>0</v>
      </c>
      <c r="BQ641" s="111">
        <f t="shared" si="316"/>
        <v>0</v>
      </c>
      <c r="BR641" s="111">
        <f t="shared" si="316"/>
        <v>0</v>
      </c>
      <c r="BS641" s="111">
        <f t="shared" si="316"/>
        <v>0</v>
      </c>
      <c r="BT641" s="111">
        <f t="shared" si="316"/>
        <v>0</v>
      </c>
      <c r="BU641" s="111">
        <f t="shared" si="316"/>
        <v>0</v>
      </c>
      <c r="BV641" s="111">
        <f t="shared" si="316"/>
        <v>0</v>
      </c>
      <c r="BW641" s="111">
        <f t="shared" si="316"/>
        <v>0</v>
      </c>
      <c r="BX641" s="111">
        <f t="shared" si="316"/>
        <v>0</v>
      </c>
      <c r="BY641" s="111">
        <f t="shared" si="316"/>
        <v>0</v>
      </c>
      <c r="BZ641" s="111">
        <f t="shared" si="316"/>
        <v>0</v>
      </c>
      <c r="CA641" s="111">
        <f t="shared" si="316"/>
        <v>0</v>
      </c>
      <c r="CB641" s="111">
        <f t="shared" si="316"/>
        <v>0</v>
      </c>
      <c r="CC641" s="111">
        <f t="shared" si="316"/>
        <v>0</v>
      </c>
      <c r="CD641" s="111">
        <f t="shared" si="316"/>
        <v>0</v>
      </c>
      <c r="CE641" s="111">
        <f t="shared" si="316"/>
        <v>0</v>
      </c>
      <c r="CF641" s="111">
        <f t="shared" si="316"/>
        <v>0</v>
      </c>
      <c r="CG641" s="111">
        <f t="shared" si="316"/>
        <v>0</v>
      </c>
      <c r="CH641" s="111">
        <f t="shared" si="316"/>
        <v>0</v>
      </c>
      <c r="CI641" s="111">
        <f t="shared" si="316"/>
        <v>0</v>
      </c>
      <c r="CJ641" s="111">
        <f t="shared" si="316"/>
        <v>0</v>
      </c>
      <c r="CK641" s="111">
        <f t="shared" si="316"/>
        <v>0</v>
      </c>
      <c r="CL641" s="111">
        <f t="shared" si="316"/>
        <v>0</v>
      </c>
      <c r="CM641" s="111">
        <f t="shared" si="316"/>
        <v>0</v>
      </c>
      <c r="CN641" s="111">
        <f t="shared" si="316"/>
        <v>0</v>
      </c>
      <c r="CO641" s="111">
        <f t="shared" si="316"/>
        <v>0</v>
      </c>
      <c r="CP641" s="111">
        <f t="shared" si="316"/>
        <v>0</v>
      </c>
      <c r="CQ641" s="3"/>
    </row>
    <row r="642" spans="1:95" ht="14.45" outlineLevel="2">
      <c r="A642" s="97"/>
      <c r="B642" s="97"/>
      <c r="C642" s="97"/>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c r="AO642" s="114"/>
      <c r="AP642" s="114"/>
      <c r="AQ642" s="114"/>
      <c r="AR642" s="114"/>
      <c r="AS642" s="114"/>
      <c r="AT642" s="114"/>
      <c r="AU642" s="114"/>
      <c r="AV642" s="114"/>
      <c r="AW642" s="114"/>
      <c r="AX642" s="114"/>
      <c r="AY642" s="114"/>
      <c r="AZ642" s="114"/>
      <c r="BA642" s="114"/>
      <c r="BB642" s="114"/>
      <c r="BC642" s="114"/>
      <c r="BD642" s="114"/>
      <c r="BE642" s="114"/>
      <c r="BF642" s="114"/>
      <c r="BG642" s="114"/>
      <c r="BH642" s="114"/>
      <c r="BI642" s="114"/>
      <c r="BJ642" s="114"/>
      <c r="BK642" s="114"/>
      <c r="BL642" s="114"/>
      <c r="BM642" s="114"/>
      <c r="BN642" s="114"/>
      <c r="BO642" s="114"/>
      <c r="BP642" s="114"/>
      <c r="BQ642" s="114"/>
      <c r="BR642" s="114"/>
      <c r="BS642" s="114"/>
      <c r="BT642" s="114"/>
      <c r="BU642" s="114"/>
      <c r="BV642" s="114"/>
      <c r="BW642" s="114"/>
      <c r="BX642" s="114"/>
      <c r="BY642" s="114"/>
      <c r="BZ642" s="114"/>
      <c r="CA642" s="114"/>
      <c r="CB642" s="114"/>
      <c r="CC642" s="114"/>
      <c r="CD642" s="114"/>
      <c r="CE642" s="114"/>
      <c r="CF642" s="114"/>
      <c r="CG642" s="114"/>
      <c r="CH642" s="114"/>
      <c r="CI642" s="114"/>
      <c r="CJ642" s="114"/>
      <c r="CK642" s="114"/>
      <c r="CL642" s="114"/>
      <c r="CM642" s="114"/>
      <c r="CN642" s="114"/>
      <c r="CO642" s="114"/>
      <c r="CP642" s="114"/>
      <c r="CQ642" s="3"/>
    </row>
    <row r="643" spans="1:95" ht="14.45" outlineLevel="2">
      <c r="A643" s="97"/>
      <c r="B643" s="108" t="s">
        <v>716</v>
      </c>
      <c r="C643" s="97">
        <f>Price_base_values_in</f>
        <v>2010</v>
      </c>
      <c r="D643" s="3" t="s">
        <v>717</v>
      </c>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4"/>
      <c r="AY643" s="114"/>
      <c r="AZ643" s="114"/>
      <c r="BA643" s="114"/>
      <c r="BB643" s="114"/>
      <c r="BC643" s="114"/>
      <c r="BD643" s="114"/>
      <c r="BE643" s="114"/>
      <c r="BF643" s="114"/>
      <c r="BG643" s="114"/>
      <c r="BH643" s="114"/>
      <c r="BI643" s="114"/>
      <c r="BJ643" s="114"/>
      <c r="BK643" s="114"/>
      <c r="BL643" s="114"/>
      <c r="BM643" s="114"/>
      <c r="BN643" s="114"/>
      <c r="BO643" s="114"/>
      <c r="BP643" s="114"/>
      <c r="BQ643" s="114"/>
      <c r="BR643" s="114"/>
      <c r="BS643" s="114"/>
      <c r="BT643" s="114"/>
      <c r="BU643" s="114"/>
      <c r="BV643" s="114"/>
      <c r="BW643" s="114"/>
      <c r="BX643" s="114"/>
      <c r="BY643" s="114"/>
      <c r="BZ643" s="114"/>
      <c r="CA643" s="114"/>
      <c r="CB643" s="114"/>
      <c r="CC643" s="114"/>
      <c r="CD643" s="114"/>
      <c r="CE643" s="114"/>
      <c r="CF643" s="114"/>
      <c r="CG643" s="114"/>
      <c r="CH643" s="114"/>
      <c r="CI643" s="114"/>
      <c r="CJ643" s="114"/>
      <c r="CK643" s="114"/>
      <c r="CL643" s="114"/>
      <c r="CM643" s="114"/>
      <c r="CN643" s="114"/>
      <c r="CO643" s="114"/>
      <c r="CP643" s="114"/>
      <c r="CQ643" s="3"/>
    </row>
    <row r="644" spans="1:95" ht="14.45" outlineLevel="2">
      <c r="A644" s="97"/>
      <c r="B644" s="97" t="s">
        <v>718</v>
      </c>
      <c r="C644" s="114">
        <f>HLOOKUP(Noise_values_price_base,Uprating_table,2,0)</f>
        <v>100</v>
      </c>
      <c r="D644" s="3" t="s">
        <v>719</v>
      </c>
      <c r="E644" s="114"/>
      <c r="F644" s="114"/>
      <c r="G644" s="114"/>
      <c r="H644" s="97"/>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14"/>
      <c r="AY644" s="114"/>
      <c r="AZ644" s="114"/>
      <c r="BA644" s="114"/>
      <c r="BB644" s="114"/>
      <c r="BC644" s="114"/>
      <c r="BD644" s="114"/>
      <c r="BE644" s="114"/>
      <c r="BF644" s="114"/>
      <c r="BG644" s="114"/>
      <c r="BH644" s="114"/>
      <c r="BI644" s="114"/>
      <c r="BJ644" s="114"/>
      <c r="BK644" s="114"/>
      <c r="BL644" s="114"/>
      <c r="BM644" s="114"/>
      <c r="BN644" s="114"/>
      <c r="BO644" s="114"/>
      <c r="BP644" s="114"/>
      <c r="BQ644" s="114"/>
      <c r="BR644" s="114"/>
      <c r="BS644" s="114"/>
      <c r="BT644" s="114"/>
      <c r="BU644" s="114"/>
      <c r="BV644" s="114"/>
      <c r="BW644" s="114"/>
      <c r="BX644" s="114"/>
      <c r="BY644" s="114"/>
      <c r="BZ644" s="114"/>
      <c r="CA644" s="114"/>
      <c r="CB644" s="114"/>
      <c r="CC644" s="114"/>
      <c r="CD644" s="114"/>
      <c r="CE644" s="114"/>
      <c r="CF644" s="114"/>
      <c r="CG644" s="114"/>
      <c r="CH644" s="114"/>
      <c r="CI644" s="114"/>
      <c r="CJ644" s="114"/>
      <c r="CK644" s="114"/>
      <c r="CL644" s="114"/>
      <c r="CM644" s="114"/>
      <c r="CN644" s="114"/>
      <c r="CO644" s="114"/>
      <c r="CP644" s="114"/>
      <c r="CQ644" s="3"/>
    </row>
    <row r="645" spans="1:95" ht="14.45" outlineLevel="2">
      <c r="A645" s="97"/>
      <c r="B645" s="97"/>
      <c r="C645" s="97"/>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14"/>
      <c r="AY645" s="114"/>
      <c r="AZ645" s="114"/>
      <c r="BA645" s="114"/>
      <c r="BB645" s="114"/>
      <c r="BC645" s="114"/>
      <c r="BD645" s="114"/>
      <c r="BE645" s="114"/>
      <c r="BF645" s="114"/>
      <c r="BG645" s="114"/>
      <c r="BH645" s="114"/>
      <c r="BI645" s="114"/>
      <c r="BJ645" s="114"/>
      <c r="BK645" s="114"/>
      <c r="BL645" s="114"/>
      <c r="BM645" s="114"/>
      <c r="BN645" s="114"/>
      <c r="BO645" s="114"/>
      <c r="BP645" s="114"/>
      <c r="BQ645" s="114"/>
      <c r="BR645" s="114"/>
      <c r="BS645" s="114"/>
      <c r="BT645" s="114"/>
      <c r="BU645" s="114"/>
      <c r="BV645" s="114"/>
      <c r="BW645" s="114"/>
      <c r="BX645" s="114"/>
      <c r="BY645" s="114"/>
      <c r="BZ645" s="114"/>
      <c r="CA645" s="114"/>
      <c r="CB645" s="114"/>
      <c r="CC645" s="114"/>
      <c r="CD645" s="114"/>
      <c r="CE645" s="114"/>
      <c r="CF645" s="114"/>
      <c r="CG645" s="114"/>
      <c r="CH645" s="114"/>
      <c r="CI645" s="114"/>
      <c r="CJ645" s="114"/>
      <c r="CK645" s="114"/>
      <c r="CL645" s="114"/>
      <c r="CM645" s="114"/>
      <c r="CN645" s="114"/>
      <c r="CO645" s="114"/>
      <c r="CP645" s="114"/>
      <c r="CQ645" s="3"/>
    </row>
    <row r="646" spans="1:95" ht="15" customHeight="1" outlineLevel="2">
      <c r="A646" s="97"/>
      <c r="B646" s="97" t="s">
        <v>720</v>
      </c>
      <c r="C646" s="97">
        <f>Price_base_outputs_in</f>
        <v>2010</v>
      </c>
      <c r="D646" s="3" t="s">
        <v>721</v>
      </c>
      <c r="E646" s="97"/>
      <c r="F646" s="97"/>
      <c r="G646" s="97"/>
      <c r="H646" s="114"/>
      <c r="I646" s="97"/>
      <c r="J646" s="97"/>
      <c r="K646" s="97"/>
      <c r="L646" s="97"/>
      <c r="M646" s="97"/>
      <c r="N646" s="97"/>
      <c r="O646" s="97"/>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97"/>
      <c r="AM646" s="97"/>
      <c r="AN646" s="97"/>
      <c r="AO646" s="97"/>
      <c r="AP646" s="97"/>
      <c r="AQ646" s="97"/>
      <c r="AR646" s="97"/>
      <c r="AS646" s="97"/>
      <c r="AT646" s="97"/>
      <c r="AU646" s="97"/>
      <c r="AV646" s="97"/>
      <c r="AW646" s="97"/>
      <c r="AX646" s="97"/>
      <c r="AY646" s="97"/>
      <c r="AZ646" s="97"/>
      <c r="BA646" s="97"/>
      <c r="BB646" s="97"/>
      <c r="BC646" s="97"/>
      <c r="BD646" s="97"/>
      <c r="BE646" s="97"/>
      <c r="BF646" s="97"/>
      <c r="BG646" s="97"/>
      <c r="BH646" s="97"/>
      <c r="BI646" s="97"/>
      <c r="BJ646" s="97"/>
      <c r="BK646" s="97"/>
      <c r="BL646" s="97"/>
      <c r="BM646" s="97"/>
      <c r="BN646" s="97"/>
      <c r="BO646" s="97"/>
      <c r="BP646" s="97"/>
      <c r="BQ646" s="97"/>
      <c r="BR646" s="97"/>
      <c r="BS646" s="97"/>
      <c r="BT646" s="97"/>
      <c r="BU646" s="97"/>
      <c r="BV646" s="97"/>
      <c r="BW646" s="97"/>
      <c r="BX646" s="97"/>
      <c r="BY646" s="97"/>
      <c r="BZ646" s="97"/>
      <c r="CA646" s="97"/>
      <c r="CB646" s="97"/>
      <c r="CC646" s="97"/>
      <c r="CD646" s="97"/>
      <c r="CE646" s="97"/>
      <c r="CF646" s="97"/>
      <c r="CG646" s="97"/>
      <c r="CH646" s="97"/>
      <c r="CI646" s="97"/>
      <c r="CJ646" s="97"/>
      <c r="CK646" s="97"/>
      <c r="CL646" s="97"/>
      <c r="CM646" s="97"/>
      <c r="CN646" s="97"/>
      <c r="CO646" s="97"/>
      <c r="CP646" s="97"/>
      <c r="CQ646" s="97"/>
    </row>
    <row r="647" spans="1:95" ht="14.45" outlineLevel="2">
      <c r="A647" s="97"/>
      <c r="B647" s="97" t="s">
        <v>722</v>
      </c>
      <c r="C647" s="97">
        <f>HLOOKUP(Outputs_price_base,Uprating_table,2,0)</f>
        <v>100</v>
      </c>
      <c r="D647" s="3" t="s">
        <v>723</v>
      </c>
      <c r="E647" s="97"/>
      <c r="F647" s="97"/>
      <c r="G647" s="97"/>
      <c r="H647" s="97"/>
      <c r="I647" s="97"/>
      <c r="J647" s="97"/>
      <c r="K647" s="97"/>
      <c r="L647" s="97"/>
      <c r="M647" s="97"/>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97"/>
      <c r="AM647" s="97"/>
      <c r="AN647" s="97"/>
      <c r="AO647" s="97"/>
      <c r="AP647" s="97"/>
      <c r="AQ647" s="97"/>
      <c r="AR647" s="97"/>
      <c r="AS647" s="97"/>
      <c r="AT647" s="97"/>
      <c r="AU647" s="97"/>
      <c r="AV647" s="97"/>
      <c r="AW647" s="97"/>
      <c r="AX647" s="97"/>
      <c r="AY647" s="97"/>
      <c r="AZ647" s="97"/>
      <c r="BA647" s="97"/>
      <c r="BB647" s="97"/>
      <c r="BC647" s="97"/>
      <c r="BD647" s="97"/>
      <c r="BE647" s="97"/>
      <c r="BF647" s="97"/>
      <c r="BG647" s="97"/>
      <c r="BH647" s="97"/>
      <c r="BI647" s="97"/>
      <c r="BJ647" s="97"/>
      <c r="BK647" s="97"/>
      <c r="BL647" s="97"/>
      <c r="BM647" s="97"/>
      <c r="BN647" s="97"/>
      <c r="BO647" s="97"/>
      <c r="BP647" s="97"/>
      <c r="BQ647" s="97"/>
      <c r="BR647" s="97"/>
      <c r="BS647" s="97"/>
      <c r="BT647" s="97"/>
      <c r="BU647" s="97"/>
      <c r="BV647" s="97"/>
      <c r="BW647" s="97"/>
      <c r="BX647" s="97"/>
      <c r="BY647" s="97"/>
      <c r="BZ647" s="97"/>
      <c r="CA647" s="97"/>
      <c r="CB647" s="97"/>
      <c r="CC647" s="97"/>
      <c r="CD647" s="97"/>
      <c r="CE647" s="97"/>
      <c r="CF647" s="97"/>
      <c r="CG647" s="97"/>
      <c r="CH647" s="97"/>
      <c r="CI647" s="97"/>
      <c r="CJ647" s="97"/>
      <c r="CK647" s="97"/>
      <c r="CL647" s="97"/>
      <c r="CM647" s="97"/>
      <c r="CN647" s="97"/>
      <c r="CO647" s="97"/>
      <c r="CP647" s="97"/>
      <c r="CQ647" s="97"/>
    </row>
    <row r="648" spans="1:95" ht="14.45" outlineLevel="2">
      <c r="A648" s="97"/>
      <c r="B648" s="97"/>
      <c r="C648" s="97"/>
      <c r="D648" s="3"/>
      <c r="E648" s="97"/>
      <c r="F648" s="97"/>
      <c r="G648" s="97"/>
      <c r="H648" s="97"/>
      <c r="I648" s="97"/>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c r="AO648" s="97"/>
      <c r="AP648" s="97"/>
      <c r="AQ648" s="97"/>
      <c r="AR648" s="97"/>
      <c r="AS648" s="97"/>
      <c r="AT648" s="97"/>
      <c r="AU648" s="97"/>
      <c r="AV648" s="97"/>
      <c r="AW648" s="97"/>
      <c r="AX648" s="97"/>
      <c r="AY648" s="97"/>
      <c r="AZ648" s="97"/>
      <c r="BA648" s="97"/>
      <c r="BB648" s="97"/>
      <c r="BC648" s="97"/>
      <c r="BD648" s="97"/>
      <c r="BE648" s="97"/>
      <c r="BF648" s="97"/>
      <c r="BG648" s="97"/>
      <c r="BH648" s="97"/>
      <c r="BI648" s="97"/>
      <c r="BJ648" s="97"/>
      <c r="BK648" s="97"/>
      <c r="BL648" s="97"/>
      <c r="BM648" s="97"/>
      <c r="BN648" s="97"/>
      <c r="BO648" s="97"/>
      <c r="BP648" s="97"/>
      <c r="BQ648" s="97"/>
      <c r="BR648" s="97"/>
      <c r="BS648" s="97"/>
      <c r="BT648" s="97"/>
      <c r="BU648" s="97"/>
      <c r="BV648" s="97"/>
      <c r="BW648" s="97"/>
      <c r="BX648" s="97"/>
      <c r="BY648" s="97"/>
      <c r="BZ648" s="97"/>
      <c r="CA648" s="97"/>
      <c r="CB648" s="97"/>
      <c r="CC648" s="97"/>
      <c r="CD648" s="97"/>
      <c r="CE648" s="97"/>
      <c r="CF648" s="97"/>
      <c r="CG648" s="97"/>
      <c r="CH648" s="97"/>
      <c r="CI648" s="97"/>
      <c r="CJ648" s="97"/>
      <c r="CK648" s="97"/>
      <c r="CL648" s="97"/>
      <c r="CM648" s="97"/>
      <c r="CN648" s="97"/>
      <c r="CO648" s="97"/>
      <c r="CP648" s="97"/>
      <c r="CQ648" s="97"/>
    </row>
    <row r="649" spans="1:95" ht="14.45" outlineLevel="2">
      <c r="A649" s="97"/>
      <c r="B649" s="97" t="s">
        <v>724</v>
      </c>
      <c r="C649" s="114">
        <f>GDP_deflator_outputs/GDP_deflator_base</f>
        <v>1</v>
      </c>
      <c r="D649" s="25" t="s">
        <v>725</v>
      </c>
      <c r="E649" s="97"/>
      <c r="F649" s="97"/>
      <c r="G649" s="97"/>
      <c r="H649" s="114"/>
      <c r="I649" s="97"/>
      <c r="J649" s="97"/>
      <c r="K649" s="97"/>
      <c r="L649" s="97"/>
      <c r="M649" s="97"/>
      <c r="N649" s="97"/>
      <c r="O649" s="97"/>
      <c r="P649" s="97"/>
      <c r="Q649" s="97"/>
      <c r="R649" s="97"/>
      <c r="S649" s="97"/>
      <c r="T649" s="97"/>
      <c r="U649" s="97"/>
      <c r="V649" s="97"/>
      <c r="W649" s="97"/>
      <c r="X649" s="97"/>
      <c r="Y649" s="97"/>
      <c r="Z649" s="97"/>
      <c r="AA649" s="97"/>
      <c r="AB649" s="97"/>
      <c r="AC649" s="97"/>
      <c r="AD649" s="97"/>
      <c r="AE649" s="97"/>
      <c r="AF649" s="97"/>
      <c r="AG649" s="97"/>
      <c r="AH649" s="97"/>
      <c r="AI649" s="97"/>
      <c r="AJ649" s="97"/>
      <c r="AK649" s="97"/>
      <c r="AL649" s="97"/>
      <c r="AM649" s="97"/>
      <c r="AN649" s="97"/>
      <c r="AO649" s="97"/>
      <c r="AP649" s="97"/>
      <c r="AQ649" s="97"/>
      <c r="AR649" s="97"/>
      <c r="AS649" s="97"/>
      <c r="AT649" s="97"/>
      <c r="AU649" s="97"/>
      <c r="AV649" s="97"/>
      <c r="AW649" s="97"/>
      <c r="AX649" s="97"/>
      <c r="AY649" s="97"/>
      <c r="AZ649" s="97"/>
      <c r="BA649" s="97"/>
      <c r="BB649" s="97"/>
      <c r="BC649" s="97"/>
      <c r="BD649" s="97"/>
      <c r="BE649" s="97"/>
      <c r="BF649" s="97"/>
      <c r="BG649" s="97"/>
      <c r="BH649" s="97"/>
      <c r="BI649" s="97"/>
      <c r="BJ649" s="97"/>
      <c r="BK649" s="97"/>
      <c r="BL649" s="97"/>
      <c r="BM649" s="97"/>
      <c r="BN649" s="97"/>
      <c r="BO649" s="97"/>
      <c r="BP649" s="97"/>
      <c r="BQ649" s="97"/>
      <c r="BR649" s="97"/>
      <c r="BS649" s="97"/>
      <c r="BT649" s="97"/>
      <c r="BU649" s="97"/>
      <c r="BV649" s="97"/>
      <c r="BW649" s="97"/>
      <c r="BX649" s="97"/>
      <c r="BY649" s="97"/>
      <c r="BZ649" s="97"/>
      <c r="CA649" s="97"/>
      <c r="CB649" s="97"/>
      <c r="CC649" s="97"/>
      <c r="CD649" s="97"/>
      <c r="CE649" s="97"/>
      <c r="CF649" s="97"/>
      <c r="CG649" s="97"/>
      <c r="CH649" s="97"/>
      <c r="CI649" s="97"/>
      <c r="CJ649" s="97"/>
      <c r="CK649" s="97"/>
      <c r="CL649" s="97"/>
      <c r="CM649" s="97"/>
      <c r="CN649" s="97"/>
      <c r="CO649" s="97"/>
      <c r="CP649" s="97"/>
      <c r="CQ649" s="97"/>
    </row>
    <row r="650" spans="1:95" ht="14.45" outlineLevel="2">
      <c r="A650" s="97"/>
      <c r="B650" s="97" t="s">
        <v>726</v>
      </c>
      <c r="C650" s="97">
        <f>Input!D160</f>
        <v>1.3</v>
      </c>
      <c r="D650" s="68" t="s">
        <v>215</v>
      </c>
      <c r="E650" s="97"/>
      <c r="F650" s="97"/>
      <c r="G650" s="97"/>
      <c r="H650" s="97"/>
      <c r="I650" s="97"/>
      <c r="J650" s="97"/>
      <c r="K650" s="97"/>
      <c r="L650" s="97"/>
      <c r="M650" s="97"/>
      <c r="N650" s="97"/>
      <c r="O650" s="97"/>
      <c r="P650" s="97"/>
      <c r="Q650" s="97"/>
      <c r="R650" s="97"/>
      <c r="S650" s="97"/>
      <c r="T650" s="97"/>
      <c r="U650" s="97"/>
      <c r="V650" s="97"/>
      <c r="W650" s="97"/>
      <c r="X650" s="97"/>
      <c r="Y650" s="97"/>
      <c r="Z650" s="97"/>
      <c r="AA650" s="97"/>
      <c r="AB650" s="97"/>
      <c r="AC650" s="97"/>
      <c r="AD650" s="97"/>
      <c r="AE650" s="97"/>
      <c r="AF650" s="97"/>
      <c r="AG650" s="97"/>
      <c r="AH650" s="97"/>
      <c r="AI650" s="97"/>
      <c r="AJ650" s="97"/>
      <c r="AK650" s="97"/>
      <c r="AL650" s="97"/>
      <c r="AM650" s="97"/>
      <c r="AN650" s="97"/>
      <c r="AO650" s="97"/>
      <c r="AP650" s="97"/>
      <c r="AQ650" s="97"/>
      <c r="AR650" s="97"/>
      <c r="AS650" s="97"/>
      <c r="AT650" s="97"/>
      <c r="AU650" s="97"/>
      <c r="AV650" s="97"/>
      <c r="AW650" s="97"/>
      <c r="AX650" s="97"/>
      <c r="AY650" s="97"/>
      <c r="AZ650" s="97"/>
      <c r="BA650" s="97"/>
      <c r="BB650" s="97"/>
      <c r="BC650" s="97"/>
      <c r="BD650" s="97"/>
      <c r="BE650" s="97"/>
      <c r="BF650" s="97"/>
      <c r="BG650" s="97"/>
      <c r="BH650" s="97"/>
      <c r="BI650" s="97"/>
      <c r="BJ650" s="97"/>
      <c r="BK650" s="97"/>
      <c r="BL650" s="97"/>
      <c r="BM650" s="97"/>
      <c r="BN650" s="97"/>
      <c r="BO650" s="97"/>
      <c r="BP650" s="97"/>
      <c r="BQ650" s="97"/>
      <c r="BR650" s="97"/>
      <c r="BS650" s="97"/>
      <c r="BT650" s="97"/>
      <c r="BU650" s="97"/>
      <c r="BV650" s="97"/>
      <c r="BW650" s="97"/>
      <c r="BX650" s="97"/>
      <c r="BY650" s="97"/>
      <c r="BZ650" s="97"/>
      <c r="CA650" s="97"/>
      <c r="CB650" s="97"/>
      <c r="CC650" s="97"/>
      <c r="CD650" s="97"/>
      <c r="CE650" s="97"/>
      <c r="CF650" s="97"/>
      <c r="CG650" s="97"/>
      <c r="CH650" s="97"/>
      <c r="CI650" s="97"/>
      <c r="CJ650" s="97"/>
      <c r="CK650" s="97"/>
      <c r="CL650" s="97"/>
      <c r="CM650" s="97"/>
      <c r="CN650" s="97"/>
      <c r="CO650" s="97"/>
      <c r="CP650" s="97"/>
      <c r="CQ650" s="97"/>
    </row>
    <row r="651" spans="1:95" ht="14.45" outlineLevel="2">
      <c r="A651" s="97"/>
      <c r="B651" s="108" t="s">
        <v>727</v>
      </c>
      <c r="C651" s="97">
        <f>Income_base_values_in</f>
        <v>2010</v>
      </c>
      <c r="D651" s="3" t="s">
        <v>728</v>
      </c>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c r="AO651" s="114"/>
      <c r="AP651" s="114"/>
      <c r="AQ651" s="114"/>
      <c r="AR651" s="114"/>
      <c r="AS651" s="114"/>
      <c r="AT651" s="114"/>
      <c r="AU651" s="114"/>
      <c r="AV651" s="114"/>
      <c r="AW651" s="114"/>
      <c r="AX651" s="114"/>
      <c r="AY651" s="114"/>
      <c r="AZ651" s="114"/>
      <c r="BA651" s="114"/>
      <c r="BB651" s="114"/>
      <c r="BC651" s="114"/>
      <c r="BD651" s="114"/>
      <c r="BE651" s="114"/>
      <c r="BF651" s="114"/>
      <c r="BG651" s="114"/>
      <c r="BH651" s="114"/>
      <c r="BI651" s="114"/>
      <c r="BJ651" s="114"/>
      <c r="BK651" s="114"/>
      <c r="BL651" s="114"/>
      <c r="BM651" s="114"/>
      <c r="BN651" s="114"/>
      <c r="BO651" s="114"/>
      <c r="BP651" s="114"/>
      <c r="BQ651" s="114"/>
      <c r="BR651" s="114"/>
      <c r="BS651" s="114"/>
      <c r="BT651" s="114"/>
      <c r="BU651" s="114"/>
      <c r="BV651" s="114"/>
      <c r="BW651" s="114"/>
      <c r="BX651" s="114"/>
      <c r="BY651" s="114"/>
      <c r="BZ651" s="114"/>
      <c r="CA651" s="114"/>
      <c r="CB651" s="114"/>
      <c r="CC651" s="114"/>
      <c r="CD651" s="114"/>
      <c r="CE651" s="114"/>
      <c r="CF651" s="114"/>
      <c r="CG651" s="114"/>
      <c r="CH651" s="114"/>
      <c r="CI651" s="114"/>
      <c r="CJ651" s="114"/>
      <c r="CK651" s="114"/>
      <c r="CL651" s="114"/>
      <c r="CM651" s="114"/>
      <c r="CN651" s="114"/>
      <c r="CO651" s="114"/>
      <c r="CP651" s="114"/>
      <c r="CQ651" s="3"/>
    </row>
    <row r="652" spans="1:95" ht="14.45" outlineLevel="2">
      <c r="A652" s="97"/>
      <c r="B652" s="97" t="s">
        <v>729</v>
      </c>
      <c r="C652" s="114">
        <f>HLOOKUP(Noise_values_income_base,Uprating_table,3,0)</f>
        <v>135.33182670759209</v>
      </c>
      <c r="D652" s="3" t="s">
        <v>730</v>
      </c>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c r="AO652" s="114"/>
      <c r="AP652" s="114"/>
      <c r="AQ652" s="114"/>
      <c r="AR652" s="114"/>
      <c r="AS652" s="114"/>
      <c r="AT652" s="114"/>
      <c r="AU652" s="114"/>
      <c r="AV652" s="114"/>
      <c r="AW652" s="114"/>
      <c r="AX652" s="114"/>
      <c r="AY652" s="114"/>
      <c r="AZ652" s="114"/>
      <c r="BA652" s="114"/>
      <c r="BB652" s="114"/>
      <c r="BC652" s="114"/>
      <c r="BD652" s="114"/>
      <c r="BE652" s="114"/>
      <c r="BF652" s="114"/>
      <c r="BG652" s="114"/>
      <c r="BH652" s="114"/>
      <c r="BI652" s="114"/>
      <c r="BJ652" s="114"/>
      <c r="BK652" s="114"/>
      <c r="BL652" s="114"/>
      <c r="BM652" s="114"/>
      <c r="BN652" s="114"/>
      <c r="BO652" s="114"/>
      <c r="BP652" s="114"/>
      <c r="BQ652" s="114"/>
      <c r="BR652" s="114"/>
      <c r="BS652" s="114"/>
      <c r="BT652" s="114"/>
      <c r="BU652" s="114"/>
      <c r="BV652" s="114"/>
      <c r="BW652" s="114"/>
      <c r="BX652" s="114"/>
      <c r="BY652" s="114"/>
      <c r="BZ652" s="114"/>
      <c r="CA652" s="114"/>
      <c r="CB652" s="114"/>
      <c r="CC652" s="114"/>
      <c r="CD652" s="114"/>
      <c r="CE652" s="114"/>
      <c r="CF652" s="114"/>
      <c r="CG652" s="114"/>
      <c r="CH652" s="114"/>
      <c r="CI652" s="114"/>
      <c r="CJ652" s="114"/>
      <c r="CK652" s="114"/>
      <c r="CL652" s="114"/>
      <c r="CM652" s="114"/>
      <c r="CN652" s="114"/>
      <c r="CO652" s="114"/>
      <c r="CP652" s="114"/>
      <c r="CQ652" s="3"/>
    </row>
    <row r="653" spans="1:95" ht="14.45" outlineLevel="2">
      <c r="A653" s="97"/>
      <c r="B653" s="97"/>
      <c r="C653" s="114"/>
      <c r="D653" s="3"/>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c r="AO653" s="114"/>
      <c r="AP653" s="114"/>
      <c r="AQ653" s="114"/>
      <c r="AR653" s="114"/>
      <c r="AS653" s="114"/>
      <c r="AT653" s="114"/>
      <c r="AU653" s="114"/>
      <c r="AV653" s="114"/>
      <c r="AW653" s="114"/>
      <c r="AX653" s="114"/>
      <c r="AY653" s="114"/>
      <c r="AZ653" s="114"/>
      <c r="BA653" s="114"/>
      <c r="BB653" s="114"/>
      <c r="BC653" s="114"/>
      <c r="BD653" s="114"/>
      <c r="BE653" s="114"/>
      <c r="BF653" s="114"/>
      <c r="BG653" s="114"/>
      <c r="BH653" s="114"/>
      <c r="BI653" s="114"/>
      <c r="BJ653" s="114"/>
      <c r="BK653" s="114"/>
      <c r="BL653" s="114"/>
      <c r="BM653" s="114"/>
      <c r="BN653" s="114"/>
      <c r="BO653" s="114"/>
      <c r="BP653" s="114"/>
      <c r="BQ653" s="114"/>
      <c r="BR653" s="114"/>
      <c r="BS653" s="114"/>
      <c r="BT653" s="114"/>
      <c r="BU653" s="114"/>
      <c r="BV653" s="114"/>
      <c r="BW653" s="114"/>
      <c r="BX653" s="114"/>
      <c r="BY653" s="114"/>
      <c r="BZ653" s="114"/>
      <c r="CA653" s="114"/>
      <c r="CB653" s="114"/>
      <c r="CC653" s="114"/>
      <c r="CD653" s="114"/>
      <c r="CE653" s="114"/>
      <c r="CF653" s="114"/>
      <c r="CG653" s="114"/>
      <c r="CH653" s="114"/>
      <c r="CI653" s="114"/>
      <c r="CJ653" s="114"/>
      <c r="CK653" s="114"/>
      <c r="CL653" s="114"/>
      <c r="CM653" s="114"/>
      <c r="CN653" s="114"/>
      <c r="CO653" s="114"/>
      <c r="CP653" s="114"/>
      <c r="CQ653" s="3"/>
    </row>
    <row r="654" spans="1:95" s="5" customFormat="1" ht="15.6" outlineLevel="2">
      <c r="B654" s="5" t="s">
        <v>731</v>
      </c>
    </row>
    <row r="655" spans="1:95" ht="14.45" outlineLevel="2">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c r="AA655" s="97"/>
      <c r="AB655" s="97"/>
      <c r="AC655" s="97"/>
      <c r="AD655" s="97"/>
      <c r="AE655" s="97"/>
      <c r="AF655" s="97"/>
      <c r="AG655" s="97"/>
      <c r="AH655" s="97"/>
      <c r="AI655" s="97"/>
      <c r="AJ655" s="97"/>
      <c r="AK655" s="97"/>
      <c r="AL655" s="97"/>
      <c r="AM655" s="97"/>
      <c r="AN655" s="97"/>
      <c r="AO655" s="97"/>
      <c r="AP655" s="97"/>
      <c r="AQ655" s="97"/>
      <c r="AR655" s="97"/>
      <c r="AS655" s="97"/>
      <c r="AT655" s="97"/>
      <c r="AU655" s="97"/>
      <c r="AV655" s="97"/>
      <c r="AW655" s="97"/>
      <c r="AX655" s="97"/>
      <c r="AY655" s="97"/>
      <c r="AZ655" s="97"/>
      <c r="BA655" s="97"/>
      <c r="BB655" s="97"/>
      <c r="BC655" s="97"/>
      <c r="BD655" s="97"/>
      <c r="BE655" s="97"/>
      <c r="BF655" s="97"/>
      <c r="BG655" s="97"/>
      <c r="BH655" s="97"/>
      <c r="BI655" s="97"/>
      <c r="BJ655" s="97"/>
      <c r="BK655" s="97"/>
      <c r="BL655" s="97"/>
      <c r="BM655" s="97"/>
      <c r="BN655" s="97"/>
      <c r="BO655" s="97"/>
      <c r="BP655" s="97"/>
      <c r="BQ655" s="97"/>
      <c r="BR655" s="97"/>
      <c r="BS655" s="97"/>
      <c r="BT655" s="97"/>
      <c r="BU655" s="97"/>
      <c r="BV655" s="97"/>
      <c r="BW655" s="97"/>
      <c r="BX655" s="97"/>
      <c r="BY655" s="97"/>
      <c r="BZ655" s="97"/>
      <c r="CA655" s="97"/>
      <c r="CB655" s="97"/>
      <c r="CC655" s="97"/>
      <c r="CD655" s="97"/>
      <c r="CE655" s="97"/>
      <c r="CF655" s="97"/>
      <c r="CG655" s="97"/>
      <c r="CH655" s="97"/>
      <c r="CI655" s="97"/>
      <c r="CJ655" s="97"/>
      <c r="CK655" s="97"/>
      <c r="CL655" s="97"/>
      <c r="CM655" s="97"/>
      <c r="CN655" s="97"/>
      <c r="CO655" s="97"/>
      <c r="CP655" s="97"/>
      <c r="CQ655" s="97"/>
    </row>
    <row r="656" spans="1:95" ht="14.45" outlineLevel="2">
      <c r="A656" s="97"/>
      <c r="B656" s="97"/>
      <c r="C656" s="97"/>
      <c r="D656" s="12">
        <v>2010</v>
      </c>
      <c r="E656" s="12">
        <v>2011</v>
      </c>
      <c r="F656" s="12">
        <v>2012</v>
      </c>
      <c r="G656" s="12">
        <v>2013</v>
      </c>
      <c r="H656" s="12">
        <v>2014</v>
      </c>
      <c r="I656" s="12">
        <v>2015</v>
      </c>
      <c r="J656" s="12">
        <v>2016</v>
      </c>
      <c r="K656" s="12">
        <v>2017</v>
      </c>
      <c r="L656" s="12">
        <v>2018</v>
      </c>
      <c r="M656" s="12">
        <v>2019</v>
      </c>
      <c r="N656" s="12">
        <v>2020</v>
      </c>
      <c r="O656" s="12">
        <v>2021</v>
      </c>
      <c r="P656" s="12">
        <v>2022</v>
      </c>
      <c r="Q656" s="12">
        <v>2023</v>
      </c>
      <c r="R656" s="12">
        <v>2024</v>
      </c>
      <c r="S656" s="12">
        <v>2025</v>
      </c>
      <c r="T656" s="12">
        <v>2026</v>
      </c>
      <c r="U656" s="12">
        <v>2027</v>
      </c>
      <c r="V656" s="12">
        <v>2028</v>
      </c>
      <c r="W656" s="12">
        <v>2029</v>
      </c>
      <c r="X656" s="12">
        <v>2030</v>
      </c>
      <c r="Y656" s="12">
        <v>2031</v>
      </c>
      <c r="Z656" s="12">
        <v>2032</v>
      </c>
      <c r="AA656" s="12">
        <v>2033</v>
      </c>
      <c r="AB656" s="12">
        <v>2034</v>
      </c>
      <c r="AC656" s="12">
        <v>2035</v>
      </c>
      <c r="AD656" s="12">
        <v>2036</v>
      </c>
      <c r="AE656" s="12">
        <v>2037</v>
      </c>
      <c r="AF656" s="12">
        <v>2038</v>
      </c>
      <c r="AG656" s="12">
        <v>2039</v>
      </c>
      <c r="AH656" s="12">
        <v>2040</v>
      </c>
      <c r="AI656" s="12">
        <v>2041</v>
      </c>
      <c r="AJ656" s="12">
        <v>2042</v>
      </c>
      <c r="AK656" s="12">
        <v>2043</v>
      </c>
      <c r="AL656" s="12">
        <v>2044</v>
      </c>
      <c r="AM656" s="12">
        <v>2045</v>
      </c>
      <c r="AN656" s="12">
        <v>2046</v>
      </c>
      <c r="AO656" s="12">
        <v>2047</v>
      </c>
      <c r="AP656" s="12">
        <v>2048</v>
      </c>
      <c r="AQ656" s="12">
        <v>2049</v>
      </c>
      <c r="AR656" s="12">
        <v>2050</v>
      </c>
      <c r="AS656" s="12">
        <v>2051</v>
      </c>
      <c r="AT656" s="12">
        <v>2052</v>
      </c>
      <c r="AU656" s="12">
        <v>2053</v>
      </c>
      <c r="AV656" s="12">
        <v>2054</v>
      </c>
      <c r="AW656" s="12">
        <v>2055</v>
      </c>
      <c r="AX656" s="12">
        <v>2056</v>
      </c>
      <c r="AY656" s="12">
        <v>2057</v>
      </c>
      <c r="AZ656" s="12">
        <v>2058</v>
      </c>
      <c r="BA656" s="12">
        <v>2059</v>
      </c>
      <c r="BB656" s="12">
        <v>2060</v>
      </c>
      <c r="BC656" s="12">
        <v>2061</v>
      </c>
      <c r="BD656" s="12">
        <v>2062</v>
      </c>
      <c r="BE656" s="12">
        <v>2063</v>
      </c>
      <c r="BF656" s="12">
        <v>2064</v>
      </c>
      <c r="BG656" s="12">
        <v>2065</v>
      </c>
      <c r="BH656" s="12">
        <v>2066</v>
      </c>
      <c r="BI656" s="12">
        <v>2067</v>
      </c>
      <c r="BJ656" s="12">
        <v>2068</v>
      </c>
      <c r="BK656" s="12">
        <v>2069</v>
      </c>
      <c r="BL656" s="12">
        <v>2070</v>
      </c>
      <c r="BM656" s="12">
        <v>2071</v>
      </c>
      <c r="BN656" s="12">
        <v>2072</v>
      </c>
      <c r="BO656" s="12">
        <v>2073</v>
      </c>
      <c r="BP656" s="12">
        <v>2074</v>
      </c>
      <c r="BQ656" s="12">
        <v>2075</v>
      </c>
      <c r="BR656" s="12">
        <v>2076</v>
      </c>
      <c r="BS656" s="12">
        <v>2077</v>
      </c>
      <c r="BT656" s="12">
        <v>2078</v>
      </c>
      <c r="BU656" s="12">
        <v>2079</v>
      </c>
      <c r="BV656" s="12">
        <v>2080</v>
      </c>
      <c r="BW656" s="12">
        <v>2081</v>
      </c>
      <c r="BX656" s="12">
        <v>2082</v>
      </c>
      <c r="BY656" s="12">
        <v>2083</v>
      </c>
      <c r="BZ656" s="12">
        <v>2084</v>
      </c>
      <c r="CA656" s="12">
        <v>2085</v>
      </c>
      <c r="CB656" s="12">
        <v>2086</v>
      </c>
      <c r="CC656" s="12">
        <v>2087</v>
      </c>
      <c r="CD656" s="12">
        <v>2088</v>
      </c>
      <c r="CE656" s="12">
        <v>2089</v>
      </c>
      <c r="CF656" s="12">
        <v>2090</v>
      </c>
      <c r="CG656" s="12">
        <v>2091</v>
      </c>
      <c r="CH656" s="12">
        <v>2092</v>
      </c>
      <c r="CI656" s="12">
        <v>2093</v>
      </c>
      <c r="CJ656" s="12">
        <v>2094</v>
      </c>
      <c r="CK656" s="12">
        <v>2095</v>
      </c>
      <c r="CL656" s="12">
        <v>2096</v>
      </c>
      <c r="CM656" s="12">
        <v>2097</v>
      </c>
      <c r="CN656" s="12">
        <v>2098</v>
      </c>
      <c r="CO656" s="12">
        <v>2099</v>
      </c>
      <c r="CP656" s="12">
        <v>2100</v>
      </c>
      <c r="CQ656" s="97"/>
    </row>
    <row r="657" spans="1:95" ht="14.45" outlineLevel="2">
      <c r="A657" s="97"/>
      <c r="B657" s="97" t="s">
        <v>163</v>
      </c>
      <c r="C657" s="97"/>
      <c r="D657" s="111">
        <f t="shared" ref="D657:AI657" si="317">IF(D$587=1,IF(D$641=1,Total_annual_sleep_disturbance_cost*Price_adjustment*((GDP_capita/GDP_capita_base)^Income_elasticity_in),Total_annual_sleep_disturbance_cost*Price_adjustment*((INDEX(GDP_capita,1,MATCH(Current_year_in,$D$638:$CP$638,0))/GDP_capita_base)^Income_elasticity_in)),0)</f>
        <v>0</v>
      </c>
      <c r="E657" s="111">
        <f t="shared" si="317"/>
        <v>0</v>
      </c>
      <c r="F657" s="111">
        <f t="shared" si="317"/>
        <v>0</v>
      </c>
      <c r="G657" s="111">
        <f t="shared" si="317"/>
        <v>0</v>
      </c>
      <c r="H657" s="111">
        <f t="shared" si="317"/>
        <v>0</v>
      </c>
      <c r="I657" s="111">
        <f t="shared" si="317"/>
        <v>0</v>
      </c>
      <c r="J657" s="111">
        <f t="shared" si="317"/>
        <v>0</v>
      </c>
      <c r="K657" s="111">
        <f t="shared" si="317"/>
        <v>0</v>
      </c>
      <c r="L657" s="111">
        <f t="shared" si="317"/>
        <v>0</v>
      </c>
      <c r="M657" s="111">
        <f t="shared" si="317"/>
        <v>0</v>
      </c>
      <c r="N657" s="111">
        <f t="shared" si="317"/>
        <v>0</v>
      </c>
      <c r="O657" s="111">
        <f t="shared" si="317"/>
        <v>0</v>
      </c>
      <c r="P657" s="111">
        <f t="shared" si="317"/>
        <v>0</v>
      </c>
      <c r="Q657" s="111">
        <f t="shared" si="317"/>
        <v>0</v>
      </c>
      <c r="R657" s="111">
        <f t="shared" si="317"/>
        <v>0</v>
      </c>
      <c r="S657" s="111">
        <f t="shared" si="317"/>
        <v>0</v>
      </c>
      <c r="T657" s="111">
        <f t="shared" si="317"/>
        <v>0</v>
      </c>
      <c r="U657" s="111">
        <f t="shared" si="317"/>
        <v>0</v>
      </c>
      <c r="V657" s="111">
        <f t="shared" si="317"/>
        <v>0</v>
      </c>
      <c r="W657" s="111">
        <f t="shared" si="317"/>
        <v>0</v>
      </c>
      <c r="X657" s="111">
        <f t="shared" si="317"/>
        <v>0</v>
      </c>
      <c r="Y657" s="111">
        <f t="shared" si="317"/>
        <v>0</v>
      </c>
      <c r="Z657" s="111">
        <f t="shared" si="317"/>
        <v>0</v>
      </c>
      <c r="AA657" s="111">
        <f t="shared" si="317"/>
        <v>0</v>
      </c>
      <c r="AB657" s="111">
        <f t="shared" si="317"/>
        <v>0</v>
      </c>
      <c r="AC657" s="111">
        <f t="shared" si="317"/>
        <v>0</v>
      </c>
      <c r="AD657" s="111">
        <f t="shared" si="317"/>
        <v>0</v>
      </c>
      <c r="AE657" s="111">
        <f t="shared" si="317"/>
        <v>0</v>
      </c>
      <c r="AF657" s="111">
        <f t="shared" si="317"/>
        <v>0</v>
      </c>
      <c r="AG657" s="111">
        <f t="shared" si="317"/>
        <v>0</v>
      </c>
      <c r="AH657" s="111">
        <f t="shared" si="317"/>
        <v>0</v>
      </c>
      <c r="AI657" s="111">
        <f t="shared" si="317"/>
        <v>0</v>
      </c>
      <c r="AJ657" s="111">
        <f t="shared" ref="AJ657:BO657" si="318">IF(AJ$587=1,IF(AJ$641=1,Total_annual_sleep_disturbance_cost*Price_adjustment*((GDP_capita/GDP_capita_base)^Income_elasticity_in),Total_annual_sleep_disturbance_cost*Price_adjustment*((INDEX(GDP_capita,1,MATCH(Current_year_in,$D$638:$CP$638,0))/GDP_capita_base)^Income_elasticity_in)),0)</f>
        <v>0</v>
      </c>
      <c r="AK657" s="111">
        <f t="shared" si="318"/>
        <v>0</v>
      </c>
      <c r="AL657" s="111">
        <f t="shared" si="318"/>
        <v>0</v>
      </c>
      <c r="AM657" s="111">
        <f t="shared" si="318"/>
        <v>0</v>
      </c>
      <c r="AN657" s="111">
        <f t="shared" si="318"/>
        <v>0</v>
      </c>
      <c r="AO657" s="111">
        <f t="shared" si="318"/>
        <v>0</v>
      </c>
      <c r="AP657" s="111">
        <f t="shared" si="318"/>
        <v>0</v>
      </c>
      <c r="AQ657" s="111">
        <f t="shared" si="318"/>
        <v>0</v>
      </c>
      <c r="AR657" s="111">
        <f t="shared" si="318"/>
        <v>0</v>
      </c>
      <c r="AS657" s="111">
        <f t="shared" si="318"/>
        <v>0</v>
      </c>
      <c r="AT657" s="111">
        <f t="shared" si="318"/>
        <v>0</v>
      </c>
      <c r="AU657" s="111">
        <f t="shared" si="318"/>
        <v>0</v>
      </c>
      <c r="AV657" s="111">
        <f t="shared" si="318"/>
        <v>0</v>
      </c>
      <c r="AW657" s="111">
        <f t="shared" si="318"/>
        <v>0</v>
      </c>
      <c r="AX657" s="111">
        <f t="shared" si="318"/>
        <v>0</v>
      </c>
      <c r="AY657" s="111">
        <f t="shared" si="318"/>
        <v>0</v>
      </c>
      <c r="AZ657" s="111">
        <f t="shared" si="318"/>
        <v>0</v>
      </c>
      <c r="BA657" s="111">
        <f t="shared" si="318"/>
        <v>0</v>
      </c>
      <c r="BB657" s="111">
        <f t="shared" si="318"/>
        <v>0</v>
      </c>
      <c r="BC657" s="111">
        <f t="shared" si="318"/>
        <v>0</v>
      </c>
      <c r="BD657" s="111">
        <f t="shared" si="318"/>
        <v>0</v>
      </c>
      <c r="BE657" s="111">
        <f t="shared" si="318"/>
        <v>0</v>
      </c>
      <c r="BF657" s="111">
        <f t="shared" si="318"/>
        <v>0</v>
      </c>
      <c r="BG657" s="111">
        <f t="shared" si="318"/>
        <v>0</v>
      </c>
      <c r="BH657" s="111">
        <f t="shared" si="318"/>
        <v>0</v>
      </c>
      <c r="BI657" s="111">
        <f t="shared" si="318"/>
        <v>0</v>
      </c>
      <c r="BJ657" s="111">
        <f t="shared" si="318"/>
        <v>0</v>
      </c>
      <c r="BK657" s="111">
        <f t="shared" si="318"/>
        <v>0</v>
      </c>
      <c r="BL657" s="111">
        <f t="shared" si="318"/>
        <v>0</v>
      </c>
      <c r="BM657" s="111">
        <f t="shared" si="318"/>
        <v>0</v>
      </c>
      <c r="BN657" s="111">
        <f t="shared" si="318"/>
        <v>0</v>
      </c>
      <c r="BO657" s="111">
        <f t="shared" si="318"/>
        <v>0</v>
      </c>
      <c r="BP657" s="111">
        <f t="shared" ref="BP657:CP657" si="319">IF(BP$587=1,IF(BP$641=1,Total_annual_sleep_disturbance_cost*Price_adjustment*((GDP_capita/GDP_capita_base)^Income_elasticity_in),Total_annual_sleep_disturbance_cost*Price_adjustment*((INDEX(GDP_capita,1,MATCH(Current_year_in,$D$638:$CP$638,0))/GDP_capita_base)^Income_elasticity_in)),0)</f>
        <v>0</v>
      </c>
      <c r="BQ657" s="111">
        <f t="shared" si="319"/>
        <v>0</v>
      </c>
      <c r="BR657" s="111">
        <f t="shared" si="319"/>
        <v>0</v>
      </c>
      <c r="BS657" s="111">
        <f t="shared" si="319"/>
        <v>0</v>
      </c>
      <c r="BT657" s="111">
        <f t="shared" si="319"/>
        <v>0</v>
      </c>
      <c r="BU657" s="111">
        <f t="shared" si="319"/>
        <v>0</v>
      </c>
      <c r="BV657" s="111">
        <f t="shared" si="319"/>
        <v>0</v>
      </c>
      <c r="BW657" s="111">
        <f t="shared" si="319"/>
        <v>0</v>
      </c>
      <c r="BX657" s="111">
        <f t="shared" si="319"/>
        <v>0</v>
      </c>
      <c r="BY657" s="111">
        <f t="shared" si="319"/>
        <v>0</v>
      </c>
      <c r="BZ657" s="111">
        <f t="shared" si="319"/>
        <v>0</v>
      </c>
      <c r="CA657" s="111">
        <f t="shared" si="319"/>
        <v>0</v>
      </c>
      <c r="CB657" s="111">
        <f t="shared" si="319"/>
        <v>0</v>
      </c>
      <c r="CC657" s="111">
        <f t="shared" si="319"/>
        <v>0</v>
      </c>
      <c r="CD657" s="111">
        <f t="shared" si="319"/>
        <v>0</v>
      </c>
      <c r="CE657" s="111">
        <f t="shared" si="319"/>
        <v>0</v>
      </c>
      <c r="CF657" s="111">
        <f t="shared" si="319"/>
        <v>0</v>
      </c>
      <c r="CG657" s="111">
        <f t="shared" si="319"/>
        <v>0</v>
      </c>
      <c r="CH657" s="111">
        <f t="shared" si="319"/>
        <v>0</v>
      </c>
      <c r="CI657" s="111">
        <f t="shared" si="319"/>
        <v>0</v>
      </c>
      <c r="CJ657" s="111">
        <f t="shared" si="319"/>
        <v>0</v>
      </c>
      <c r="CK657" s="111">
        <f t="shared" si="319"/>
        <v>0</v>
      </c>
      <c r="CL657" s="111">
        <f t="shared" si="319"/>
        <v>0</v>
      </c>
      <c r="CM657" s="111">
        <f t="shared" si="319"/>
        <v>0</v>
      </c>
      <c r="CN657" s="111">
        <f t="shared" si="319"/>
        <v>0</v>
      </c>
      <c r="CO657" s="111">
        <f t="shared" si="319"/>
        <v>0</v>
      </c>
      <c r="CP657" s="111">
        <f t="shared" si="319"/>
        <v>0</v>
      </c>
      <c r="CQ657" s="3" t="s">
        <v>732</v>
      </c>
    </row>
    <row r="658" spans="1:95" ht="14.45" outlineLevel="2">
      <c r="A658" s="97"/>
      <c r="B658" s="97" t="s">
        <v>165</v>
      </c>
      <c r="C658" s="97"/>
      <c r="D658" s="111">
        <f t="shared" ref="D658:AI658" si="320">IF(D$587=1,IF(D$641=1,Total_annual_amenity_cost*Price_adjustment*((GDP_capita/GDP_capita_base)^Income_elasticity_in),Total_annual_amenity_cost*Price_adjustment*((INDEX(GDP_capita,1,MATCH(Current_year_in,$D$638:$CP$638,0))/GDP_capita_base)^Income_elasticity_in)),0)</f>
        <v>0</v>
      </c>
      <c r="E658" s="111">
        <f t="shared" si="320"/>
        <v>0</v>
      </c>
      <c r="F658" s="111">
        <f t="shared" si="320"/>
        <v>0</v>
      </c>
      <c r="G658" s="111">
        <f t="shared" si="320"/>
        <v>0</v>
      </c>
      <c r="H658" s="111">
        <f t="shared" si="320"/>
        <v>0</v>
      </c>
      <c r="I658" s="111">
        <f t="shared" si="320"/>
        <v>0</v>
      </c>
      <c r="J658" s="111">
        <f t="shared" si="320"/>
        <v>0</v>
      </c>
      <c r="K658" s="111">
        <f t="shared" si="320"/>
        <v>0</v>
      </c>
      <c r="L658" s="111">
        <f t="shared" si="320"/>
        <v>0</v>
      </c>
      <c r="M658" s="111">
        <f t="shared" si="320"/>
        <v>0</v>
      </c>
      <c r="N658" s="111">
        <f t="shared" si="320"/>
        <v>0</v>
      </c>
      <c r="O658" s="111">
        <f t="shared" si="320"/>
        <v>0</v>
      </c>
      <c r="P658" s="111">
        <f t="shared" si="320"/>
        <v>0</v>
      </c>
      <c r="Q658" s="111">
        <f t="shared" si="320"/>
        <v>0</v>
      </c>
      <c r="R658" s="111">
        <f t="shared" si="320"/>
        <v>0</v>
      </c>
      <c r="S658" s="111">
        <f t="shared" si="320"/>
        <v>0</v>
      </c>
      <c r="T658" s="111">
        <f t="shared" si="320"/>
        <v>0</v>
      </c>
      <c r="U658" s="111">
        <f t="shared" si="320"/>
        <v>0</v>
      </c>
      <c r="V658" s="111">
        <f t="shared" si="320"/>
        <v>0</v>
      </c>
      <c r="W658" s="111">
        <f t="shared" si="320"/>
        <v>0</v>
      </c>
      <c r="X658" s="111">
        <f t="shared" si="320"/>
        <v>0</v>
      </c>
      <c r="Y658" s="111">
        <f t="shared" si="320"/>
        <v>0</v>
      </c>
      <c r="Z658" s="111">
        <f t="shared" si="320"/>
        <v>0</v>
      </c>
      <c r="AA658" s="111">
        <f t="shared" si="320"/>
        <v>0</v>
      </c>
      <c r="AB658" s="111">
        <f t="shared" si="320"/>
        <v>0</v>
      </c>
      <c r="AC658" s="111">
        <f t="shared" si="320"/>
        <v>0</v>
      </c>
      <c r="AD658" s="111">
        <f t="shared" si="320"/>
        <v>0</v>
      </c>
      <c r="AE658" s="111">
        <f t="shared" si="320"/>
        <v>0</v>
      </c>
      <c r="AF658" s="111">
        <f t="shared" si="320"/>
        <v>0</v>
      </c>
      <c r="AG658" s="111">
        <f t="shared" si="320"/>
        <v>0</v>
      </c>
      <c r="AH658" s="111">
        <f t="shared" si="320"/>
        <v>0</v>
      </c>
      <c r="AI658" s="111">
        <f t="shared" si="320"/>
        <v>0</v>
      </c>
      <c r="AJ658" s="111">
        <f t="shared" ref="AJ658:BO658" si="321">IF(AJ$587=1,IF(AJ$641=1,Total_annual_amenity_cost*Price_adjustment*((GDP_capita/GDP_capita_base)^Income_elasticity_in),Total_annual_amenity_cost*Price_adjustment*((INDEX(GDP_capita,1,MATCH(Current_year_in,$D$638:$CP$638,0))/GDP_capita_base)^Income_elasticity_in)),0)</f>
        <v>0</v>
      </c>
      <c r="AK658" s="111">
        <f t="shared" si="321"/>
        <v>0</v>
      </c>
      <c r="AL658" s="111">
        <f t="shared" si="321"/>
        <v>0</v>
      </c>
      <c r="AM658" s="111">
        <f t="shared" si="321"/>
        <v>0</v>
      </c>
      <c r="AN658" s="111">
        <f t="shared" si="321"/>
        <v>0</v>
      </c>
      <c r="AO658" s="111">
        <f t="shared" si="321"/>
        <v>0</v>
      </c>
      <c r="AP658" s="111">
        <f t="shared" si="321"/>
        <v>0</v>
      </c>
      <c r="AQ658" s="111">
        <f t="shared" si="321"/>
        <v>0</v>
      </c>
      <c r="AR658" s="111">
        <f t="shared" si="321"/>
        <v>0</v>
      </c>
      <c r="AS658" s="111">
        <f t="shared" si="321"/>
        <v>0</v>
      </c>
      <c r="AT658" s="111">
        <f t="shared" si="321"/>
        <v>0</v>
      </c>
      <c r="AU658" s="111">
        <f t="shared" si="321"/>
        <v>0</v>
      </c>
      <c r="AV658" s="111">
        <f t="shared" si="321"/>
        <v>0</v>
      </c>
      <c r="AW658" s="111">
        <f t="shared" si="321"/>
        <v>0</v>
      </c>
      <c r="AX658" s="111">
        <f t="shared" si="321"/>
        <v>0</v>
      </c>
      <c r="AY658" s="111">
        <f t="shared" si="321"/>
        <v>0</v>
      </c>
      <c r="AZ658" s="111">
        <f t="shared" si="321"/>
        <v>0</v>
      </c>
      <c r="BA658" s="111">
        <f t="shared" si="321"/>
        <v>0</v>
      </c>
      <c r="BB658" s="111">
        <f t="shared" si="321"/>
        <v>0</v>
      </c>
      <c r="BC658" s="111">
        <f t="shared" si="321"/>
        <v>0</v>
      </c>
      <c r="BD658" s="111">
        <f t="shared" si="321"/>
        <v>0</v>
      </c>
      <c r="BE658" s="111">
        <f t="shared" si="321"/>
        <v>0</v>
      </c>
      <c r="BF658" s="111">
        <f t="shared" si="321"/>
        <v>0</v>
      </c>
      <c r="BG658" s="111">
        <f t="shared" si="321"/>
        <v>0</v>
      </c>
      <c r="BH658" s="111">
        <f t="shared" si="321"/>
        <v>0</v>
      </c>
      <c r="BI658" s="111">
        <f t="shared" si="321"/>
        <v>0</v>
      </c>
      <c r="BJ658" s="111">
        <f t="shared" si="321"/>
        <v>0</v>
      </c>
      <c r="BK658" s="111">
        <f t="shared" si="321"/>
        <v>0</v>
      </c>
      <c r="BL658" s="111">
        <f t="shared" si="321"/>
        <v>0</v>
      </c>
      <c r="BM658" s="111">
        <f t="shared" si="321"/>
        <v>0</v>
      </c>
      <c r="BN658" s="111">
        <f t="shared" si="321"/>
        <v>0</v>
      </c>
      <c r="BO658" s="111">
        <f t="shared" si="321"/>
        <v>0</v>
      </c>
      <c r="BP658" s="111">
        <f t="shared" ref="BP658:CP658" si="322">IF(BP$587=1,IF(BP$641=1,Total_annual_amenity_cost*Price_adjustment*((GDP_capita/GDP_capita_base)^Income_elasticity_in),Total_annual_amenity_cost*Price_adjustment*((INDEX(GDP_capita,1,MATCH(Current_year_in,$D$638:$CP$638,0))/GDP_capita_base)^Income_elasticity_in)),0)</f>
        <v>0</v>
      </c>
      <c r="BQ658" s="111">
        <f t="shared" si="322"/>
        <v>0</v>
      </c>
      <c r="BR658" s="111">
        <f t="shared" si="322"/>
        <v>0</v>
      </c>
      <c r="BS658" s="111">
        <f t="shared" si="322"/>
        <v>0</v>
      </c>
      <c r="BT658" s="111">
        <f t="shared" si="322"/>
        <v>0</v>
      </c>
      <c r="BU658" s="111">
        <f t="shared" si="322"/>
        <v>0</v>
      </c>
      <c r="BV658" s="111">
        <f t="shared" si="322"/>
        <v>0</v>
      </c>
      <c r="BW658" s="111">
        <f t="shared" si="322"/>
        <v>0</v>
      </c>
      <c r="BX658" s="111">
        <f t="shared" si="322"/>
        <v>0</v>
      </c>
      <c r="BY658" s="111">
        <f t="shared" si="322"/>
        <v>0</v>
      </c>
      <c r="BZ658" s="111">
        <f t="shared" si="322"/>
        <v>0</v>
      </c>
      <c r="CA658" s="111">
        <f t="shared" si="322"/>
        <v>0</v>
      </c>
      <c r="CB658" s="111">
        <f t="shared" si="322"/>
        <v>0</v>
      </c>
      <c r="CC658" s="111">
        <f t="shared" si="322"/>
        <v>0</v>
      </c>
      <c r="CD658" s="111">
        <f t="shared" si="322"/>
        <v>0</v>
      </c>
      <c r="CE658" s="111">
        <f t="shared" si="322"/>
        <v>0</v>
      </c>
      <c r="CF658" s="111">
        <f t="shared" si="322"/>
        <v>0</v>
      </c>
      <c r="CG658" s="111">
        <f t="shared" si="322"/>
        <v>0</v>
      </c>
      <c r="CH658" s="111">
        <f t="shared" si="322"/>
        <v>0</v>
      </c>
      <c r="CI658" s="111">
        <f t="shared" si="322"/>
        <v>0</v>
      </c>
      <c r="CJ658" s="111">
        <f t="shared" si="322"/>
        <v>0</v>
      </c>
      <c r="CK658" s="111">
        <f t="shared" si="322"/>
        <v>0</v>
      </c>
      <c r="CL658" s="111">
        <f t="shared" si="322"/>
        <v>0</v>
      </c>
      <c r="CM658" s="111">
        <f t="shared" si="322"/>
        <v>0</v>
      </c>
      <c r="CN658" s="111">
        <f t="shared" si="322"/>
        <v>0</v>
      </c>
      <c r="CO658" s="111">
        <f t="shared" si="322"/>
        <v>0</v>
      </c>
      <c r="CP658" s="111">
        <f t="shared" si="322"/>
        <v>0</v>
      </c>
      <c r="CQ658" s="3" t="s">
        <v>733</v>
      </c>
    </row>
    <row r="659" spans="1:95" ht="14.45" outlineLevel="2">
      <c r="A659" s="97"/>
      <c r="B659" s="97" t="s">
        <v>167</v>
      </c>
      <c r="C659" s="97"/>
      <c r="D659" s="111">
        <f t="shared" ref="D659:AI659" si="323">IF(D$587=1,IF(D$641=1,Total_annual_AMI_cost*Price_adjustment*((GDP_capita/GDP_capita_base)^Income_elasticity_in),Total_annual_AMI_cost*Price_adjustment*((INDEX(GDP_capita,1,MATCH(Current_year_in,$D$638:$CP$638,0))/GDP_capita_base)^Income_elasticity_in)),0)</f>
        <v>0</v>
      </c>
      <c r="E659" s="111">
        <f t="shared" si="323"/>
        <v>0</v>
      </c>
      <c r="F659" s="111">
        <f t="shared" si="323"/>
        <v>0</v>
      </c>
      <c r="G659" s="111">
        <f t="shared" si="323"/>
        <v>0</v>
      </c>
      <c r="H659" s="111">
        <f t="shared" si="323"/>
        <v>0</v>
      </c>
      <c r="I659" s="111">
        <f t="shared" si="323"/>
        <v>0</v>
      </c>
      <c r="J659" s="111">
        <f t="shared" si="323"/>
        <v>0</v>
      </c>
      <c r="K659" s="111">
        <f t="shared" si="323"/>
        <v>0</v>
      </c>
      <c r="L659" s="111">
        <f t="shared" si="323"/>
        <v>0</v>
      </c>
      <c r="M659" s="111">
        <f t="shared" si="323"/>
        <v>0</v>
      </c>
      <c r="N659" s="111">
        <f t="shared" si="323"/>
        <v>0</v>
      </c>
      <c r="O659" s="111">
        <f t="shared" si="323"/>
        <v>0</v>
      </c>
      <c r="P659" s="111">
        <f t="shared" si="323"/>
        <v>0</v>
      </c>
      <c r="Q659" s="111">
        <f t="shared" si="323"/>
        <v>0</v>
      </c>
      <c r="R659" s="111">
        <f t="shared" si="323"/>
        <v>0</v>
      </c>
      <c r="S659" s="111">
        <f t="shared" si="323"/>
        <v>0</v>
      </c>
      <c r="T659" s="111">
        <f t="shared" si="323"/>
        <v>0</v>
      </c>
      <c r="U659" s="111">
        <f t="shared" si="323"/>
        <v>0</v>
      </c>
      <c r="V659" s="111">
        <f t="shared" si="323"/>
        <v>0</v>
      </c>
      <c r="W659" s="111">
        <f t="shared" si="323"/>
        <v>0</v>
      </c>
      <c r="X659" s="111">
        <f t="shared" si="323"/>
        <v>0</v>
      </c>
      <c r="Y659" s="111">
        <f t="shared" si="323"/>
        <v>0</v>
      </c>
      <c r="Z659" s="111">
        <f t="shared" si="323"/>
        <v>0</v>
      </c>
      <c r="AA659" s="111">
        <f t="shared" si="323"/>
        <v>0</v>
      </c>
      <c r="AB659" s="111">
        <f t="shared" si="323"/>
        <v>0</v>
      </c>
      <c r="AC659" s="111">
        <f t="shared" si="323"/>
        <v>0</v>
      </c>
      <c r="AD659" s="111">
        <f t="shared" si="323"/>
        <v>0</v>
      </c>
      <c r="AE659" s="111">
        <f t="shared" si="323"/>
        <v>0</v>
      </c>
      <c r="AF659" s="111">
        <f t="shared" si="323"/>
        <v>0</v>
      </c>
      <c r="AG659" s="111">
        <f t="shared" si="323"/>
        <v>0</v>
      </c>
      <c r="AH659" s="111">
        <f t="shared" si="323"/>
        <v>0</v>
      </c>
      <c r="AI659" s="111">
        <f t="shared" si="323"/>
        <v>0</v>
      </c>
      <c r="AJ659" s="111">
        <f t="shared" ref="AJ659:BO659" si="324">IF(AJ$587=1,IF(AJ$641=1,Total_annual_AMI_cost*Price_adjustment*((GDP_capita/GDP_capita_base)^Income_elasticity_in),Total_annual_AMI_cost*Price_adjustment*((INDEX(GDP_capita,1,MATCH(Current_year_in,$D$638:$CP$638,0))/GDP_capita_base)^Income_elasticity_in)),0)</f>
        <v>0</v>
      </c>
      <c r="AK659" s="111">
        <f t="shared" si="324"/>
        <v>0</v>
      </c>
      <c r="AL659" s="111">
        <f t="shared" si="324"/>
        <v>0</v>
      </c>
      <c r="AM659" s="111">
        <f t="shared" si="324"/>
        <v>0</v>
      </c>
      <c r="AN659" s="111">
        <f t="shared" si="324"/>
        <v>0</v>
      </c>
      <c r="AO659" s="111">
        <f t="shared" si="324"/>
        <v>0</v>
      </c>
      <c r="AP659" s="111">
        <f t="shared" si="324"/>
        <v>0</v>
      </c>
      <c r="AQ659" s="111">
        <f t="shared" si="324"/>
        <v>0</v>
      </c>
      <c r="AR659" s="111">
        <f t="shared" si="324"/>
        <v>0</v>
      </c>
      <c r="AS659" s="111">
        <f t="shared" si="324"/>
        <v>0</v>
      </c>
      <c r="AT659" s="111">
        <f t="shared" si="324"/>
        <v>0</v>
      </c>
      <c r="AU659" s="111">
        <f t="shared" si="324"/>
        <v>0</v>
      </c>
      <c r="AV659" s="111">
        <f t="shared" si="324"/>
        <v>0</v>
      </c>
      <c r="AW659" s="111">
        <f t="shared" si="324"/>
        <v>0</v>
      </c>
      <c r="AX659" s="111">
        <f t="shared" si="324"/>
        <v>0</v>
      </c>
      <c r="AY659" s="111">
        <f t="shared" si="324"/>
        <v>0</v>
      </c>
      <c r="AZ659" s="111">
        <f t="shared" si="324"/>
        <v>0</v>
      </c>
      <c r="BA659" s="111">
        <f t="shared" si="324"/>
        <v>0</v>
      </c>
      <c r="BB659" s="111">
        <f t="shared" si="324"/>
        <v>0</v>
      </c>
      <c r="BC659" s="111">
        <f t="shared" si="324"/>
        <v>0</v>
      </c>
      <c r="BD659" s="111">
        <f t="shared" si="324"/>
        <v>0</v>
      </c>
      <c r="BE659" s="111">
        <f t="shared" si="324"/>
        <v>0</v>
      </c>
      <c r="BF659" s="111">
        <f t="shared" si="324"/>
        <v>0</v>
      </c>
      <c r="BG659" s="111">
        <f t="shared" si="324"/>
        <v>0</v>
      </c>
      <c r="BH659" s="111">
        <f t="shared" si="324"/>
        <v>0</v>
      </c>
      <c r="BI659" s="111">
        <f t="shared" si="324"/>
        <v>0</v>
      </c>
      <c r="BJ659" s="111">
        <f t="shared" si="324"/>
        <v>0</v>
      </c>
      <c r="BK659" s="111">
        <f t="shared" si="324"/>
        <v>0</v>
      </c>
      <c r="BL659" s="111">
        <f t="shared" si="324"/>
        <v>0</v>
      </c>
      <c r="BM659" s="111">
        <f t="shared" si="324"/>
        <v>0</v>
      </c>
      <c r="BN659" s="111">
        <f t="shared" si="324"/>
        <v>0</v>
      </c>
      <c r="BO659" s="111">
        <f t="shared" si="324"/>
        <v>0</v>
      </c>
      <c r="BP659" s="111">
        <f t="shared" ref="BP659:CP659" si="325">IF(BP$587=1,IF(BP$641=1,Total_annual_AMI_cost*Price_adjustment*((GDP_capita/GDP_capita_base)^Income_elasticity_in),Total_annual_AMI_cost*Price_adjustment*((INDEX(GDP_capita,1,MATCH(Current_year_in,$D$638:$CP$638,0))/GDP_capita_base)^Income_elasticity_in)),0)</f>
        <v>0</v>
      </c>
      <c r="BQ659" s="111">
        <f t="shared" si="325"/>
        <v>0</v>
      </c>
      <c r="BR659" s="111">
        <f t="shared" si="325"/>
        <v>0</v>
      </c>
      <c r="BS659" s="111">
        <f t="shared" si="325"/>
        <v>0</v>
      </c>
      <c r="BT659" s="111">
        <f t="shared" si="325"/>
        <v>0</v>
      </c>
      <c r="BU659" s="111">
        <f t="shared" si="325"/>
        <v>0</v>
      </c>
      <c r="BV659" s="111">
        <f t="shared" si="325"/>
        <v>0</v>
      </c>
      <c r="BW659" s="111">
        <f t="shared" si="325"/>
        <v>0</v>
      </c>
      <c r="BX659" s="111">
        <f t="shared" si="325"/>
        <v>0</v>
      </c>
      <c r="BY659" s="111">
        <f t="shared" si="325"/>
        <v>0</v>
      </c>
      <c r="BZ659" s="111">
        <f t="shared" si="325"/>
        <v>0</v>
      </c>
      <c r="CA659" s="111">
        <f t="shared" si="325"/>
        <v>0</v>
      </c>
      <c r="CB659" s="111">
        <f t="shared" si="325"/>
        <v>0</v>
      </c>
      <c r="CC659" s="111">
        <f t="shared" si="325"/>
        <v>0</v>
      </c>
      <c r="CD659" s="111">
        <f t="shared" si="325"/>
        <v>0</v>
      </c>
      <c r="CE659" s="111">
        <f t="shared" si="325"/>
        <v>0</v>
      </c>
      <c r="CF659" s="111">
        <f t="shared" si="325"/>
        <v>0</v>
      </c>
      <c r="CG659" s="111">
        <f t="shared" si="325"/>
        <v>0</v>
      </c>
      <c r="CH659" s="111">
        <f t="shared" si="325"/>
        <v>0</v>
      </c>
      <c r="CI659" s="111">
        <f t="shared" si="325"/>
        <v>0</v>
      </c>
      <c r="CJ659" s="111">
        <f t="shared" si="325"/>
        <v>0</v>
      </c>
      <c r="CK659" s="111">
        <f t="shared" si="325"/>
        <v>0</v>
      </c>
      <c r="CL659" s="111">
        <f t="shared" si="325"/>
        <v>0</v>
      </c>
      <c r="CM659" s="111">
        <f t="shared" si="325"/>
        <v>0</v>
      </c>
      <c r="CN659" s="111">
        <f t="shared" si="325"/>
        <v>0</v>
      </c>
      <c r="CO659" s="111">
        <f t="shared" si="325"/>
        <v>0</v>
      </c>
      <c r="CP659" s="111">
        <f t="shared" si="325"/>
        <v>0</v>
      </c>
      <c r="CQ659" s="3" t="s">
        <v>734</v>
      </c>
    </row>
    <row r="660" spans="1:95" ht="14.45" outlineLevel="2">
      <c r="A660" s="97"/>
      <c r="B660" s="97" t="s">
        <v>169</v>
      </c>
      <c r="C660" s="97"/>
      <c r="D660" s="111">
        <f t="shared" ref="D660:AI660" si="326">IF(D$587=1,IF(D$641=1,Total_annual_stroke_cost*Price_adjustment*((GDP_capita/GDP_capita_base)^Income_elasticity_in),Total_annual_stroke_cost*Price_adjustment*((INDEX(GDP_capita,1,MATCH(Current_year_in,$D$638:$CP$638,0))/GDP_capita_base)^Income_elasticity_in)),0)</f>
        <v>0</v>
      </c>
      <c r="E660" s="111">
        <f t="shared" si="326"/>
        <v>0</v>
      </c>
      <c r="F660" s="111">
        <f t="shared" si="326"/>
        <v>0</v>
      </c>
      <c r="G660" s="111">
        <f t="shared" si="326"/>
        <v>0</v>
      </c>
      <c r="H660" s="111">
        <f t="shared" si="326"/>
        <v>0</v>
      </c>
      <c r="I660" s="111">
        <f t="shared" si="326"/>
        <v>0</v>
      </c>
      <c r="J660" s="111">
        <f t="shared" si="326"/>
        <v>0</v>
      </c>
      <c r="K660" s="111">
        <f t="shared" si="326"/>
        <v>0</v>
      </c>
      <c r="L660" s="111">
        <f t="shared" si="326"/>
        <v>0</v>
      </c>
      <c r="M660" s="111">
        <f t="shared" si="326"/>
        <v>0</v>
      </c>
      <c r="N660" s="111">
        <f t="shared" si="326"/>
        <v>0</v>
      </c>
      <c r="O660" s="111">
        <f t="shared" si="326"/>
        <v>0</v>
      </c>
      <c r="P660" s="111">
        <f t="shared" si="326"/>
        <v>0</v>
      </c>
      <c r="Q660" s="111">
        <f t="shared" si="326"/>
        <v>0</v>
      </c>
      <c r="R660" s="111">
        <f t="shared" si="326"/>
        <v>0</v>
      </c>
      <c r="S660" s="111">
        <f t="shared" si="326"/>
        <v>0</v>
      </c>
      <c r="T660" s="111">
        <f t="shared" si="326"/>
        <v>0</v>
      </c>
      <c r="U660" s="111">
        <f t="shared" si="326"/>
        <v>0</v>
      </c>
      <c r="V660" s="111">
        <f t="shared" si="326"/>
        <v>0</v>
      </c>
      <c r="W660" s="111">
        <f t="shared" si="326"/>
        <v>0</v>
      </c>
      <c r="X660" s="111">
        <f t="shared" si="326"/>
        <v>0</v>
      </c>
      <c r="Y660" s="111">
        <f t="shared" si="326"/>
        <v>0</v>
      </c>
      <c r="Z660" s="111">
        <f t="shared" si="326"/>
        <v>0</v>
      </c>
      <c r="AA660" s="111">
        <f t="shared" si="326"/>
        <v>0</v>
      </c>
      <c r="AB660" s="111">
        <f t="shared" si="326"/>
        <v>0</v>
      </c>
      <c r="AC660" s="111">
        <f t="shared" si="326"/>
        <v>0</v>
      </c>
      <c r="AD660" s="111">
        <f t="shared" si="326"/>
        <v>0</v>
      </c>
      <c r="AE660" s="111">
        <f t="shared" si="326"/>
        <v>0</v>
      </c>
      <c r="AF660" s="111">
        <f t="shared" si="326"/>
        <v>0</v>
      </c>
      <c r="AG660" s="111">
        <f t="shared" si="326"/>
        <v>0</v>
      </c>
      <c r="AH660" s="111">
        <f t="shared" si="326"/>
        <v>0</v>
      </c>
      <c r="AI660" s="111">
        <f t="shared" si="326"/>
        <v>0</v>
      </c>
      <c r="AJ660" s="111">
        <f t="shared" ref="AJ660:BO660" si="327">IF(AJ$587=1,IF(AJ$641=1,Total_annual_stroke_cost*Price_adjustment*((GDP_capita/GDP_capita_base)^Income_elasticity_in),Total_annual_stroke_cost*Price_adjustment*((INDEX(GDP_capita,1,MATCH(Current_year_in,$D$638:$CP$638,0))/GDP_capita_base)^Income_elasticity_in)),0)</f>
        <v>0</v>
      </c>
      <c r="AK660" s="111">
        <f t="shared" si="327"/>
        <v>0</v>
      </c>
      <c r="AL660" s="111">
        <f t="shared" si="327"/>
        <v>0</v>
      </c>
      <c r="AM660" s="111">
        <f t="shared" si="327"/>
        <v>0</v>
      </c>
      <c r="AN660" s="111">
        <f t="shared" si="327"/>
        <v>0</v>
      </c>
      <c r="AO660" s="111">
        <f t="shared" si="327"/>
        <v>0</v>
      </c>
      <c r="AP660" s="111">
        <f t="shared" si="327"/>
        <v>0</v>
      </c>
      <c r="AQ660" s="111">
        <f t="shared" si="327"/>
        <v>0</v>
      </c>
      <c r="AR660" s="111">
        <f t="shared" si="327"/>
        <v>0</v>
      </c>
      <c r="AS660" s="111">
        <f t="shared" si="327"/>
        <v>0</v>
      </c>
      <c r="AT660" s="111">
        <f t="shared" si="327"/>
        <v>0</v>
      </c>
      <c r="AU660" s="111">
        <f t="shared" si="327"/>
        <v>0</v>
      </c>
      <c r="AV660" s="111">
        <f t="shared" si="327"/>
        <v>0</v>
      </c>
      <c r="AW660" s="111">
        <f t="shared" si="327"/>
        <v>0</v>
      </c>
      <c r="AX660" s="111">
        <f t="shared" si="327"/>
        <v>0</v>
      </c>
      <c r="AY660" s="111">
        <f t="shared" si="327"/>
        <v>0</v>
      </c>
      <c r="AZ660" s="111">
        <f t="shared" si="327"/>
        <v>0</v>
      </c>
      <c r="BA660" s="111">
        <f t="shared" si="327"/>
        <v>0</v>
      </c>
      <c r="BB660" s="111">
        <f t="shared" si="327"/>
        <v>0</v>
      </c>
      <c r="BC660" s="111">
        <f t="shared" si="327"/>
        <v>0</v>
      </c>
      <c r="BD660" s="111">
        <f t="shared" si="327"/>
        <v>0</v>
      </c>
      <c r="BE660" s="111">
        <f t="shared" si="327"/>
        <v>0</v>
      </c>
      <c r="BF660" s="111">
        <f t="shared" si="327"/>
        <v>0</v>
      </c>
      <c r="BG660" s="111">
        <f t="shared" si="327"/>
        <v>0</v>
      </c>
      <c r="BH660" s="111">
        <f t="shared" si="327"/>
        <v>0</v>
      </c>
      <c r="BI660" s="111">
        <f t="shared" si="327"/>
        <v>0</v>
      </c>
      <c r="BJ660" s="111">
        <f t="shared" si="327"/>
        <v>0</v>
      </c>
      <c r="BK660" s="111">
        <f t="shared" si="327"/>
        <v>0</v>
      </c>
      <c r="BL660" s="111">
        <f t="shared" si="327"/>
        <v>0</v>
      </c>
      <c r="BM660" s="111">
        <f t="shared" si="327"/>
        <v>0</v>
      </c>
      <c r="BN660" s="111">
        <f t="shared" si="327"/>
        <v>0</v>
      </c>
      <c r="BO660" s="111">
        <f t="shared" si="327"/>
        <v>0</v>
      </c>
      <c r="BP660" s="111">
        <f t="shared" ref="BP660:CP660" si="328">IF(BP$587=1,IF(BP$641=1,Total_annual_stroke_cost*Price_adjustment*((GDP_capita/GDP_capita_base)^Income_elasticity_in),Total_annual_stroke_cost*Price_adjustment*((INDEX(GDP_capita,1,MATCH(Current_year_in,$D$638:$CP$638,0))/GDP_capita_base)^Income_elasticity_in)),0)</f>
        <v>0</v>
      </c>
      <c r="BQ660" s="111">
        <f t="shared" si="328"/>
        <v>0</v>
      </c>
      <c r="BR660" s="111">
        <f t="shared" si="328"/>
        <v>0</v>
      </c>
      <c r="BS660" s="111">
        <f t="shared" si="328"/>
        <v>0</v>
      </c>
      <c r="BT660" s="111">
        <f t="shared" si="328"/>
        <v>0</v>
      </c>
      <c r="BU660" s="111">
        <f t="shared" si="328"/>
        <v>0</v>
      </c>
      <c r="BV660" s="111">
        <f t="shared" si="328"/>
        <v>0</v>
      </c>
      <c r="BW660" s="111">
        <f t="shared" si="328"/>
        <v>0</v>
      </c>
      <c r="BX660" s="111">
        <f t="shared" si="328"/>
        <v>0</v>
      </c>
      <c r="BY660" s="111">
        <f t="shared" si="328"/>
        <v>0</v>
      </c>
      <c r="BZ660" s="111">
        <f t="shared" si="328"/>
        <v>0</v>
      </c>
      <c r="CA660" s="111">
        <f t="shared" si="328"/>
        <v>0</v>
      </c>
      <c r="CB660" s="111">
        <f t="shared" si="328"/>
        <v>0</v>
      </c>
      <c r="CC660" s="111">
        <f t="shared" si="328"/>
        <v>0</v>
      </c>
      <c r="CD660" s="111">
        <f t="shared" si="328"/>
        <v>0</v>
      </c>
      <c r="CE660" s="111">
        <f t="shared" si="328"/>
        <v>0</v>
      </c>
      <c r="CF660" s="111">
        <f t="shared" si="328"/>
        <v>0</v>
      </c>
      <c r="CG660" s="111">
        <f t="shared" si="328"/>
        <v>0</v>
      </c>
      <c r="CH660" s="111">
        <f t="shared" si="328"/>
        <v>0</v>
      </c>
      <c r="CI660" s="111">
        <f t="shared" si="328"/>
        <v>0</v>
      </c>
      <c r="CJ660" s="111">
        <f t="shared" si="328"/>
        <v>0</v>
      </c>
      <c r="CK660" s="111">
        <f t="shared" si="328"/>
        <v>0</v>
      </c>
      <c r="CL660" s="111">
        <f t="shared" si="328"/>
        <v>0</v>
      </c>
      <c r="CM660" s="111">
        <f t="shared" si="328"/>
        <v>0</v>
      </c>
      <c r="CN660" s="111">
        <f t="shared" si="328"/>
        <v>0</v>
      </c>
      <c r="CO660" s="111">
        <f t="shared" si="328"/>
        <v>0</v>
      </c>
      <c r="CP660" s="111">
        <f t="shared" si="328"/>
        <v>0</v>
      </c>
      <c r="CQ660" s="3" t="s">
        <v>735</v>
      </c>
    </row>
    <row r="661" spans="1:95" ht="14.45" outlineLevel="2">
      <c r="A661" s="97"/>
      <c r="B661" s="97" t="s">
        <v>171</v>
      </c>
      <c r="C661" s="97"/>
      <c r="D661" s="111">
        <f t="shared" ref="D661:AI661" si="329">IF(D$587=1,IF(D$641=1,Total_annual_dementia_cost*Price_adjustment*((GDP_capita/GDP_capita_base)^Income_elasticity_in),Total_annual_dementia_cost*Price_adjustment*((INDEX(GDP_capita,1,MATCH(Current_year_in,$D$638:$CP$638,0))/GDP_capita_base)^Income_elasticity_in)),0)</f>
        <v>0</v>
      </c>
      <c r="E661" s="111">
        <f t="shared" si="329"/>
        <v>0</v>
      </c>
      <c r="F661" s="111">
        <f t="shared" si="329"/>
        <v>0</v>
      </c>
      <c r="G661" s="111">
        <f t="shared" si="329"/>
        <v>0</v>
      </c>
      <c r="H661" s="111">
        <f t="shared" si="329"/>
        <v>0</v>
      </c>
      <c r="I661" s="111">
        <f t="shared" si="329"/>
        <v>0</v>
      </c>
      <c r="J661" s="111">
        <f t="shared" si="329"/>
        <v>0</v>
      </c>
      <c r="K661" s="111">
        <f t="shared" si="329"/>
        <v>0</v>
      </c>
      <c r="L661" s="111">
        <f t="shared" si="329"/>
        <v>0</v>
      </c>
      <c r="M661" s="111">
        <f t="shared" si="329"/>
        <v>0</v>
      </c>
      <c r="N661" s="111">
        <f t="shared" si="329"/>
        <v>0</v>
      </c>
      <c r="O661" s="111">
        <f t="shared" si="329"/>
        <v>0</v>
      </c>
      <c r="P661" s="111">
        <f t="shared" si="329"/>
        <v>0</v>
      </c>
      <c r="Q661" s="111">
        <f t="shared" si="329"/>
        <v>0</v>
      </c>
      <c r="R661" s="111">
        <f t="shared" si="329"/>
        <v>0</v>
      </c>
      <c r="S661" s="111">
        <f t="shared" si="329"/>
        <v>0</v>
      </c>
      <c r="T661" s="111">
        <f t="shared" si="329"/>
        <v>0</v>
      </c>
      <c r="U661" s="111">
        <f t="shared" si="329"/>
        <v>0</v>
      </c>
      <c r="V661" s="111">
        <f t="shared" si="329"/>
        <v>0</v>
      </c>
      <c r="W661" s="111">
        <f t="shared" si="329"/>
        <v>0</v>
      </c>
      <c r="X661" s="111">
        <f t="shared" si="329"/>
        <v>0</v>
      </c>
      <c r="Y661" s="111">
        <f t="shared" si="329"/>
        <v>0</v>
      </c>
      <c r="Z661" s="111">
        <f t="shared" si="329"/>
        <v>0</v>
      </c>
      <c r="AA661" s="111">
        <f t="shared" si="329"/>
        <v>0</v>
      </c>
      <c r="AB661" s="111">
        <f t="shared" si="329"/>
        <v>0</v>
      </c>
      <c r="AC661" s="111">
        <f t="shared" si="329"/>
        <v>0</v>
      </c>
      <c r="AD661" s="111">
        <f t="shared" si="329"/>
        <v>0</v>
      </c>
      <c r="AE661" s="111">
        <f t="shared" si="329"/>
        <v>0</v>
      </c>
      <c r="AF661" s="111">
        <f t="shared" si="329"/>
        <v>0</v>
      </c>
      <c r="AG661" s="111">
        <f t="shared" si="329"/>
        <v>0</v>
      </c>
      <c r="AH661" s="111">
        <f t="shared" si="329"/>
        <v>0</v>
      </c>
      <c r="AI661" s="111">
        <f t="shared" si="329"/>
        <v>0</v>
      </c>
      <c r="AJ661" s="111">
        <f t="shared" ref="AJ661:BO661" si="330">IF(AJ$587=1,IF(AJ$641=1,Total_annual_dementia_cost*Price_adjustment*((GDP_capita/GDP_capita_base)^Income_elasticity_in),Total_annual_dementia_cost*Price_adjustment*((INDEX(GDP_capita,1,MATCH(Current_year_in,$D$638:$CP$638,0))/GDP_capita_base)^Income_elasticity_in)),0)</f>
        <v>0</v>
      </c>
      <c r="AK661" s="111">
        <f t="shared" si="330"/>
        <v>0</v>
      </c>
      <c r="AL661" s="111">
        <f t="shared" si="330"/>
        <v>0</v>
      </c>
      <c r="AM661" s="111">
        <f t="shared" si="330"/>
        <v>0</v>
      </c>
      <c r="AN661" s="111">
        <f t="shared" si="330"/>
        <v>0</v>
      </c>
      <c r="AO661" s="111">
        <f t="shared" si="330"/>
        <v>0</v>
      </c>
      <c r="AP661" s="111">
        <f t="shared" si="330"/>
        <v>0</v>
      </c>
      <c r="AQ661" s="111">
        <f t="shared" si="330"/>
        <v>0</v>
      </c>
      <c r="AR661" s="111">
        <f t="shared" si="330"/>
        <v>0</v>
      </c>
      <c r="AS661" s="111">
        <f t="shared" si="330"/>
        <v>0</v>
      </c>
      <c r="AT661" s="111">
        <f t="shared" si="330"/>
        <v>0</v>
      </c>
      <c r="AU661" s="111">
        <f t="shared" si="330"/>
        <v>0</v>
      </c>
      <c r="AV661" s="111">
        <f t="shared" si="330"/>
        <v>0</v>
      </c>
      <c r="AW661" s="111">
        <f t="shared" si="330"/>
        <v>0</v>
      </c>
      <c r="AX661" s="111">
        <f t="shared" si="330"/>
        <v>0</v>
      </c>
      <c r="AY661" s="111">
        <f t="shared" si="330"/>
        <v>0</v>
      </c>
      <c r="AZ661" s="111">
        <f t="shared" si="330"/>
        <v>0</v>
      </c>
      <c r="BA661" s="111">
        <f t="shared" si="330"/>
        <v>0</v>
      </c>
      <c r="BB661" s="111">
        <f t="shared" si="330"/>
        <v>0</v>
      </c>
      <c r="BC661" s="111">
        <f t="shared" si="330"/>
        <v>0</v>
      </c>
      <c r="BD661" s="111">
        <f t="shared" si="330"/>
        <v>0</v>
      </c>
      <c r="BE661" s="111">
        <f t="shared" si="330"/>
        <v>0</v>
      </c>
      <c r="BF661" s="111">
        <f t="shared" si="330"/>
        <v>0</v>
      </c>
      <c r="BG661" s="111">
        <f t="shared" si="330"/>
        <v>0</v>
      </c>
      <c r="BH661" s="111">
        <f t="shared" si="330"/>
        <v>0</v>
      </c>
      <c r="BI661" s="111">
        <f t="shared" si="330"/>
        <v>0</v>
      </c>
      <c r="BJ661" s="111">
        <f t="shared" si="330"/>
        <v>0</v>
      </c>
      <c r="BK661" s="111">
        <f t="shared" si="330"/>
        <v>0</v>
      </c>
      <c r="BL661" s="111">
        <f t="shared" si="330"/>
        <v>0</v>
      </c>
      <c r="BM661" s="111">
        <f t="shared" si="330"/>
        <v>0</v>
      </c>
      <c r="BN661" s="111">
        <f t="shared" si="330"/>
        <v>0</v>
      </c>
      <c r="BO661" s="111">
        <f t="shared" si="330"/>
        <v>0</v>
      </c>
      <c r="BP661" s="111">
        <f t="shared" ref="BP661:CP661" si="331">IF(BP$587=1,IF(BP$641=1,Total_annual_dementia_cost*Price_adjustment*((GDP_capita/GDP_capita_base)^Income_elasticity_in),Total_annual_dementia_cost*Price_adjustment*((INDEX(GDP_capita,1,MATCH(Current_year_in,$D$638:$CP$638,0))/GDP_capita_base)^Income_elasticity_in)),0)</f>
        <v>0</v>
      </c>
      <c r="BQ661" s="111">
        <f t="shared" si="331"/>
        <v>0</v>
      </c>
      <c r="BR661" s="111">
        <f t="shared" si="331"/>
        <v>0</v>
      </c>
      <c r="BS661" s="111">
        <f t="shared" si="331"/>
        <v>0</v>
      </c>
      <c r="BT661" s="111">
        <f t="shared" si="331"/>
        <v>0</v>
      </c>
      <c r="BU661" s="111">
        <f t="shared" si="331"/>
        <v>0</v>
      </c>
      <c r="BV661" s="111">
        <f t="shared" si="331"/>
        <v>0</v>
      </c>
      <c r="BW661" s="111">
        <f t="shared" si="331"/>
        <v>0</v>
      </c>
      <c r="BX661" s="111">
        <f t="shared" si="331"/>
        <v>0</v>
      </c>
      <c r="BY661" s="111">
        <f t="shared" si="331"/>
        <v>0</v>
      </c>
      <c r="BZ661" s="111">
        <f t="shared" si="331"/>
        <v>0</v>
      </c>
      <c r="CA661" s="111">
        <f t="shared" si="331"/>
        <v>0</v>
      </c>
      <c r="CB661" s="111">
        <f t="shared" si="331"/>
        <v>0</v>
      </c>
      <c r="CC661" s="111">
        <f t="shared" si="331"/>
        <v>0</v>
      </c>
      <c r="CD661" s="111">
        <f t="shared" si="331"/>
        <v>0</v>
      </c>
      <c r="CE661" s="111">
        <f t="shared" si="331"/>
        <v>0</v>
      </c>
      <c r="CF661" s="111">
        <f t="shared" si="331"/>
        <v>0</v>
      </c>
      <c r="CG661" s="111">
        <f t="shared" si="331"/>
        <v>0</v>
      </c>
      <c r="CH661" s="111">
        <f t="shared" si="331"/>
        <v>0</v>
      </c>
      <c r="CI661" s="111">
        <f t="shared" si="331"/>
        <v>0</v>
      </c>
      <c r="CJ661" s="111">
        <f t="shared" si="331"/>
        <v>0</v>
      </c>
      <c r="CK661" s="111">
        <f t="shared" si="331"/>
        <v>0</v>
      </c>
      <c r="CL661" s="111">
        <f t="shared" si="331"/>
        <v>0</v>
      </c>
      <c r="CM661" s="111">
        <f t="shared" si="331"/>
        <v>0</v>
      </c>
      <c r="CN661" s="111">
        <f t="shared" si="331"/>
        <v>0</v>
      </c>
      <c r="CO661" s="111">
        <f t="shared" si="331"/>
        <v>0</v>
      </c>
      <c r="CP661" s="111">
        <f t="shared" si="331"/>
        <v>0</v>
      </c>
      <c r="CQ661" s="3" t="s">
        <v>736</v>
      </c>
    </row>
    <row r="662" spans="1:95" ht="14.45" outlineLevel="2">
      <c r="A662" s="97"/>
      <c r="B662" s="97"/>
      <c r="C662" s="97"/>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3"/>
    </row>
    <row r="663" spans="1:95" s="5" customFormat="1" ht="15.6" outlineLevel="1">
      <c r="B663" s="5" t="s">
        <v>737</v>
      </c>
    </row>
    <row r="664" spans="1:95" ht="14.45" outlineLevel="1">
      <c r="A664" s="97"/>
      <c r="B664" s="97"/>
      <c r="C664" s="97"/>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3"/>
    </row>
    <row r="665" spans="1:95" ht="14.45" outlineLevel="1">
      <c r="A665" s="97"/>
      <c r="B665" s="97" t="s">
        <v>738</v>
      </c>
      <c r="C665" s="12">
        <f>Default_HH_size_in</f>
        <v>2.2999999999999998</v>
      </c>
      <c r="D665" s="3" t="s">
        <v>739</v>
      </c>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3"/>
    </row>
    <row r="666" spans="1:95" ht="14.45" outlineLevel="1">
      <c r="A666" s="97"/>
      <c r="B666" s="97"/>
      <c r="C666" s="97"/>
      <c r="D666" s="12">
        <v>2010</v>
      </c>
      <c r="E666" s="12">
        <v>2011</v>
      </c>
      <c r="F666" s="12">
        <v>2012</v>
      </c>
      <c r="G666" s="12">
        <v>2013</v>
      </c>
      <c r="H666" s="12">
        <v>2014</v>
      </c>
      <c r="I666" s="12">
        <v>2015</v>
      </c>
      <c r="J666" s="12">
        <v>2016</v>
      </c>
      <c r="K666" s="12">
        <v>2017</v>
      </c>
      <c r="L666" s="12">
        <v>2018</v>
      </c>
      <c r="M666" s="12">
        <v>2019</v>
      </c>
      <c r="N666" s="12">
        <v>2020</v>
      </c>
      <c r="O666" s="12">
        <v>2021</v>
      </c>
      <c r="P666" s="12">
        <v>2022</v>
      </c>
      <c r="Q666" s="12">
        <v>2023</v>
      </c>
      <c r="R666" s="12">
        <v>2024</v>
      </c>
      <c r="S666" s="12">
        <v>2025</v>
      </c>
      <c r="T666" s="12">
        <v>2026</v>
      </c>
      <c r="U666" s="12">
        <v>2027</v>
      </c>
      <c r="V666" s="12">
        <v>2028</v>
      </c>
      <c r="W666" s="12">
        <v>2029</v>
      </c>
      <c r="X666" s="12">
        <v>2030</v>
      </c>
      <c r="Y666" s="12">
        <v>2031</v>
      </c>
      <c r="Z666" s="12">
        <v>2032</v>
      </c>
      <c r="AA666" s="12">
        <v>2033</v>
      </c>
      <c r="AB666" s="12">
        <v>2034</v>
      </c>
      <c r="AC666" s="12">
        <v>2035</v>
      </c>
      <c r="AD666" s="12">
        <v>2036</v>
      </c>
      <c r="AE666" s="12">
        <v>2037</v>
      </c>
      <c r="AF666" s="12">
        <v>2038</v>
      </c>
      <c r="AG666" s="12">
        <v>2039</v>
      </c>
      <c r="AH666" s="12">
        <v>2040</v>
      </c>
      <c r="AI666" s="12">
        <v>2041</v>
      </c>
      <c r="AJ666" s="12">
        <v>2042</v>
      </c>
      <c r="AK666" s="12">
        <v>2043</v>
      </c>
      <c r="AL666" s="12">
        <v>2044</v>
      </c>
      <c r="AM666" s="12">
        <v>2045</v>
      </c>
      <c r="AN666" s="12">
        <v>2046</v>
      </c>
      <c r="AO666" s="12">
        <v>2047</v>
      </c>
      <c r="AP666" s="12">
        <v>2048</v>
      </c>
      <c r="AQ666" s="12">
        <v>2049</v>
      </c>
      <c r="AR666" s="12">
        <v>2050</v>
      </c>
      <c r="AS666" s="12">
        <v>2051</v>
      </c>
      <c r="AT666" s="12">
        <v>2052</v>
      </c>
      <c r="AU666" s="12">
        <v>2053</v>
      </c>
      <c r="AV666" s="12">
        <v>2054</v>
      </c>
      <c r="AW666" s="12">
        <v>2055</v>
      </c>
      <c r="AX666" s="12">
        <v>2056</v>
      </c>
      <c r="AY666" s="12">
        <v>2057</v>
      </c>
      <c r="AZ666" s="12">
        <v>2058</v>
      </c>
      <c r="BA666" s="12">
        <v>2059</v>
      </c>
      <c r="BB666" s="12">
        <v>2060</v>
      </c>
      <c r="BC666" s="12">
        <v>2061</v>
      </c>
      <c r="BD666" s="12">
        <v>2062</v>
      </c>
      <c r="BE666" s="12">
        <v>2063</v>
      </c>
      <c r="BF666" s="12">
        <v>2064</v>
      </c>
      <c r="BG666" s="12">
        <v>2065</v>
      </c>
      <c r="BH666" s="12">
        <v>2066</v>
      </c>
      <c r="BI666" s="12">
        <v>2067</v>
      </c>
      <c r="BJ666" s="12">
        <v>2068</v>
      </c>
      <c r="BK666" s="12">
        <v>2069</v>
      </c>
      <c r="BL666" s="12">
        <v>2070</v>
      </c>
      <c r="BM666" s="12">
        <v>2071</v>
      </c>
      <c r="BN666" s="12">
        <v>2072</v>
      </c>
      <c r="BO666" s="12">
        <v>2073</v>
      </c>
      <c r="BP666" s="12">
        <v>2074</v>
      </c>
      <c r="BQ666" s="12">
        <v>2075</v>
      </c>
      <c r="BR666" s="12">
        <v>2076</v>
      </c>
      <c r="BS666" s="12">
        <v>2077</v>
      </c>
      <c r="BT666" s="12">
        <v>2078</v>
      </c>
      <c r="BU666" s="12">
        <v>2079</v>
      </c>
      <c r="BV666" s="12">
        <v>2080</v>
      </c>
      <c r="BW666" s="12">
        <v>2081</v>
      </c>
      <c r="BX666" s="12">
        <v>2082</v>
      </c>
      <c r="BY666" s="12">
        <v>2083</v>
      </c>
      <c r="BZ666" s="12">
        <v>2084</v>
      </c>
      <c r="CA666" s="12">
        <v>2085</v>
      </c>
      <c r="CB666" s="12">
        <v>2086</v>
      </c>
      <c r="CC666" s="12">
        <v>2087</v>
      </c>
      <c r="CD666" s="12">
        <v>2088</v>
      </c>
      <c r="CE666" s="12">
        <v>2089</v>
      </c>
      <c r="CF666" s="12">
        <v>2090</v>
      </c>
      <c r="CG666" s="12">
        <v>2091</v>
      </c>
      <c r="CH666" s="12">
        <v>2092</v>
      </c>
      <c r="CI666" s="12">
        <v>2093</v>
      </c>
      <c r="CJ666" s="12">
        <v>2094</v>
      </c>
      <c r="CK666" s="12">
        <v>2095</v>
      </c>
      <c r="CL666" s="12">
        <v>2096</v>
      </c>
      <c r="CM666" s="12">
        <v>2097</v>
      </c>
      <c r="CN666" s="12">
        <v>2098</v>
      </c>
      <c r="CO666" s="12">
        <v>2099</v>
      </c>
      <c r="CP666" s="12">
        <v>2100</v>
      </c>
      <c r="CQ666" s="3"/>
    </row>
    <row r="667" spans="1:95" ht="14.45" outlineLevel="1">
      <c r="A667" s="97"/>
      <c r="B667" s="97" t="s">
        <v>216</v>
      </c>
      <c r="C667" s="97"/>
      <c r="D667" s="114">
        <f t="shared" ref="D667:AI667" si="332">Household_size_user_input_in</f>
        <v>2.2999999999999998</v>
      </c>
      <c r="E667" s="114">
        <f t="shared" si="332"/>
        <v>2.2999999999999998</v>
      </c>
      <c r="F667" s="114">
        <f t="shared" si="332"/>
        <v>2.2999999999999998</v>
      </c>
      <c r="G667" s="114">
        <f t="shared" si="332"/>
        <v>2.2999999999999998</v>
      </c>
      <c r="H667" s="114">
        <f t="shared" si="332"/>
        <v>2.2999999999999998</v>
      </c>
      <c r="I667" s="114">
        <f t="shared" si="332"/>
        <v>2.2999999999999998</v>
      </c>
      <c r="J667" s="114">
        <f t="shared" si="332"/>
        <v>2.2999999999999998</v>
      </c>
      <c r="K667" s="114">
        <f t="shared" si="332"/>
        <v>2.2999999999999998</v>
      </c>
      <c r="L667" s="114">
        <f t="shared" si="332"/>
        <v>2.2999999999999998</v>
      </c>
      <c r="M667" s="114">
        <f t="shared" si="332"/>
        <v>2.2999999999999998</v>
      </c>
      <c r="N667" s="114">
        <f t="shared" si="332"/>
        <v>2.2999999999999998</v>
      </c>
      <c r="O667" s="114">
        <f t="shared" si="332"/>
        <v>2.2999999999999998</v>
      </c>
      <c r="P667" s="114">
        <f t="shared" si="332"/>
        <v>2.2999999999999998</v>
      </c>
      <c r="Q667" s="114">
        <f t="shared" si="332"/>
        <v>2.2999999999999998</v>
      </c>
      <c r="R667" s="114">
        <f t="shared" si="332"/>
        <v>2.2999999999999998</v>
      </c>
      <c r="S667" s="114">
        <f t="shared" si="332"/>
        <v>2.2999999999999998</v>
      </c>
      <c r="T667" s="114">
        <f t="shared" si="332"/>
        <v>2.2999999999999998</v>
      </c>
      <c r="U667" s="114">
        <f t="shared" si="332"/>
        <v>2.2999999999999998</v>
      </c>
      <c r="V667" s="114">
        <f t="shared" si="332"/>
        <v>2.2999999999999998</v>
      </c>
      <c r="W667" s="114">
        <f t="shared" si="332"/>
        <v>2.2999999999999998</v>
      </c>
      <c r="X667" s="114">
        <f t="shared" si="332"/>
        <v>2.2999999999999998</v>
      </c>
      <c r="Y667" s="114">
        <f t="shared" si="332"/>
        <v>2.2999999999999998</v>
      </c>
      <c r="Z667" s="114">
        <f t="shared" si="332"/>
        <v>2.2999999999999998</v>
      </c>
      <c r="AA667" s="114">
        <f t="shared" si="332"/>
        <v>2.2999999999999998</v>
      </c>
      <c r="AB667" s="114">
        <f t="shared" si="332"/>
        <v>2.2999999999999998</v>
      </c>
      <c r="AC667" s="114">
        <f t="shared" si="332"/>
        <v>2.2999999999999998</v>
      </c>
      <c r="AD667" s="114">
        <f t="shared" si="332"/>
        <v>2.2999999999999998</v>
      </c>
      <c r="AE667" s="114">
        <f t="shared" si="332"/>
        <v>2.2999999999999998</v>
      </c>
      <c r="AF667" s="114">
        <f t="shared" si="332"/>
        <v>2.2999999999999998</v>
      </c>
      <c r="AG667" s="114">
        <f t="shared" si="332"/>
        <v>2.2999999999999998</v>
      </c>
      <c r="AH667" s="114">
        <f t="shared" si="332"/>
        <v>2.2999999999999998</v>
      </c>
      <c r="AI667" s="114">
        <f t="shared" si="332"/>
        <v>2.2999999999999998</v>
      </c>
      <c r="AJ667" s="114">
        <f t="shared" ref="AJ667:BO667" si="333">Household_size_user_input_in</f>
        <v>2.2999999999999998</v>
      </c>
      <c r="AK667" s="114">
        <f t="shared" si="333"/>
        <v>2.2999999999999998</v>
      </c>
      <c r="AL667" s="114">
        <f t="shared" si="333"/>
        <v>2.2999999999999998</v>
      </c>
      <c r="AM667" s="114">
        <f t="shared" si="333"/>
        <v>2.2999999999999998</v>
      </c>
      <c r="AN667" s="114">
        <f t="shared" si="333"/>
        <v>2.2999999999999998</v>
      </c>
      <c r="AO667" s="114">
        <f t="shared" si="333"/>
        <v>2.2999999999999998</v>
      </c>
      <c r="AP667" s="114">
        <f t="shared" si="333"/>
        <v>2.2999999999999998</v>
      </c>
      <c r="AQ667" s="114">
        <f t="shared" si="333"/>
        <v>2.2999999999999998</v>
      </c>
      <c r="AR667" s="114">
        <f t="shared" si="333"/>
        <v>2.2999999999999998</v>
      </c>
      <c r="AS667" s="114">
        <f t="shared" si="333"/>
        <v>2.2999999999999998</v>
      </c>
      <c r="AT667" s="114">
        <f t="shared" si="333"/>
        <v>2.2999999999999998</v>
      </c>
      <c r="AU667" s="114">
        <f t="shared" si="333"/>
        <v>2.2999999999999998</v>
      </c>
      <c r="AV667" s="114">
        <f t="shared" si="333"/>
        <v>2.2999999999999998</v>
      </c>
      <c r="AW667" s="114">
        <f t="shared" si="333"/>
        <v>2.2999999999999998</v>
      </c>
      <c r="AX667" s="114">
        <f t="shared" si="333"/>
        <v>2.2999999999999998</v>
      </c>
      <c r="AY667" s="114">
        <f t="shared" si="333"/>
        <v>2.2999999999999998</v>
      </c>
      <c r="AZ667" s="114">
        <f t="shared" si="333"/>
        <v>2.2999999999999998</v>
      </c>
      <c r="BA667" s="114">
        <f t="shared" si="333"/>
        <v>2.2999999999999998</v>
      </c>
      <c r="BB667" s="114">
        <f t="shared" si="333"/>
        <v>2.2999999999999998</v>
      </c>
      <c r="BC667" s="114">
        <f t="shared" si="333"/>
        <v>2.2999999999999998</v>
      </c>
      <c r="BD667" s="114">
        <f t="shared" si="333"/>
        <v>2.2999999999999998</v>
      </c>
      <c r="BE667" s="114">
        <f t="shared" si="333"/>
        <v>2.2999999999999998</v>
      </c>
      <c r="BF667" s="114">
        <f t="shared" si="333"/>
        <v>2.2999999999999998</v>
      </c>
      <c r="BG667" s="114">
        <f t="shared" si="333"/>
        <v>2.2999999999999998</v>
      </c>
      <c r="BH667" s="114">
        <f t="shared" si="333"/>
        <v>2.2999999999999998</v>
      </c>
      <c r="BI667" s="114">
        <f t="shared" si="333"/>
        <v>2.2999999999999998</v>
      </c>
      <c r="BJ667" s="114">
        <f t="shared" si="333"/>
        <v>2.2999999999999998</v>
      </c>
      <c r="BK667" s="114">
        <f t="shared" si="333"/>
        <v>2.2999999999999998</v>
      </c>
      <c r="BL667" s="114">
        <f t="shared" si="333"/>
        <v>2.2999999999999998</v>
      </c>
      <c r="BM667" s="114">
        <f t="shared" si="333"/>
        <v>2.2999999999999998</v>
      </c>
      <c r="BN667" s="114">
        <f t="shared" si="333"/>
        <v>2.2999999999999998</v>
      </c>
      <c r="BO667" s="114">
        <f t="shared" si="333"/>
        <v>2.2999999999999998</v>
      </c>
      <c r="BP667" s="114">
        <f t="shared" ref="BP667:CP667" si="334">Household_size_user_input_in</f>
        <v>2.2999999999999998</v>
      </c>
      <c r="BQ667" s="114">
        <f t="shared" si="334"/>
        <v>2.2999999999999998</v>
      </c>
      <c r="BR667" s="114">
        <f t="shared" si="334"/>
        <v>2.2999999999999998</v>
      </c>
      <c r="BS667" s="114">
        <f t="shared" si="334"/>
        <v>2.2999999999999998</v>
      </c>
      <c r="BT667" s="114">
        <f t="shared" si="334"/>
        <v>2.2999999999999998</v>
      </c>
      <c r="BU667" s="114">
        <f t="shared" si="334"/>
        <v>2.2999999999999998</v>
      </c>
      <c r="BV667" s="114">
        <f t="shared" si="334"/>
        <v>2.2999999999999998</v>
      </c>
      <c r="BW667" s="114">
        <f t="shared" si="334"/>
        <v>2.2999999999999998</v>
      </c>
      <c r="BX667" s="114">
        <f t="shared" si="334"/>
        <v>2.2999999999999998</v>
      </c>
      <c r="BY667" s="114">
        <f t="shared" si="334"/>
        <v>2.2999999999999998</v>
      </c>
      <c r="BZ667" s="114">
        <f t="shared" si="334"/>
        <v>2.2999999999999998</v>
      </c>
      <c r="CA667" s="114">
        <f t="shared" si="334"/>
        <v>2.2999999999999998</v>
      </c>
      <c r="CB667" s="114">
        <f t="shared" si="334"/>
        <v>2.2999999999999998</v>
      </c>
      <c r="CC667" s="114">
        <f t="shared" si="334"/>
        <v>2.2999999999999998</v>
      </c>
      <c r="CD667" s="114">
        <f t="shared" si="334"/>
        <v>2.2999999999999998</v>
      </c>
      <c r="CE667" s="114">
        <f t="shared" si="334"/>
        <v>2.2999999999999998</v>
      </c>
      <c r="CF667" s="114">
        <f t="shared" si="334"/>
        <v>2.2999999999999998</v>
      </c>
      <c r="CG667" s="114">
        <f t="shared" si="334"/>
        <v>2.2999999999999998</v>
      </c>
      <c r="CH667" s="114">
        <f t="shared" si="334"/>
        <v>2.2999999999999998</v>
      </c>
      <c r="CI667" s="114">
        <f t="shared" si="334"/>
        <v>2.2999999999999998</v>
      </c>
      <c r="CJ667" s="114">
        <f t="shared" si="334"/>
        <v>2.2999999999999998</v>
      </c>
      <c r="CK667" s="114">
        <f t="shared" si="334"/>
        <v>2.2999999999999998</v>
      </c>
      <c r="CL667" s="114">
        <f t="shared" si="334"/>
        <v>2.2999999999999998</v>
      </c>
      <c r="CM667" s="114">
        <f t="shared" si="334"/>
        <v>2.2999999999999998</v>
      </c>
      <c r="CN667" s="114">
        <f t="shared" si="334"/>
        <v>2.2999999999999998</v>
      </c>
      <c r="CO667" s="114">
        <f t="shared" si="334"/>
        <v>2.2999999999999998</v>
      </c>
      <c r="CP667" s="114">
        <f t="shared" si="334"/>
        <v>2.2999999999999998</v>
      </c>
      <c r="CQ667" s="26" t="s">
        <v>740</v>
      </c>
    </row>
    <row r="668" spans="1:95" ht="14.45" outlineLevel="1">
      <c r="A668" s="97"/>
      <c r="B668" s="97" t="s">
        <v>741</v>
      </c>
      <c r="C668" s="97"/>
      <c r="D668" s="114">
        <f t="shared" ref="D668:AI668" si="335">Household_size_user_input/Default_HH_size</f>
        <v>1</v>
      </c>
      <c r="E668" s="114">
        <f t="shared" si="335"/>
        <v>1</v>
      </c>
      <c r="F668" s="114">
        <f t="shared" si="335"/>
        <v>1</v>
      </c>
      <c r="G668" s="114">
        <f t="shared" si="335"/>
        <v>1</v>
      </c>
      <c r="H668" s="114">
        <f t="shared" si="335"/>
        <v>1</v>
      </c>
      <c r="I668" s="114">
        <f t="shared" si="335"/>
        <v>1</v>
      </c>
      <c r="J668" s="114">
        <f t="shared" si="335"/>
        <v>1</v>
      </c>
      <c r="K668" s="114">
        <f t="shared" si="335"/>
        <v>1</v>
      </c>
      <c r="L668" s="114">
        <f t="shared" si="335"/>
        <v>1</v>
      </c>
      <c r="M668" s="114">
        <f t="shared" si="335"/>
        <v>1</v>
      </c>
      <c r="N668" s="114">
        <f t="shared" si="335"/>
        <v>1</v>
      </c>
      <c r="O668" s="114">
        <f t="shared" si="335"/>
        <v>1</v>
      </c>
      <c r="P668" s="114">
        <f t="shared" si="335"/>
        <v>1</v>
      </c>
      <c r="Q668" s="114">
        <f t="shared" si="335"/>
        <v>1</v>
      </c>
      <c r="R668" s="114">
        <f t="shared" si="335"/>
        <v>1</v>
      </c>
      <c r="S668" s="114">
        <f t="shared" si="335"/>
        <v>1</v>
      </c>
      <c r="T668" s="114">
        <f t="shared" si="335"/>
        <v>1</v>
      </c>
      <c r="U668" s="114">
        <f t="shared" si="335"/>
        <v>1</v>
      </c>
      <c r="V668" s="114">
        <f t="shared" si="335"/>
        <v>1</v>
      </c>
      <c r="W668" s="114">
        <f t="shared" si="335"/>
        <v>1</v>
      </c>
      <c r="X668" s="114">
        <f t="shared" si="335"/>
        <v>1</v>
      </c>
      <c r="Y668" s="114">
        <f t="shared" si="335"/>
        <v>1</v>
      </c>
      <c r="Z668" s="114">
        <f t="shared" si="335"/>
        <v>1</v>
      </c>
      <c r="AA668" s="114">
        <f t="shared" si="335"/>
        <v>1</v>
      </c>
      <c r="AB668" s="114">
        <f t="shared" si="335"/>
        <v>1</v>
      </c>
      <c r="AC668" s="114">
        <f t="shared" si="335"/>
        <v>1</v>
      </c>
      <c r="AD668" s="114">
        <f t="shared" si="335"/>
        <v>1</v>
      </c>
      <c r="AE668" s="114">
        <f t="shared" si="335"/>
        <v>1</v>
      </c>
      <c r="AF668" s="114">
        <f t="shared" si="335"/>
        <v>1</v>
      </c>
      <c r="AG668" s="114">
        <f t="shared" si="335"/>
        <v>1</v>
      </c>
      <c r="AH668" s="114">
        <f t="shared" si="335"/>
        <v>1</v>
      </c>
      <c r="AI668" s="114">
        <f t="shared" si="335"/>
        <v>1</v>
      </c>
      <c r="AJ668" s="114">
        <f t="shared" ref="AJ668:BO668" si="336">Household_size_user_input/Default_HH_size</f>
        <v>1</v>
      </c>
      <c r="AK668" s="114">
        <f t="shared" si="336"/>
        <v>1</v>
      </c>
      <c r="AL668" s="114">
        <f t="shared" si="336"/>
        <v>1</v>
      </c>
      <c r="AM668" s="114">
        <f t="shared" si="336"/>
        <v>1</v>
      </c>
      <c r="AN668" s="114">
        <f t="shared" si="336"/>
        <v>1</v>
      </c>
      <c r="AO668" s="114">
        <f t="shared" si="336"/>
        <v>1</v>
      </c>
      <c r="AP668" s="114">
        <f t="shared" si="336"/>
        <v>1</v>
      </c>
      <c r="AQ668" s="114">
        <f t="shared" si="336"/>
        <v>1</v>
      </c>
      <c r="AR668" s="114">
        <f t="shared" si="336"/>
        <v>1</v>
      </c>
      <c r="AS668" s="114">
        <f t="shared" si="336"/>
        <v>1</v>
      </c>
      <c r="AT668" s="114">
        <f t="shared" si="336"/>
        <v>1</v>
      </c>
      <c r="AU668" s="114">
        <f t="shared" si="336"/>
        <v>1</v>
      </c>
      <c r="AV668" s="114">
        <f t="shared" si="336"/>
        <v>1</v>
      </c>
      <c r="AW668" s="114">
        <f t="shared" si="336"/>
        <v>1</v>
      </c>
      <c r="AX668" s="114">
        <f t="shared" si="336"/>
        <v>1</v>
      </c>
      <c r="AY668" s="114">
        <f t="shared" si="336"/>
        <v>1</v>
      </c>
      <c r="AZ668" s="114">
        <f t="shared" si="336"/>
        <v>1</v>
      </c>
      <c r="BA668" s="114">
        <f t="shared" si="336"/>
        <v>1</v>
      </c>
      <c r="BB668" s="114">
        <f t="shared" si="336"/>
        <v>1</v>
      </c>
      <c r="BC668" s="114">
        <f t="shared" si="336"/>
        <v>1</v>
      </c>
      <c r="BD668" s="114">
        <f t="shared" si="336"/>
        <v>1</v>
      </c>
      <c r="BE668" s="114">
        <f t="shared" si="336"/>
        <v>1</v>
      </c>
      <c r="BF668" s="114">
        <f t="shared" si="336"/>
        <v>1</v>
      </c>
      <c r="BG668" s="114">
        <f t="shared" si="336"/>
        <v>1</v>
      </c>
      <c r="BH668" s="114">
        <f t="shared" si="336"/>
        <v>1</v>
      </c>
      <c r="BI668" s="114">
        <f t="shared" si="336"/>
        <v>1</v>
      </c>
      <c r="BJ668" s="114">
        <f t="shared" si="336"/>
        <v>1</v>
      </c>
      <c r="BK668" s="114">
        <f t="shared" si="336"/>
        <v>1</v>
      </c>
      <c r="BL668" s="114">
        <f t="shared" si="336"/>
        <v>1</v>
      </c>
      <c r="BM668" s="114">
        <f t="shared" si="336"/>
        <v>1</v>
      </c>
      <c r="BN668" s="114">
        <f t="shared" si="336"/>
        <v>1</v>
      </c>
      <c r="BO668" s="114">
        <f t="shared" si="336"/>
        <v>1</v>
      </c>
      <c r="BP668" s="114">
        <f t="shared" ref="BP668:CP668" si="337">Household_size_user_input/Default_HH_size</f>
        <v>1</v>
      </c>
      <c r="BQ668" s="114">
        <f t="shared" si="337"/>
        <v>1</v>
      </c>
      <c r="BR668" s="114">
        <f t="shared" si="337"/>
        <v>1</v>
      </c>
      <c r="BS668" s="114">
        <f t="shared" si="337"/>
        <v>1</v>
      </c>
      <c r="BT668" s="114">
        <f t="shared" si="337"/>
        <v>1</v>
      </c>
      <c r="BU668" s="114">
        <f t="shared" si="337"/>
        <v>1</v>
      </c>
      <c r="BV668" s="114">
        <f t="shared" si="337"/>
        <v>1</v>
      </c>
      <c r="BW668" s="114">
        <f t="shared" si="337"/>
        <v>1</v>
      </c>
      <c r="BX668" s="114">
        <f t="shared" si="337"/>
        <v>1</v>
      </c>
      <c r="BY668" s="114">
        <f t="shared" si="337"/>
        <v>1</v>
      </c>
      <c r="BZ668" s="114">
        <f t="shared" si="337"/>
        <v>1</v>
      </c>
      <c r="CA668" s="114">
        <f t="shared" si="337"/>
        <v>1</v>
      </c>
      <c r="CB668" s="114">
        <f t="shared" si="337"/>
        <v>1</v>
      </c>
      <c r="CC668" s="114">
        <f t="shared" si="337"/>
        <v>1</v>
      </c>
      <c r="CD668" s="114">
        <f t="shared" si="337"/>
        <v>1</v>
      </c>
      <c r="CE668" s="114">
        <f t="shared" si="337"/>
        <v>1</v>
      </c>
      <c r="CF668" s="114">
        <f t="shared" si="337"/>
        <v>1</v>
      </c>
      <c r="CG668" s="114">
        <f t="shared" si="337"/>
        <v>1</v>
      </c>
      <c r="CH668" s="114">
        <f t="shared" si="337"/>
        <v>1</v>
      </c>
      <c r="CI668" s="114">
        <f t="shared" si="337"/>
        <v>1</v>
      </c>
      <c r="CJ668" s="114">
        <f t="shared" si="337"/>
        <v>1</v>
      </c>
      <c r="CK668" s="114">
        <f t="shared" si="337"/>
        <v>1</v>
      </c>
      <c r="CL668" s="114">
        <f t="shared" si="337"/>
        <v>1</v>
      </c>
      <c r="CM668" s="114">
        <f t="shared" si="337"/>
        <v>1</v>
      </c>
      <c r="CN668" s="114">
        <f t="shared" si="337"/>
        <v>1</v>
      </c>
      <c r="CO668" s="114">
        <f t="shared" si="337"/>
        <v>1</v>
      </c>
      <c r="CP668" s="114">
        <f t="shared" si="337"/>
        <v>1</v>
      </c>
      <c r="CQ668" s="3" t="s">
        <v>742</v>
      </c>
    </row>
    <row r="669" spans="1:95" ht="14.45" outlineLevel="1">
      <c r="A669" s="97"/>
      <c r="B669" s="97"/>
      <c r="C669" s="97"/>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3"/>
    </row>
    <row r="670" spans="1:95" ht="14.45" outlineLevel="1">
      <c r="A670" s="97"/>
      <c r="B670" s="97"/>
      <c r="C670" s="97"/>
      <c r="D670" s="12">
        <v>2010</v>
      </c>
      <c r="E670" s="12">
        <v>2011</v>
      </c>
      <c r="F670" s="12">
        <v>2012</v>
      </c>
      <c r="G670" s="12">
        <v>2013</v>
      </c>
      <c r="H670" s="12">
        <v>2014</v>
      </c>
      <c r="I670" s="12">
        <v>2015</v>
      </c>
      <c r="J670" s="12">
        <v>2016</v>
      </c>
      <c r="K670" s="12">
        <v>2017</v>
      </c>
      <c r="L670" s="12">
        <v>2018</v>
      </c>
      <c r="M670" s="12">
        <v>2019</v>
      </c>
      <c r="N670" s="12">
        <v>2020</v>
      </c>
      <c r="O670" s="12">
        <v>2021</v>
      </c>
      <c r="P670" s="12">
        <v>2022</v>
      </c>
      <c r="Q670" s="12">
        <v>2023</v>
      </c>
      <c r="R670" s="12">
        <v>2024</v>
      </c>
      <c r="S670" s="12">
        <v>2025</v>
      </c>
      <c r="T670" s="12">
        <v>2026</v>
      </c>
      <c r="U670" s="12">
        <v>2027</v>
      </c>
      <c r="V670" s="12">
        <v>2028</v>
      </c>
      <c r="W670" s="12">
        <v>2029</v>
      </c>
      <c r="X670" s="12">
        <v>2030</v>
      </c>
      <c r="Y670" s="12">
        <v>2031</v>
      </c>
      <c r="Z670" s="12">
        <v>2032</v>
      </c>
      <c r="AA670" s="12">
        <v>2033</v>
      </c>
      <c r="AB670" s="12">
        <v>2034</v>
      </c>
      <c r="AC670" s="12">
        <v>2035</v>
      </c>
      <c r="AD670" s="12">
        <v>2036</v>
      </c>
      <c r="AE670" s="12">
        <v>2037</v>
      </c>
      <c r="AF670" s="12">
        <v>2038</v>
      </c>
      <c r="AG670" s="12">
        <v>2039</v>
      </c>
      <c r="AH670" s="12">
        <v>2040</v>
      </c>
      <c r="AI670" s="12">
        <v>2041</v>
      </c>
      <c r="AJ670" s="12">
        <v>2042</v>
      </c>
      <c r="AK670" s="12">
        <v>2043</v>
      </c>
      <c r="AL670" s="12">
        <v>2044</v>
      </c>
      <c r="AM670" s="12">
        <v>2045</v>
      </c>
      <c r="AN670" s="12">
        <v>2046</v>
      </c>
      <c r="AO670" s="12">
        <v>2047</v>
      </c>
      <c r="AP670" s="12">
        <v>2048</v>
      </c>
      <c r="AQ670" s="12">
        <v>2049</v>
      </c>
      <c r="AR670" s="12">
        <v>2050</v>
      </c>
      <c r="AS670" s="12">
        <v>2051</v>
      </c>
      <c r="AT670" s="12">
        <v>2052</v>
      </c>
      <c r="AU670" s="12">
        <v>2053</v>
      </c>
      <c r="AV670" s="12">
        <v>2054</v>
      </c>
      <c r="AW670" s="12">
        <v>2055</v>
      </c>
      <c r="AX670" s="12">
        <v>2056</v>
      </c>
      <c r="AY670" s="12">
        <v>2057</v>
      </c>
      <c r="AZ670" s="12">
        <v>2058</v>
      </c>
      <c r="BA670" s="12">
        <v>2059</v>
      </c>
      <c r="BB670" s="12">
        <v>2060</v>
      </c>
      <c r="BC670" s="12">
        <v>2061</v>
      </c>
      <c r="BD670" s="12">
        <v>2062</v>
      </c>
      <c r="BE670" s="12">
        <v>2063</v>
      </c>
      <c r="BF670" s="12">
        <v>2064</v>
      </c>
      <c r="BG670" s="12">
        <v>2065</v>
      </c>
      <c r="BH670" s="12">
        <v>2066</v>
      </c>
      <c r="BI670" s="12">
        <v>2067</v>
      </c>
      <c r="BJ670" s="12">
        <v>2068</v>
      </c>
      <c r="BK670" s="12">
        <v>2069</v>
      </c>
      <c r="BL670" s="12">
        <v>2070</v>
      </c>
      <c r="BM670" s="12">
        <v>2071</v>
      </c>
      <c r="BN670" s="12">
        <v>2072</v>
      </c>
      <c r="BO670" s="12">
        <v>2073</v>
      </c>
      <c r="BP670" s="12">
        <v>2074</v>
      </c>
      <c r="BQ670" s="12">
        <v>2075</v>
      </c>
      <c r="BR670" s="12">
        <v>2076</v>
      </c>
      <c r="BS670" s="12">
        <v>2077</v>
      </c>
      <c r="BT670" s="12">
        <v>2078</v>
      </c>
      <c r="BU670" s="12">
        <v>2079</v>
      </c>
      <c r="BV670" s="12">
        <v>2080</v>
      </c>
      <c r="BW670" s="12">
        <v>2081</v>
      </c>
      <c r="BX670" s="12">
        <v>2082</v>
      </c>
      <c r="BY670" s="12">
        <v>2083</v>
      </c>
      <c r="BZ670" s="12">
        <v>2084</v>
      </c>
      <c r="CA670" s="12">
        <v>2085</v>
      </c>
      <c r="CB670" s="12">
        <v>2086</v>
      </c>
      <c r="CC670" s="12">
        <v>2087</v>
      </c>
      <c r="CD670" s="12">
        <v>2088</v>
      </c>
      <c r="CE670" s="12">
        <v>2089</v>
      </c>
      <c r="CF670" s="12">
        <v>2090</v>
      </c>
      <c r="CG670" s="12">
        <v>2091</v>
      </c>
      <c r="CH670" s="12">
        <v>2092</v>
      </c>
      <c r="CI670" s="12">
        <v>2093</v>
      </c>
      <c r="CJ670" s="12">
        <v>2094</v>
      </c>
      <c r="CK670" s="12">
        <v>2095</v>
      </c>
      <c r="CL670" s="12">
        <v>2096</v>
      </c>
      <c r="CM670" s="12">
        <v>2097</v>
      </c>
      <c r="CN670" s="12">
        <v>2098</v>
      </c>
      <c r="CO670" s="12">
        <v>2099</v>
      </c>
      <c r="CP670" s="12">
        <v>2100</v>
      </c>
      <c r="CQ670" s="97"/>
    </row>
    <row r="671" spans="1:95" ht="14.45" outlineLevel="1">
      <c r="A671" s="97"/>
      <c r="B671" s="97" t="s">
        <v>163</v>
      </c>
      <c r="C671" s="97"/>
      <c r="D671" s="111">
        <f t="shared" ref="D671:AI671" si="338">Annual_sleep_disturbance_valuation*Household_size_multiplier</f>
        <v>0</v>
      </c>
      <c r="E671" s="111">
        <f t="shared" si="338"/>
        <v>0</v>
      </c>
      <c r="F671" s="111">
        <f t="shared" si="338"/>
        <v>0</v>
      </c>
      <c r="G671" s="111">
        <f t="shared" si="338"/>
        <v>0</v>
      </c>
      <c r="H671" s="111">
        <f t="shared" si="338"/>
        <v>0</v>
      </c>
      <c r="I671" s="111">
        <f>Annual_sleep_disturbance_valuation*Household_size_multiplier</f>
        <v>0</v>
      </c>
      <c r="J671" s="111">
        <f t="shared" si="338"/>
        <v>0</v>
      </c>
      <c r="K671" s="111">
        <f t="shared" si="338"/>
        <v>0</v>
      </c>
      <c r="L671" s="111">
        <f t="shared" si="338"/>
        <v>0</v>
      </c>
      <c r="M671" s="111">
        <f t="shared" si="338"/>
        <v>0</v>
      </c>
      <c r="N671" s="111">
        <f t="shared" si="338"/>
        <v>0</v>
      </c>
      <c r="O671" s="111">
        <f t="shared" si="338"/>
        <v>0</v>
      </c>
      <c r="P671" s="111">
        <f t="shared" si="338"/>
        <v>0</v>
      </c>
      <c r="Q671" s="111">
        <f t="shared" si="338"/>
        <v>0</v>
      </c>
      <c r="R671" s="111">
        <f t="shared" si="338"/>
        <v>0</v>
      </c>
      <c r="S671" s="111">
        <f t="shared" si="338"/>
        <v>0</v>
      </c>
      <c r="T671" s="111">
        <f t="shared" si="338"/>
        <v>0</v>
      </c>
      <c r="U671" s="111">
        <f t="shared" si="338"/>
        <v>0</v>
      </c>
      <c r="V671" s="111">
        <f t="shared" si="338"/>
        <v>0</v>
      </c>
      <c r="W671" s="111">
        <f t="shared" si="338"/>
        <v>0</v>
      </c>
      <c r="X671" s="111">
        <f t="shared" si="338"/>
        <v>0</v>
      </c>
      <c r="Y671" s="111">
        <f t="shared" si="338"/>
        <v>0</v>
      </c>
      <c r="Z671" s="111">
        <f t="shared" si="338"/>
        <v>0</v>
      </c>
      <c r="AA671" s="111">
        <f t="shared" si="338"/>
        <v>0</v>
      </c>
      <c r="AB671" s="111">
        <f t="shared" si="338"/>
        <v>0</v>
      </c>
      <c r="AC671" s="111">
        <f t="shared" si="338"/>
        <v>0</v>
      </c>
      <c r="AD671" s="111">
        <f t="shared" si="338"/>
        <v>0</v>
      </c>
      <c r="AE671" s="111">
        <f t="shared" si="338"/>
        <v>0</v>
      </c>
      <c r="AF671" s="111">
        <f t="shared" si="338"/>
        <v>0</v>
      </c>
      <c r="AG671" s="111">
        <f t="shared" si="338"/>
        <v>0</v>
      </c>
      <c r="AH671" s="111">
        <f t="shared" si="338"/>
        <v>0</v>
      </c>
      <c r="AI671" s="111">
        <f t="shared" si="338"/>
        <v>0</v>
      </c>
      <c r="AJ671" s="111">
        <f t="shared" ref="AJ671:BO671" si="339">Annual_sleep_disturbance_valuation*Household_size_multiplier</f>
        <v>0</v>
      </c>
      <c r="AK671" s="111">
        <f t="shared" si="339"/>
        <v>0</v>
      </c>
      <c r="AL671" s="111">
        <f t="shared" si="339"/>
        <v>0</v>
      </c>
      <c r="AM671" s="111">
        <f t="shared" si="339"/>
        <v>0</v>
      </c>
      <c r="AN671" s="111">
        <f t="shared" si="339"/>
        <v>0</v>
      </c>
      <c r="AO671" s="111">
        <f t="shared" si="339"/>
        <v>0</v>
      </c>
      <c r="AP671" s="111">
        <f t="shared" si="339"/>
        <v>0</v>
      </c>
      <c r="AQ671" s="111">
        <f t="shared" si="339"/>
        <v>0</v>
      </c>
      <c r="AR671" s="111">
        <f t="shared" si="339"/>
        <v>0</v>
      </c>
      <c r="AS671" s="111">
        <f t="shared" si="339"/>
        <v>0</v>
      </c>
      <c r="AT671" s="111">
        <f t="shared" si="339"/>
        <v>0</v>
      </c>
      <c r="AU671" s="111">
        <f t="shared" si="339"/>
        <v>0</v>
      </c>
      <c r="AV671" s="111">
        <f t="shared" si="339"/>
        <v>0</v>
      </c>
      <c r="AW671" s="111">
        <f t="shared" si="339"/>
        <v>0</v>
      </c>
      <c r="AX671" s="111">
        <f t="shared" si="339"/>
        <v>0</v>
      </c>
      <c r="AY671" s="111">
        <f t="shared" si="339"/>
        <v>0</v>
      </c>
      <c r="AZ671" s="111">
        <f t="shared" si="339"/>
        <v>0</v>
      </c>
      <c r="BA671" s="111">
        <f t="shared" si="339"/>
        <v>0</v>
      </c>
      <c r="BB671" s="111">
        <f t="shared" si="339"/>
        <v>0</v>
      </c>
      <c r="BC671" s="111">
        <f t="shared" si="339"/>
        <v>0</v>
      </c>
      <c r="BD671" s="111">
        <f t="shared" si="339"/>
        <v>0</v>
      </c>
      <c r="BE671" s="111">
        <f t="shared" si="339"/>
        <v>0</v>
      </c>
      <c r="BF671" s="111">
        <f t="shared" si="339"/>
        <v>0</v>
      </c>
      <c r="BG671" s="111">
        <f t="shared" si="339"/>
        <v>0</v>
      </c>
      <c r="BH671" s="111">
        <f t="shared" si="339"/>
        <v>0</v>
      </c>
      <c r="BI671" s="111">
        <f t="shared" si="339"/>
        <v>0</v>
      </c>
      <c r="BJ671" s="111">
        <f t="shared" si="339"/>
        <v>0</v>
      </c>
      <c r="BK671" s="111">
        <f t="shared" si="339"/>
        <v>0</v>
      </c>
      <c r="BL671" s="111">
        <f t="shared" si="339"/>
        <v>0</v>
      </c>
      <c r="BM671" s="111">
        <f t="shared" si="339"/>
        <v>0</v>
      </c>
      <c r="BN671" s="111">
        <f t="shared" si="339"/>
        <v>0</v>
      </c>
      <c r="BO671" s="111">
        <f t="shared" si="339"/>
        <v>0</v>
      </c>
      <c r="BP671" s="111">
        <f t="shared" ref="BP671:CP671" si="340">Annual_sleep_disturbance_valuation*Household_size_multiplier</f>
        <v>0</v>
      </c>
      <c r="BQ671" s="111">
        <f t="shared" si="340"/>
        <v>0</v>
      </c>
      <c r="BR671" s="111">
        <f t="shared" si="340"/>
        <v>0</v>
      </c>
      <c r="BS671" s="111">
        <f t="shared" si="340"/>
        <v>0</v>
      </c>
      <c r="BT671" s="111">
        <f t="shared" si="340"/>
        <v>0</v>
      </c>
      <c r="BU671" s="111">
        <f t="shared" si="340"/>
        <v>0</v>
      </c>
      <c r="BV671" s="111">
        <f t="shared" si="340"/>
        <v>0</v>
      </c>
      <c r="BW671" s="111">
        <f t="shared" si="340"/>
        <v>0</v>
      </c>
      <c r="BX671" s="111">
        <f t="shared" si="340"/>
        <v>0</v>
      </c>
      <c r="BY671" s="111">
        <f t="shared" si="340"/>
        <v>0</v>
      </c>
      <c r="BZ671" s="111">
        <f t="shared" si="340"/>
        <v>0</v>
      </c>
      <c r="CA671" s="111">
        <f t="shared" si="340"/>
        <v>0</v>
      </c>
      <c r="CB671" s="111">
        <f t="shared" si="340"/>
        <v>0</v>
      </c>
      <c r="CC671" s="111">
        <f t="shared" si="340"/>
        <v>0</v>
      </c>
      <c r="CD671" s="111">
        <f t="shared" si="340"/>
        <v>0</v>
      </c>
      <c r="CE671" s="111">
        <f t="shared" si="340"/>
        <v>0</v>
      </c>
      <c r="CF671" s="111">
        <f t="shared" si="340"/>
        <v>0</v>
      </c>
      <c r="CG671" s="111">
        <f t="shared" si="340"/>
        <v>0</v>
      </c>
      <c r="CH671" s="111">
        <f t="shared" si="340"/>
        <v>0</v>
      </c>
      <c r="CI671" s="111">
        <f t="shared" si="340"/>
        <v>0</v>
      </c>
      <c r="CJ671" s="111">
        <f t="shared" si="340"/>
        <v>0</v>
      </c>
      <c r="CK671" s="111">
        <f t="shared" si="340"/>
        <v>0</v>
      </c>
      <c r="CL671" s="111">
        <f t="shared" si="340"/>
        <v>0</v>
      </c>
      <c r="CM671" s="111">
        <f t="shared" si="340"/>
        <v>0</v>
      </c>
      <c r="CN671" s="111">
        <f t="shared" si="340"/>
        <v>0</v>
      </c>
      <c r="CO671" s="111">
        <f t="shared" si="340"/>
        <v>0</v>
      </c>
      <c r="CP671" s="111">
        <f t="shared" si="340"/>
        <v>0</v>
      </c>
      <c r="CQ671" s="3" t="s">
        <v>743</v>
      </c>
    </row>
    <row r="672" spans="1:95" ht="14.45" outlineLevel="1">
      <c r="A672" s="97"/>
      <c r="B672" s="97" t="s">
        <v>165</v>
      </c>
      <c r="C672" s="97"/>
      <c r="D672" s="111">
        <f t="shared" ref="D672:AI672" si="341">Annual_amenity_valuation*Household_size_multiplier</f>
        <v>0</v>
      </c>
      <c r="E672" s="111">
        <f t="shared" si="341"/>
        <v>0</v>
      </c>
      <c r="F672" s="111">
        <f t="shared" si="341"/>
        <v>0</v>
      </c>
      <c r="G672" s="111">
        <f t="shared" si="341"/>
        <v>0</v>
      </c>
      <c r="H672" s="111">
        <f t="shared" si="341"/>
        <v>0</v>
      </c>
      <c r="I672" s="111">
        <f>Annual_amenity_valuation*Household_size_multiplier</f>
        <v>0</v>
      </c>
      <c r="J672" s="111">
        <f t="shared" si="341"/>
        <v>0</v>
      </c>
      <c r="K672" s="111">
        <f t="shared" si="341"/>
        <v>0</v>
      </c>
      <c r="L672" s="111">
        <f t="shared" si="341"/>
        <v>0</v>
      </c>
      <c r="M672" s="111">
        <f t="shared" si="341"/>
        <v>0</v>
      </c>
      <c r="N672" s="111">
        <f t="shared" si="341"/>
        <v>0</v>
      </c>
      <c r="O672" s="111">
        <f t="shared" si="341"/>
        <v>0</v>
      </c>
      <c r="P672" s="111">
        <f t="shared" si="341"/>
        <v>0</v>
      </c>
      <c r="Q672" s="111">
        <f t="shared" si="341"/>
        <v>0</v>
      </c>
      <c r="R672" s="111">
        <f t="shared" si="341"/>
        <v>0</v>
      </c>
      <c r="S672" s="111">
        <f t="shared" si="341"/>
        <v>0</v>
      </c>
      <c r="T672" s="111">
        <f t="shared" si="341"/>
        <v>0</v>
      </c>
      <c r="U672" s="111">
        <f t="shared" si="341"/>
        <v>0</v>
      </c>
      <c r="V672" s="111">
        <f t="shared" si="341"/>
        <v>0</v>
      </c>
      <c r="W672" s="111">
        <f t="shared" si="341"/>
        <v>0</v>
      </c>
      <c r="X672" s="111">
        <f t="shared" si="341"/>
        <v>0</v>
      </c>
      <c r="Y672" s="111">
        <f t="shared" si="341"/>
        <v>0</v>
      </c>
      <c r="Z672" s="111">
        <f t="shared" si="341"/>
        <v>0</v>
      </c>
      <c r="AA672" s="111">
        <f t="shared" si="341"/>
        <v>0</v>
      </c>
      <c r="AB672" s="111">
        <f t="shared" si="341"/>
        <v>0</v>
      </c>
      <c r="AC672" s="111">
        <f t="shared" si="341"/>
        <v>0</v>
      </c>
      <c r="AD672" s="111">
        <f t="shared" si="341"/>
        <v>0</v>
      </c>
      <c r="AE672" s="111">
        <f t="shared" si="341"/>
        <v>0</v>
      </c>
      <c r="AF672" s="111">
        <f t="shared" si="341"/>
        <v>0</v>
      </c>
      <c r="AG672" s="111">
        <f t="shared" si="341"/>
        <v>0</v>
      </c>
      <c r="AH672" s="111">
        <f t="shared" si="341"/>
        <v>0</v>
      </c>
      <c r="AI672" s="111">
        <f t="shared" si="341"/>
        <v>0</v>
      </c>
      <c r="AJ672" s="111">
        <f t="shared" ref="AJ672:BO672" si="342">Annual_amenity_valuation*Household_size_multiplier</f>
        <v>0</v>
      </c>
      <c r="AK672" s="111">
        <f t="shared" si="342"/>
        <v>0</v>
      </c>
      <c r="AL672" s="111">
        <f t="shared" si="342"/>
        <v>0</v>
      </c>
      <c r="AM672" s="111">
        <f t="shared" si="342"/>
        <v>0</v>
      </c>
      <c r="AN672" s="111">
        <f t="shared" si="342"/>
        <v>0</v>
      </c>
      <c r="AO672" s="111">
        <f t="shared" si="342"/>
        <v>0</v>
      </c>
      <c r="AP672" s="111">
        <f t="shared" si="342"/>
        <v>0</v>
      </c>
      <c r="AQ672" s="111">
        <f t="shared" si="342"/>
        <v>0</v>
      </c>
      <c r="AR672" s="111">
        <f t="shared" si="342"/>
        <v>0</v>
      </c>
      <c r="AS672" s="111">
        <f t="shared" si="342"/>
        <v>0</v>
      </c>
      <c r="AT672" s="111">
        <f t="shared" si="342"/>
        <v>0</v>
      </c>
      <c r="AU672" s="111">
        <f t="shared" si="342"/>
        <v>0</v>
      </c>
      <c r="AV672" s="111">
        <f t="shared" si="342"/>
        <v>0</v>
      </c>
      <c r="AW672" s="111">
        <f t="shared" si="342"/>
        <v>0</v>
      </c>
      <c r="AX672" s="111">
        <f t="shared" si="342"/>
        <v>0</v>
      </c>
      <c r="AY672" s="111">
        <f t="shared" si="342"/>
        <v>0</v>
      </c>
      <c r="AZ672" s="111">
        <f t="shared" si="342"/>
        <v>0</v>
      </c>
      <c r="BA672" s="111">
        <f t="shared" si="342"/>
        <v>0</v>
      </c>
      <c r="BB672" s="111">
        <f t="shared" si="342"/>
        <v>0</v>
      </c>
      <c r="BC672" s="111">
        <f t="shared" si="342"/>
        <v>0</v>
      </c>
      <c r="BD672" s="111">
        <f t="shared" si="342"/>
        <v>0</v>
      </c>
      <c r="BE672" s="111">
        <f t="shared" si="342"/>
        <v>0</v>
      </c>
      <c r="BF672" s="111">
        <f t="shared" si="342"/>
        <v>0</v>
      </c>
      <c r="BG672" s="111">
        <f t="shared" si="342"/>
        <v>0</v>
      </c>
      <c r="BH672" s="111">
        <f t="shared" si="342"/>
        <v>0</v>
      </c>
      <c r="BI672" s="111">
        <f t="shared" si="342"/>
        <v>0</v>
      </c>
      <c r="BJ672" s="111">
        <f t="shared" si="342"/>
        <v>0</v>
      </c>
      <c r="BK672" s="111">
        <f t="shared" si="342"/>
        <v>0</v>
      </c>
      <c r="BL672" s="111">
        <f t="shared" si="342"/>
        <v>0</v>
      </c>
      <c r="BM672" s="111">
        <f t="shared" si="342"/>
        <v>0</v>
      </c>
      <c r="BN672" s="111">
        <f t="shared" si="342"/>
        <v>0</v>
      </c>
      <c r="BO672" s="111">
        <f t="shared" si="342"/>
        <v>0</v>
      </c>
      <c r="BP672" s="111">
        <f t="shared" ref="BP672:CP672" si="343">Annual_amenity_valuation*Household_size_multiplier</f>
        <v>0</v>
      </c>
      <c r="BQ672" s="111">
        <f t="shared" si="343"/>
        <v>0</v>
      </c>
      <c r="BR672" s="111">
        <f t="shared" si="343"/>
        <v>0</v>
      </c>
      <c r="BS672" s="111">
        <f t="shared" si="343"/>
        <v>0</v>
      </c>
      <c r="BT672" s="111">
        <f t="shared" si="343"/>
        <v>0</v>
      </c>
      <c r="BU672" s="111">
        <f t="shared" si="343"/>
        <v>0</v>
      </c>
      <c r="BV672" s="111">
        <f t="shared" si="343"/>
        <v>0</v>
      </c>
      <c r="BW672" s="111">
        <f t="shared" si="343"/>
        <v>0</v>
      </c>
      <c r="BX672" s="111">
        <f t="shared" si="343"/>
        <v>0</v>
      </c>
      <c r="BY672" s="111">
        <f t="shared" si="343"/>
        <v>0</v>
      </c>
      <c r="BZ672" s="111">
        <f t="shared" si="343"/>
        <v>0</v>
      </c>
      <c r="CA672" s="111">
        <f t="shared" si="343"/>
        <v>0</v>
      </c>
      <c r="CB672" s="111">
        <f t="shared" si="343"/>
        <v>0</v>
      </c>
      <c r="CC672" s="111">
        <f t="shared" si="343"/>
        <v>0</v>
      </c>
      <c r="CD672" s="111">
        <f t="shared" si="343"/>
        <v>0</v>
      </c>
      <c r="CE672" s="111">
        <f t="shared" si="343"/>
        <v>0</v>
      </c>
      <c r="CF672" s="111">
        <f t="shared" si="343"/>
        <v>0</v>
      </c>
      <c r="CG672" s="111">
        <f t="shared" si="343"/>
        <v>0</v>
      </c>
      <c r="CH672" s="111">
        <f t="shared" si="343"/>
        <v>0</v>
      </c>
      <c r="CI672" s="111">
        <f t="shared" si="343"/>
        <v>0</v>
      </c>
      <c r="CJ672" s="111">
        <f t="shared" si="343"/>
        <v>0</v>
      </c>
      <c r="CK672" s="111">
        <f t="shared" si="343"/>
        <v>0</v>
      </c>
      <c r="CL672" s="111">
        <f t="shared" si="343"/>
        <v>0</v>
      </c>
      <c r="CM672" s="111">
        <f t="shared" si="343"/>
        <v>0</v>
      </c>
      <c r="CN672" s="111">
        <f t="shared" si="343"/>
        <v>0</v>
      </c>
      <c r="CO672" s="111">
        <f t="shared" si="343"/>
        <v>0</v>
      </c>
      <c r="CP672" s="111">
        <f t="shared" si="343"/>
        <v>0</v>
      </c>
      <c r="CQ672" s="3" t="s">
        <v>744</v>
      </c>
    </row>
    <row r="673" spans="1:95" ht="14.45" outlineLevel="1">
      <c r="A673" s="97"/>
      <c r="B673" s="97" t="s">
        <v>167</v>
      </c>
      <c r="C673" s="97"/>
      <c r="D673" s="111">
        <f t="shared" ref="D673:AI673" si="344">Annual_AMI_valuation*Household_size_multiplier</f>
        <v>0</v>
      </c>
      <c r="E673" s="111">
        <f t="shared" si="344"/>
        <v>0</v>
      </c>
      <c r="F673" s="111">
        <f t="shared" si="344"/>
        <v>0</v>
      </c>
      <c r="G673" s="111">
        <f t="shared" si="344"/>
        <v>0</v>
      </c>
      <c r="H673" s="111">
        <f t="shared" si="344"/>
        <v>0</v>
      </c>
      <c r="I673" s="111">
        <f>Annual_AMI_valuation*Household_size_multiplier</f>
        <v>0</v>
      </c>
      <c r="J673" s="111">
        <f t="shared" si="344"/>
        <v>0</v>
      </c>
      <c r="K673" s="111">
        <f t="shared" si="344"/>
        <v>0</v>
      </c>
      <c r="L673" s="111">
        <f t="shared" si="344"/>
        <v>0</v>
      </c>
      <c r="M673" s="111">
        <f t="shared" si="344"/>
        <v>0</v>
      </c>
      <c r="N673" s="111">
        <f t="shared" si="344"/>
        <v>0</v>
      </c>
      <c r="O673" s="111">
        <f t="shared" si="344"/>
        <v>0</v>
      </c>
      <c r="P673" s="111">
        <f t="shared" si="344"/>
        <v>0</v>
      </c>
      <c r="Q673" s="111">
        <f t="shared" si="344"/>
        <v>0</v>
      </c>
      <c r="R673" s="111">
        <f t="shared" si="344"/>
        <v>0</v>
      </c>
      <c r="S673" s="111">
        <f t="shared" si="344"/>
        <v>0</v>
      </c>
      <c r="T673" s="111">
        <f t="shared" si="344"/>
        <v>0</v>
      </c>
      <c r="U673" s="111">
        <f t="shared" si="344"/>
        <v>0</v>
      </c>
      <c r="V673" s="111">
        <f t="shared" si="344"/>
        <v>0</v>
      </c>
      <c r="W673" s="111">
        <f t="shared" si="344"/>
        <v>0</v>
      </c>
      <c r="X673" s="111">
        <f t="shared" si="344"/>
        <v>0</v>
      </c>
      <c r="Y673" s="111">
        <f t="shared" si="344"/>
        <v>0</v>
      </c>
      <c r="Z673" s="111">
        <f t="shared" si="344"/>
        <v>0</v>
      </c>
      <c r="AA673" s="111">
        <f t="shared" si="344"/>
        <v>0</v>
      </c>
      <c r="AB673" s="111">
        <f t="shared" si="344"/>
        <v>0</v>
      </c>
      <c r="AC673" s="111">
        <f t="shared" si="344"/>
        <v>0</v>
      </c>
      <c r="AD673" s="111">
        <f t="shared" si="344"/>
        <v>0</v>
      </c>
      <c r="AE673" s="111">
        <f t="shared" si="344"/>
        <v>0</v>
      </c>
      <c r="AF673" s="111">
        <f t="shared" si="344"/>
        <v>0</v>
      </c>
      <c r="AG673" s="111">
        <f t="shared" si="344"/>
        <v>0</v>
      </c>
      <c r="AH673" s="111">
        <f t="shared" si="344"/>
        <v>0</v>
      </c>
      <c r="AI673" s="111">
        <f t="shared" si="344"/>
        <v>0</v>
      </c>
      <c r="AJ673" s="111">
        <f t="shared" ref="AJ673:BO673" si="345">Annual_AMI_valuation*Household_size_multiplier</f>
        <v>0</v>
      </c>
      <c r="AK673" s="111">
        <f t="shared" si="345"/>
        <v>0</v>
      </c>
      <c r="AL673" s="111">
        <f t="shared" si="345"/>
        <v>0</v>
      </c>
      <c r="AM673" s="111">
        <f t="shared" si="345"/>
        <v>0</v>
      </c>
      <c r="AN673" s="111">
        <f t="shared" si="345"/>
        <v>0</v>
      </c>
      <c r="AO673" s="111">
        <f t="shared" si="345"/>
        <v>0</v>
      </c>
      <c r="AP673" s="111">
        <f t="shared" si="345"/>
        <v>0</v>
      </c>
      <c r="AQ673" s="111">
        <f t="shared" si="345"/>
        <v>0</v>
      </c>
      <c r="AR673" s="111">
        <f t="shared" si="345"/>
        <v>0</v>
      </c>
      <c r="AS673" s="111">
        <f t="shared" si="345"/>
        <v>0</v>
      </c>
      <c r="AT673" s="111">
        <f t="shared" si="345"/>
        <v>0</v>
      </c>
      <c r="AU673" s="111">
        <f t="shared" si="345"/>
        <v>0</v>
      </c>
      <c r="AV673" s="111">
        <f t="shared" si="345"/>
        <v>0</v>
      </c>
      <c r="AW673" s="111">
        <f t="shared" si="345"/>
        <v>0</v>
      </c>
      <c r="AX673" s="111">
        <f t="shared" si="345"/>
        <v>0</v>
      </c>
      <c r="AY673" s="111">
        <f t="shared" si="345"/>
        <v>0</v>
      </c>
      <c r="AZ673" s="111">
        <f t="shared" si="345"/>
        <v>0</v>
      </c>
      <c r="BA673" s="111">
        <f t="shared" si="345"/>
        <v>0</v>
      </c>
      <c r="BB673" s="111">
        <f t="shared" si="345"/>
        <v>0</v>
      </c>
      <c r="BC673" s="111">
        <f t="shared" si="345"/>
        <v>0</v>
      </c>
      <c r="BD673" s="111">
        <f t="shared" si="345"/>
        <v>0</v>
      </c>
      <c r="BE673" s="111">
        <f t="shared" si="345"/>
        <v>0</v>
      </c>
      <c r="BF673" s="111">
        <f t="shared" si="345"/>
        <v>0</v>
      </c>
      <c r="BG673" s="111">
        <f t="shared" si="345"/>
        <v>0</v>
      </c>
      <c r="BH673" s="111">
        <f t="shared" si="345"/>
        <v>0</v>
      </c>
      <c r="BI673" s="111">
        <f t="shared" si="345"/>
        <v>0</v>
      </c>
      <c r="BJ673" s="111">
        <f t="shared" si="345"/>
        <v>0</v>
      </c>
      <c r="BK673" s="111">
        <f t="shared" si="345"/>
        <v>0</v>
      </c>
      <c r="BL673" s="111">
        <f t="shared" si="345"/>
        <v>0</v>
      </c>
      <c r="BM673" s="111">
        <f t="shared" si="345"/>
        <v>0</v>
      </c>
      <c r="BN673" s="111">
        <f t="shared" si="345"/>
        <v>0</v>
      </c>
      <c r="BO673" s="111">
        <f t="shared" si="345"/>
        <v>0</v>
      </c>
      <c r="BP673" s="111">
        <f t="shared" ref="BP673:CP673" si="346">Annual_AMI_valuation*Household_size_multiplier</f>
        <v>0</v>
      </c>
      <c r="BQ673" s="111">
        <f t="shared" si="346"/>
        <v>0</v>
      </c>
      <c r="BR673" s="111">
        <f t="shared" si="346"/>
        <v>0</v>
      </c>
      <c r="BS673" s="111">
        <f t="shared" si="346"/>
        <v>0</v>
      </c>
      <c r="BT673" s="111">
        <f t="shared" si="346"/>
        <v>0</v>
      </c>
      <c r="BU673" s="111">
        <f t="shared" si="346"/>
        <v>0</v>
      </c>
      <c r="BV673" s="111">
        <f t="shared" si="346"/>
        <v>0</v>
      </c>
      <c r="BW673" s="111">
        <f t="shared" si="346"/>
        <v>0</v>
      </c>
      <c r="BX673" s="111">
        <f t="shared" si="346"/>
        <v>0</v>
      </c>
      <c r="BY673" s="111">
        <f t="shared" si="346"/>
        <v>0</v>
      </c>
      <c r="BZ673" s="111">
        <f t="shared" si="346"/>
        <v>0</v>
      </c>
      <c r="CA673" s="111">
        <f t="shared" si="346"/>
        <v>0</v>
      </c>
      <c r="CB673" s="111">
        <f t="shared" si="346"/>
        <v>0</v>
      </c>
      <c r="CC673" s="111">
        <f t="shared" si="346"/>
        <v>0</v>
      </c>
      <c r="CD673" s="111">
        <f t="shared" si="346"/>
        <v>0</v>
      </c>
      <c r="CE673" s="111">
        <f t="shared" si="346"/>
        <v>0</v>
      </c>
      <c r="CF673" s="111">
        <f t="shared" si="346"/>
        <v>0</v>
      </c>
      <c r="CG673" s="111">
        <f t="shared" si="346"/>
        <v>0</v>
      </c>
      <c r="CH673" s="111">
        <f t="shared" si="346"/>
        <v>0</v>
      </c>
      <c r="CI673" s="111">
        <f t="shared" si="346"/>
        <v>0</v>
      </c>
      <c r="CJ673" s="111">
        <f t="shared" si="346"/>
        <v>0</v>
      </c>
      <c r="CK673" s="111">
        <f t="shared" si="346"/>
        <v>0</v>
      </c>
      <c r="CL673" s="111">
        <f t="shared" si="346"/>
        <v>0</v>
      </c>
      <c r="CM673" s="111">
        <f t="shared" si="346"/>
        <v>0</v>
      </c>
      <c r="CN673" s="111">
        <f t="shared" si="346"/>
        <v>0</v>
      </c>
      <c r="CO673" s="111">
        <f t="shared" si="346"/>
        <v>0</v>
      </c>
      <c r="CP673" s="111">
        <f t="shared" si="346"/>
        <v>0</v>
      </c>
      <c r="CQ673" s="3" t="s">
        <v>745</v>
      </c>
    </row>
    <row r="674" spans="1:95" ht="14.45" outlineLevel="1">
      <c r="A674" s="97"/>
      <c r="B674" s="97" t="s">
        <v>169</v>
      </c>
      <c r="C674" s="97"/>
      <c r="D674" s="111">
        <f t="shared" ref="D674:AI674" si="347">Annual_stroke_valuation*Household_size_multiplier</f>
        <v>0</v>
      </c>
      <c r="E674" s="111">
        <f t="shared" si="347"/>
        <v>0</v>
      </c>
      <c r="F674" s="111">
        <f t="shared" si="347"/>
        <v>0</v>
      </c>
      <c r="G674" s="111">
        <f t="shared" si="347"/>
        <v>0</v>
      </c>
      <c r="H674" s="111">
        <f t="shared" si="347"/>
        <v>0</v>
      </c>
      <c r="I674" s="111">
        <f>Annual_stroke_valuation*Household_size_multiplier</f>
        <v>0</v>
      </c>
      <c r="J674" s="111">
        <f t="shared" si="347"/>
        <v>0</v>
      </c>
      <c r="K674" s="111">
        <f t="shared" si="347"/>
        <v>0</v>
      </c>
      <c r="L674" s="111">
        <f t="shared" si="347"/>
        <v>0</v>
      </c>
      <c r="M674" s="111">
        <f t="shared" si="347"/>
        <v>0</v>
      </c>
      <c r="N674" s="111">
        <f t="shared" si="347"/>
        <v>0</v>
      </c>
      <c r="O674" s="111">
        <f t="shared" si="347"/>
        <v>0</v>
      </c>
      <c r="P674" s="111">
        <f t="shared" si="347"/>
        <v>0</v>
      </c>
      <c r="Q674" s="111">
        <f t="shared" si="347"/>
        <v>0</v>
      </c>
      <c r="R674" s="111">
        <f t="shared" si="347"/>
        <v>0</v>
      </c>
      <c r="S674" s="111">
        <f t="shared" si="347"/>
        <v>0</v>
      </c>
      <c r="T674" s="111">
        <f t="shared" si="347"/>
        <v>0</v>
      </c>
      <c r="U674" s="111">
        <f t="shared" si="347"/>
        <v>0</v>
      </c>
      <c r="V674" s="111">
        <f t="shared" si="347"/>
        <v>0</v>
      </c>
      <c r="W674" s="111">
        <f t="shared" si="347"/>
        <v>0</v>
      </c>
      <c r="X674" s="111">
        <f t="shared" si="347"/>
        <v>0</v>
      </c>
      <c r="Y674" s="111">
        <f t="shared" si="347"/>
        <v>0</v>
      </c>
      <c r="Z674" s="111">
        <f t="shared" si="347"/>
        <v>0</v>
      </c>
      <c r="AA674" s="111">
        <f t="shared" si="347"/>
        <v>0</v>
      </c>
      <c r="AB674" s="111">
        <f t="shared" si="347"/>
        <v>0</v>
      </c>
      <c r="AC674" s="111">
        <f t="shared" si="347"/>
        <v>0</v>
      </c>
      <c r="AD674" s="111">
        <f t="shared" si="347"/>
        <v>0</v>
      </c>
      <c r="AE674" s="111">
        <f t="shared" si="347"/>
        <v>0</v>
      </c>
      <c r="AF674" s="111">
        <f t="shared" si="347"/>
        <v>0</v>
      </c>
      <c r="AG674" s="111">
        <f t="shared" si="347"/>
        <v>0</v>
      </c>
      <c r="AH674" s="111">
        <f t="shared" si="347"/>
        <v>0</v>
      </c>
      <c r="AI674" s="111">
        <f t="shared" si="347"/>
        <v>0</v>
      </c>
      <c r="AJ674" s="111">
        <f t="shared" ref="AJ674:BO674" si="348">Annual_stroke_valuation*Household_size_multiplier</f>
        <v>0</v>
      </c>
      <c r="AK674" s="111">
        <f t="shared" si="348"/>
        <v>0</v>
      </c>
      <c r="AL674" s="111">
        <f t="shared" si="348"/>
        <v>0</v>
      </c>
      <c r="AM674" s="111">
        <f t="shared" si="348"/>
        <v>0</v>
      </c>
      <c r="AN674" s="111">
        <f t="shared" si="348"/>
        <v>0</v>
      </c>
      <c r="AO674" s="111">
        <f t="shared" si="348"/>
        <v>0</v>
      </c>
      <c r="AP674" s="111">
        <f t="shared" si="348"/>
        <v>0</v>
      </c>
      <c r="AQ674" s="111">
        <f t="shared" si="348"/>
        <v>0</v>
      </c>
      <c r="AR674" s="111">
        <f t="shared" si="348"/>
        <v>0</v>
      </c>
      <c r="AS674" s="111">
        <f t="shared" si="348"/>
        <v>0</v>
      </c>
      <c r="AT674" s="111">
        <f t="shared" si="348"/>
        <v>0</v>
      </c>
      <c r="AU674" s="111">
        <f t="shared" si="348"/>
        <v>0</v>
      </c>
      <c r="AV674" s="111">
        <f t="shared" si="348"/>
        <v>0</v>
      </c>
      <c r="AW674" s="111">
        <f t="shared" si="348"/>
        <v>0</v>
      </c>
      <c r="AX674" s="111">
        <f t="shared" si="348"/>
        <v>0</v>
      </c>
      <c r="AY674" s="111">
        <f t="shared" si="348"/>
        <v>0</v>
      </c>
      <c r="AZ674" s="111">
        <f t="shared" si="348"/>
        <v>0</v>
      </c>
      <c r="BA674" s="111">
        <f t="shared" si="348"/>
        <v>0</v>
      </c>
      <c r="BB674" s="111">
        <f t="shared" si="348"/>
        <v>0</v>
      </c>
      <c r="BC674" s="111">
        <f t="shared" si="348"/>
        <v>0</v>
      </c>
      <c r="BD674" s="111">
        <f t="shared" si="348"/>
        <v>0</v>
      </c>
      <c r="BE674" s="111">
        <f t="shared" si="348"/>
        <v>0</v>
      </c>
      <c r="BF674" s="111">
        <f t="shared" si="348"/>
        <v>0</v>
      </c>
      <c r="BG674" s="111">
        <f t="shared" si="348"/>
        <v>0</v>
      </c>
      <c r="BH674" s="111">
        <f t="shared" si="348"/>
        <v>0</v>
      </c>
      <c r="BI674" s="111">
        <f t="shared" si="348"/>
        <v>0</v>
      </c>
      <c r="BJ674" s="111">
        <f t="shared" si="348"/>
        <v>0</v>
      </c>
      <c r="BK674" s="111">
        <f t="shared" si="348"/>
        <v>0</v>
      </c>
      <c r="BL674" s="111">
        <f t="shared" si="348"/>
        <v>0</v>
      </c>
      <c r="BM674" s="111">
        <f t="shared" si="348"/>
        <v>0</v>
      </c>
      <c r="BN674" s="111">
        <f t="shared" si="348"/>
        <v>0</v>
      </c>
      <c r="BO674" s="111">
        <f t="shared" si="348"/>
        <v>0</v>
      </c>
      <c r="BP674" s="111">
        <f t="shared" ref="BP674:CP674" si="349">Annual_stroke_valuation*Household_size_multiplier</f>
        <v>0</v>
      </c>
      <c r="BQ674" s="111">
        <f t="shared" si="349"/>
        <v>0</v>
      </c>
      <c r="BR674" s="111">
        <f t="shared" si="349"/>
        <v>0</v>
      </c>
      <c r="BS674" s="111">
        <f t="shared" si="349"/>
        <v>0</v>
      </c>
      <c r="BT674" s="111">
        <f t="shared" si="349"/>
        <v>0</v>
      </c>
      <c r="BU674" s="111">
        <f t="shared" si="349"/>
        <v>0</v>
      </c>
      <c r="BV674" s="111">
        <f t="shared" si="349"/>
        <v>0</v>
      </c>
      <c r="BW674" s="111">
        <f t="shared" si="349"/>
        <v>0</v>
      </c>
      <c r="BX674" s="111">
        <f t="shared" si="349"/>
        <v>0</v>
      </c>
      <c r="BY674" s="111">
        <f t="shared" si="349"/>
        <v>0</v>
      </c>
      <c r="BZ674" s="111">
        <f t="shared" si="349"/>
        <v>0</v>
      </c>
      <c r="CA674" s="111">
        <f t="shared" si="349"/>
        <v>0</v>
      </c>
      <c r="CB674" s="111">
        <f t="shared" si="349"/>
        <v>0</v>
      </c>
      <c r="CC674" s="111">
        <f t="shared" si="349"/>
        <v>0</v>
      </c>
      <c r="CD674" s="111">
        <f t="shared" si="349"/>
        <v>0</v>
      </c>
      <c r="CE674" s="111">
        <f t="shared" si="349"/>
        <v>0</v>
      </c>
      <c r="CF674" s="111">
        <f t="shared" si="349"/>
        <v>0</v>
      </c>
      <c r="CG674" s="111">
        <f t="shared" si="349"/>
        <v>0</v>
      </c>
      <c r="CH674" s="111">
        <f t="shared" si="349"/>
        <v>0</v>
      </c>
      <c r="CI674" s="111">
        <f t="shared" si="349"/>
        <v>0</v>
      </c>
      <c r="CJ674" s="111">
        <f t="shared" si="349"/>
        <v>0</v>
      </c>
      <c r="CK674" s="111">
        <f t="shared" si="349"/>
        <v>0</v>
      </c>
      <c r="CL674" s="111">
        <f t="shared" si="349"/>
        <v>0</v>
      </c>
      <c r="CM674" s="111">
        <f t="shared" si="349"/>
        <v>0</v>
      </c>
      <c r="CN674" s="111">
        <f t="shared" si="349"/>
        <v>0</v>
      </c>
      <c r="CO674" s="111">
        <f t="shared" si="349"/>
        <v>0</v>
      </c>
      <c r="CP674" s="111">
        <f t="shared" si="349"/>
        <v>0</v>
      </c>
      <c r="CQ674" s="3" t="s">
        <v>746</v>
      </c>
    </row>
    <row r="675" spans="1:95" ht="14.45" outlineLevel="1">
      <c r="A675" s="97"/>
      <c r="B675" s="97" t="s">
        <v>171</v>
      </c>
      <c r="C675" s="97"/>
      <c r="D675" s="111">
        <f t="shared" ref="D675:AI675" si="350">Annual_dementia_valuation*Household_size_multiplier</f>
        <v>0</v>
      </c>
      <c r="E675" s="111">
        <f t="shared" si="350"/>
        <v>0</v>
      </c>
      <c r="F675" s="111">
        <f t="shared" si="350"/>
        <v>0</v>
      </c>
      <c r="G675" s="111">
        <f t="shared" si="350"/>
        <v>0</v>
      </c>
      <c r="H675" s="111">
        <f t="shared" si="350"/>
        <v>0</v>
      </c>
      <c r="I675" s="111">
        <f t="shared" si="350"/>
        <v>0</v>
      </c>
      <c r="J675" s="111">
        <f t="shared" si="350"/>
        <v>0</v>
      </c>
      <c r="K675" s="111">
        <f t="shared" si="350"/>
        <v>0</v>
      </c>
      <c r="L675" s="111">
        <f t="shared" si="350"/>
        <v>0</v>
      </c>
      <c r="M675" s="111">
        <f t="shared" si="350"/>
        <v>0</v>
      </c>
      <c r="N675" s="111">
        <f t="shared" si="350"/>
        <v>0</v>
      </c>
      <c r="O675" s="111">
        <f t="shared" si="350"/>
        <v>0</v>
      </c>
      <c r="P675" s="111">
        <f t="shared" si="350"/>
        <v>0</v>
      </c>
      <c r="Q675" s="111">
        <f t="shared" si="350"/>
        <v>0</v>
      </c>
      <c r="R675" s="111">
        <f t="shared" si="350"/>
        <v>0</v>
      </c>
      <c r="S675" s="111">
        <f t="shared" si="350"/>
        <v>0</v>
      </c>
      <c r="T675" s="111">
        <f t="shared" si="350"/>
        <v>0</v>
      </c>
      <c r="U675" s="111">
        <f t="shared" si="350"/>
        <v>0</v>
      </c>
      <c r="V675" s="111">
        <f t="shared" si="350"/>
        <v>0</v>
      </c>
      <c r="W675" s="111">
        <f t="shared" si="350"/>
        <v>0</v>
      </c>
      <c r="X675" s="111">
        <f t="shared" si="350"/>
        <v>0</v>
      </c>
      <c r="Y675" s="111">
        <f t="shared" si="350"/>
        <v>0</v>
      </c>
      <c r="Z675" s="111">
        <f t="shared" si="350"/>
        <v>0</v>
      </c>
      <c r="AA675" s="111">
        <f t="shared" si="350"/>
        <v>0</v>
      </c>
      <c r="AB675" s="111">
        <f t="shared" si="350"/>
        <v>0</v>
      </c>
      <c r="AC675" s="111">
        <f t="shared" si="350"/>
        <v>0</v>
      </c>
      <c r="AD675" s="111">
        <f t="shared" si="350"/>
        <v>0</v>
      </c>
      <c r="AE675" s="111">
        <f t="shared" si="350"/>
        <v>0</v>
      </c>
      <c r="AF675" s="111">
        <f t="shared" si="350"/>
        <v>0</v>
      </c>
      <c r="AG675" s="111">
        <f t="shared" si="350"/>
        <v>0</v>
      </c>
      <c r="AH675" s="111">
        <f t="shared" si="350"/>
        <v>0</v>
      </c>
      <c r="AI675" s="111">
        <f t="shared" si="350"/>
        <v>0</v>
      </c>
      <c r="AJ675" s="111">
        <f t="shared" ref="AJ675:BO675" si="351">Annual_dementia_valuation*Household_size_multiplier</f>
        <v>0</v>
      </c>
      <c r="AK675" s="111">
        <f t="shared" si="351"/>
        <v>0</v>
      </c>
      <c r="AL675" s="111">
        <f t="shared" si="351"/>
        <v>0</v>
      </c>
      <c r="AM675" s="111">
        <f t="shared" si="351"/>
        <v>0</v>
      </c>
      <c r="AN675" s="111">
        <f t="shared" si="351"/>
        <v>0</v>
      </c>
      <c r="AO675" s="111">
        <f t="shared" si="351"/>
        <v>0</v>
      </c>
      <c r="AP675" s="111">
        <f t="shared" si="351"/>
        <v>0</v>
      </c>
      <c r="AQ675" s="111">
        <f t="shared" si="351"/>
        <v>0</v>
      </c>
      <c r="AR675" s="111">
        <f t="shared" si="351"/>
        <v>0</v>
      </c>
      <c r="AS675" s="111">
        <f t="shared" si="351"/>
        <v>0</v>
      </c>
      <c r="AT675" s="111">
        <f t="shared" si="351"/>
        <v>0</v>
      </c>
      <c r="AU675" s="111">
        <f t="shared" si="351"/>
        <v>0</v>
      </c>
      <c r="AV675" s="111">
        <f t="shared" si="351"/>
        <v>0</v>
      </c>
      <c r="AW675" s="111">
        <f t="shared" si="351"/>
        <v>0</v>
      </c>
      <c r="AX675" s="111">
        <f t="shared" si="351"/>
        <v>0</v>
      </c>
      <c r="AY675" s="111">
        <f t="shared" si="351"/>
        <v>0</v>
      </c>
      <c r="AZ675" s="111">
        <f t="shared" si="351"/>
        <v>0</v>
      </c>
      <c r="BA675" s="111">
        <f t="shared" si="351"/>
        <v>0</v>
      </c>
      <c r="BB675" s="111">
        <f t="shared" si="351"/>
        <v>0</v>
      </c>
      <c r="BC675" s="111">
        <f t="shared" si="351"/>
        <v>0</v>
      </c>
      <c r="BD675" s="111">
        <f t="shared" si="351"/>
        <v>0</v>
      </c>
      <c r="BE675" s="111">
        <f t="shared" si="351"/>
        <v>0</v>
      </c>
      <c r="BF675" s="111">
        <f t="shared" si="351"/>
        <v>0</v>
      </c>
      <c r="BG675" s="111">
        <f t="shared" si="351"/>
        <v>0</v>
      </c>
      <c r="BH675" s="111">
        <f t="shared" si="351"/>
        <v>0</v>
      </c>
      <c r="BI675" s="111">
        <f t="shared" si="351"/>
        <v>0</v>
      </c>
      <c r="BJ675" s="111">
        <f t="shared" si="351"/>
        <v>0</v>
      </c>
      <c r="BK675" s="111">
        <f t="shared" si="351"/>
        <v>0</v>
      </c>
      <c r="BL675" s="111">
        <f t="shared" si="351"/>
        <v>0</v>
      </c>
      <c r="BM675" s="111">
        <f t="shared" si="351"/>
        <v>0</v>
      </c>
      <c r="BN675" s="111">
        <f t="shared" si="351"/>
        <v>0</v>
      </c>
      <c r="BO675" s="111">
        <f t="shared" si="351"/>
        <v>0</v>
      </c>
      <c r="BP675" s="111">
        <f t="shared" ref="BP675:CP675" si="352">Annual_dementia_valuation*Household_size_multiplier</f>
        <v>0</v>
      </c>
      <c r="BQ675" s="111">
        <f t="shared" si="352"/>
        <v>0</v>
      </c>
      <c r="BR675" s="111">
        <f t="shared" si="352"/>
        <v>0</v>
      </c>
      <c r="BS675" s="111">
        <f t="shared" si="352"/>
        <v>0</v>
      </c>
      <c r="BT675" s="111">
        <f t="shared" si="352"/>
        <v>0</v>
      </c>
      <c r="BU675" s="111">
        <f t="shared" si="352"/>
        <v>0</v>
      </c>
      <c r="BV675" s="111">
        <f t="shared" si="352"/>
        <v>0</v>
      </c>
      <c r="BW675" s="111">
        <f t="shared" si="352"/>
        <v>0</v>
      </c>
      <c r="BX675" s="111">
        <f t="shared" si="352"/>
        <v>0</v>
      </c>
      <c r="BY675" s="111">
        <f t="shared" si="352"/>
        <v>0</v>
      </c>
      <c r="BZ675" s="111">
        <f t="shared" si="352"/>
        <v>0</v>
      </c>
      <c r="CA675" s="111">
        <f t="shared" si="352"/>
        <v>0</v>
      </c>
      <c r="CB675" s="111">
        <f t="shared" si="352"/>
        <v>0</v>
      </c>
      <c r="CC675" s="111">
        <f t="shared" si="352"/>
        <v>0</v>
      </c>
      <c r="CD675" s="111">
        <f t="shared" si="352"/>
        <v>0</v>
      </c>
      <c r="CE675" s="111">
        <f t="shared" si="352"/>
        <v>0</v>
      </c>
      <c r="CF675" s="111">
        <f t="shared" si="352"/>
        <v>0</v>
      </c>
      <c r="CG675" s="111">
        <f t="shared" si="352"/>
        <v>0</v>
      </c>
      <c r="CH675" s="111">
        <f t="shared" si="352"/>
        <v>0</v>
      </c>
      <c r="CI675" s="111">
        <f t="shared" si="352"/>
        <v>0</v>
      </c>
      <c r="CJ675" s="111">
        <f t="shared" si="352"/>
        <v>0</v>
      </c>
      <c r="CK675" s="111">
        <f t="shared" si="352"/>
        <v>0</v>
      </c>
      <c r="CL675" s="111">
        <f t="shared" si="352"/>
        <v>0</v>
      </c>
      <c r="CM675" s="111">
        <f t="shared" si="352"/>
        <v>0</v>
      </c>
      <c r="CN675" s="111">
        <f t="shared" si="352"/>
        <v>0</v>
      </c>
      <c r="CO675" s="111">
        <f t="shared" si="352"/>
        <v>0</v>
      </c>
      <c r="CP675" s="111">
        <f t="shared" si="352"/>
        <v>0</v>
      </c>
      <c r="CQ675" s="3" t="s">
        <v>747</v>
      </c>
    </row>
    <row r="676" spans="1:95" ht="14.45" outlineLevel="1">
      <c r="A676" s="97"/>
      <c r="B676" s="97"/>
      <c r="C676" s="97"/>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1"/>
      <c r="AL676" s="111"/>
      <c r="AM676" s="111"/>
      <c r="AN676" s="111"/>
      <c r="AO676" s="111"/>
      <c r="AP676" s="111"/>
      <c r="AQ676" s="111"/>
      <c r="AR676" s="111"/>
      <c r="AS676" s="111"/>
      <c r="AT676" s="111"/>
      <c r="AU676" s="111"/>
      <c r="AV676" s="111"/>
      <c r="AW676" s="111"/>
      <c r="AX676" s="111"/>
      <c r="AY676" s="111"/>
      <c r="AZ676" s="111"/>
      <c r="BA676" s="111"/>
      <c r="BB676" s="111"/>
      <c r="BC676" s="111"/>
      <c r="BD676" s="111"/>
      <c r="BE676" s="111"/>
      <c r="BF676" s="111"/>
      <c r="BG676" s="111"/>
      <c r="BH676" s="111"/>
      <c r="BI676" s="111"/>
      <c r="BJ676" s="111"/>
      <c r="BK676" s="111"/>
      <c r="BL676" s="111"/>
      <c r="BM676" s="111"/>
      <c r="BN676" s="111"/>
      <c r="BO676" s="111"/>
      <c r="BP676" s="111"/>
      <c r="BQ676" s="111"/>
      <c r="BR676" s="111"/>
      <c r="BS676" s="111"/>
      <c r="BT676" s="111"/>
      <c r="BU676" s="111"/>
      <c r="BV676" s="111"/>
      <c r="BW676" s="111"/>
      <c r="BX676" s="111"/>
      <c r="BY676" s="111"/>
      <c r="BZ676" s="111"/>
      <c r="CA676" s="111"/>
      <c r="CB676" s="111"/>
      <c r="CC676" s="111"/>
      <c r="CD676" s="111"/>
      <c r="CE676" s="111"/>
      <c r="CF676" s="111"/>
      <c r="CG676" s="111"/>
      <c r="CH676" s="111"/>
      <c r="CI676" s="111"/>
      <c r="CJ676" s="111"/>
      <c r="CK676" s="111"/>
      <c r="CL676" s="111"/>
      <c r="CM676" s="111"/>
      <c r="CN676" s="111"/>
      <c r="CO676" s="111"/>
      <c r="CP676" s="111"/>
      <c r="CQ676" s="3"/>
    </row>
    <row r="677" spans="1:95" s="2" customFormat="1" ht="18.600000000000001">
      <c r="B677" s="2" t="s">
        <v>748</v>
      </c>
    </row>
    <row r="678" spans="1:95" ht="14.45">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7"/>
      <c r="AW678" s="97"/>
      <c r="AX678" s="97"/>
      <c r="AY678" s="97"/>
      <c r="AZ678" s="97"/>
      <c r="BA678" s="97"/>
      <c r="BB678" s="97"/>
      <c r="BC678" s="97"/>
      <c r="BD678" s="97"/>
      <c r="BE678" s="97"/>
      <c r="BF678" s="97"/>
      <c r="BG678" s="97"/>
      <c r="BH678" s="97"/>
      <c r="BI678" s="97"/>
      <c r="BJ678" s="97"/>
      <c r="BK678" s="97"/>
      <c r="BL678" s="97"/>
      <c r="BM678" s="97"/>
      <c r="BN678" s="97"/>
      <c r="BO678" s="97"/>
      <c r="BP678" s="97"/>
      <c r="BQ678" s="97"/>
      <c r="BR678" s="97"/>
      <c r="BS678" s="97"/>
      <c r="BT678" s="97"/>
      <c r="BU678" s="97"/>
      <c r="BV678" s="97"/>
      <c r="BW678" s="97"/>
      <c r="BX678" s="97"/>
      <c r="BY678" s="97"/>
      <c r="BZ678" s="97"/>
      <c r="CA678" s="97"/>
      <c r="CB678" s="97"/>
      <c r="CC678" s="97"/>
      <c r="CD678" s="97"/>
      <c r="CE678" s="97"/>
      <c r="CF678" s="97"/>
      <c r="CG678" s="97"/>
      <c r="CH678" s="97"/>
      <c r="CI678" s="97"/>
      <c r="CJ678" s="97"/>
      <c r="CK678" s="97"/>
      <c r="CL678" s="97"/>
      <c r="CM678" s="97"/>
      <c r="CN678" s="97"/>
      <c r="CO678" s="97"/>
      <c r="CP678" s="97"/>
      <c r="CQ678" s="97"/>
    </row>
    <row r="679" spans="1:95" s="5" customFormat="1" ht="15.6" outlineLevel="2">
      <c r="B679" s="5" t="s">
        <v>749</v>
      </c>
    </row>
    <row r="680" spans="1:95" ht="14.45" outlineLevel="2">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c r="AA680" s="97"/>
      <c r="AB680" s="97"/>
      <c r="AC680" s="97"/>
      <c r="AD680" s="97"/>
      <c r="AE680" s="97"/>
      <c r="AF680" s="97"/>
      <c r="AG680" s="97"/>
      <c r="AH680" s="97"/>
      <c r="AI680" s="97"/>
      <c r="AJ680" s="97"/>
      <c r="AK680" s="97"/>
      <c r="AL680" s="97"/>
      <c r="AM680" s="97"/>
      <c r="AN680" s="97"/>
      <c r="AO680" s="97"/>
      <c r="AP680" s="97"/>
      <c r="AQ680" s="97"/>
      <c r="AR680" s="97"/>
      <c r="AS680" s="97"/>
      <c r="AT680" s="97"/>
      <c r="AU680" s="97"/>
      <c r="AV680" s="97"/>
      <c r="AW680" s="97"/>
      <c r="AX680" s="97"/>
      <c r="AY680" s="97"/>
      <c r="AZ680" s="97"/>
      <c r="BA680" s="97"/>
      <c r="BB680" s="97"/>
      <c r="BC680" s="97"/>
      <c r="BD680" s="97"/>
      <c r="BE680" s="97"/>
      <c r="BF680" s="97"/>
      <c r="BG680" s="97"/>
      <c r="BH680" s="97"/>
      <c r="BI680" s="97"/>
      <c r="BJ680" s="97"/>
      <c r="BK680" s="97"/>
      <c r="BL680" s="97"/>
      <c r="BM680" s="97"/>
      <c r="BN680" s="97"/>
      <c r="BO680" s="97"/>
      <c r="BP680" s="97"/>
      <c r="BQ680" s="97"/>
      <c r="BR680" s="97"/>
      <c r="BS680" s="97"/>
      <c r="BT680" s="97"/>
      <c r="BU680" s="97"/>
      <c r="BV680" s="97"/>
      <c r="BW680" s="97"/>
      <c r="BX680" s="97"/>
      <c r="BY680" s="97"/>
      <c r="BZ680" s="97"/>
      <c r="CA680" s="97"/>
      <c r="CB680" s="97"/>
      <c r="CC680" s="97"/>
      <c r="CD680" s="97"/>
      <c r="CE680" s="97"/>
      <c r="CF680" s="97"/>
      <c r="CG680" s="97"/>
      <c r="CH680" s="97"/>
      <c r="CI680" s="97"/>
      <c r="CJ680" s="97"/>
      <c r="CK680" s="97"/>
      <c r="CL680" s="97"/>
      <c r="CM680" s="97"/>
      <c r="CN680" s="97"/>
      <c r="CO680" s="97"/>
      <c r="CP680" s="97"/>
      <c r="CQ680" s="97"/>
    </row>
    <row r="681" spans="1:95" ht="14.45" outlineLevel="2">
      <c r="A681" s="97"/>
      <c r="B681" s="97" t="s">
        <v>66</v>
      </c>
      <c r="C681" s="127">
        <f>Current_year_in</f>
        <v>2024</v>
      </c>
      <c r="D681" s="3" t="s">
        <v>750</v>
      </c>
      <c r="E681" s="97"/>
      <c r="F681" s="97"/>
      <c r="G681" s="97"/>
      <c r="H681" s="97"/>
      <c r="I681" s="97"/>
      <c r="J681" s="97"/>
      <c r="K681" s="97"/>
      <c r="L681" s="97"/>
      <c r="M681" s="97"/>
      <c r="N681" s="97"/>
      <c r="O681" s="97"/>
      <c r="P681" s="97"/>
      <c r="Q681" s="97"/>
      <c r="R681" s="97"/>
      <c r="S681" s="97"/>
      <c r="T681" s="97"/>
      <c r="U681" s="97"/>
      <c r="V681" s="97"/>
      <c r="W681" s="97"/>
      <c r="X681" s="97"/>
      <c r="Y681" s="97"/>
      <c r="Z681" s="97"/>
      <c r="AA681" s="97"/>
      <c r="AB681" s="97"/>
      <c r="AC681" s="97"/>
      <c r="AD681" s="97"/>
      <c r="AE681" s="97"/>
      <c r="AF681" s="97"/>
      <c r="AG681" s="97"/>
      <c r="AH681" s="97"/>
      <c r="AI681" s="97"/>
      <c r="AJ681" s="97"/>
      <c r="AK681" s="97"/>
      <c r="AL681" s="97"/>
      <c r="AM681" s="97"/>
      <c r="AN681" s="97"/>
      <c r="AO681" s="97"/>
      <c r="AP681" s="97"/>
      <c r="AQ681" s="97"/>
      <c r="AR681" s="97"/>
      <c r="AS681" s="97"/>
      <c r="AT681" s="97"/>
      <c r="AU681" s="97"/>
      <c r="AV681" s="97"/>
      <c r="AW681" s="97"/>
      <c r="AX681" s="97"/>
      <c r="AY681" s="97"/>
      <c r="AZ681" s="97"/>
      <c r="BA681" s="97"/>
      <c r="BB681" s="97"/>
      <c r="BC681" s="97"/>
      <c r="BD681" s="97"/>
      <c r="BE681" s="97"/>
      <c r="BF681" s="97"/>
      <c r="BG681" s="97"/>
      <c r="BH681" s="97"/>
      <c r="BI681" s="97"/>
      <c r="BJ681" s="97"/>
      <c r="BK681" s="97"/>
      <c r="BL681" s="97"/>
      <c r="BM681" s="97"/>
      <c r="BN681" s="97"/>
      <c r="BO681" s="97"/>
      <c r="BP681" s="97"/>
      <c r="BQ681" s="97"/>
      <c r="BR681" s="97"/>
      <c r="BS681" s="97"/>
      <c r="BT681" s="97"/>
      <c r="BU681" s="97"/>
      <c r="BV681" s="97"/>
      <c r="BW681" s="97"/>
      <c r="BX681" s="97"/>
      <c r="BY681" s="97"/>
      <c r="BZ681" s="97"/>
      <c r="CA681" s="97"/>
      <c r="CB681" s="97"/>
      <c r="CC681" s="97"/>
      <c r="CD681" s="97"/>
      <c r="CE681" s="97"/>
      <c r="CF681" s="97"/>
      <c r="CG681" s="97"/>
      <c r="CH681" s="97"/>
      <c r="CI681" s="97"/>
      <c r="CJ681" s="97"/>
      <c r="CK681" s="97"/>
      <c r="CL681" s="97"/>
      <c r="CM681" s="97"/>
      <c r="CN681" s="97"/>
      <c r="CO681" s="97"/>
      <c r="CP681" s="97"/>
      <c r="CQ681" s="97"/>
    </row>
    <row r="682" spans="1:95" ht="14.45" outlineLevel="2">
      <c r="A682" s="97"/>
      <c r="B682" s="97" t="s">
        <v>192</v>
      </c>
      <c r="C682" s="97">
        <f>PV_base_year_in</f>
        <v>2010</v>
      </c>
      <c r="D682" s="3" t="s">
        <v>751</v>
      </c>
      <c r="E682" s="97"/>
      <c r="F682" s="97"/>
      <c r="G682" s="97"/>
      <c r="H682" s="97"/>
      <c r="I682" s="97"/>
      <c r="J682" s="97"/>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97"/>
      <c r="AH682" s="97"/>
      <c r="AI682" s="97"/>
      <c r="AJ682" s="97"/>
      <c r="AK682" s="97"/>
      <c r="AL682" s="97"/>
      <c r="AM682" s="97"/>
      <c r="AN682" s="97"/>
      <c r="AO682" s="97"/>
      <c r="AP682" s="97"/>
      <c r="AQ682" s="97"/>
      <c r="AR682" s="97"/>
      <c r="AS682" s="97"/>
      <c r="AT682" s="97"/>
      <c r="AU682" s="97"/>
      <c r="AV682" s="97"/>
      <c r="AW682" s="97"/>
      <c r="AX682" s="97"/>
      <c r="AY682" s="97"/>
      <c r="AZ682" s="97"/>
      <c r="BA682" s="97"/>
      <c r="BB682" s="97"/>
      <c r="BC682" s="97"/>
      <c r="BD682" s="97"/>
      <c r="BE682" s="97"/>
      <c r="BF682" s="97"/>
      <c r="BG682" s="97"/>
      <c r="BH682" s="97"/>
      <c r="BI682" s="97"/>
      <c r="BJ682" s="97"/>
      <c r="BK682" s="97"/>
      <c r="BL682" s="97"/>
      <c r="BM682" s="97"/>
      <c r="BN682" s="97"/>
      <c r="BO682" s="97"/>
      <c r="BP682" s="97"/>
      <c r="BQ682" s="97"/>
      <c r="BR682" s="97"/>
      <c r="BS682" s="97"/>
      <c r="BT682" s="97"/>
      <c r="BU682" s="97"/>
      <c r="BV682" s="97"/>
      <c r="BW682" s="97"/>
      <c r="BX682" s="97"/>
      <c r="BY682" s="97"/>
      <c r="BZ682" s="97"/>
      <c r="CA682" s="97"/>
      <c r="CB682" s="97"/>
      <c r="CC682" s="97"/>
      <c r="CD682" s="97"/>
      <c r="CE682" s="97"/>
      <c r="CF682" s="97"/>
      <c r="CG682" s="97"/>
      <c r="CH682" s="97"/>
      <c r="CI682" s="97"/>
      <c r="CJ682" s="97"/>
      <c r="CK682" s="97"/>
      <c r="CL682" s="97"/>
      <c r="CM682" s="97"/>
      <c r="CN682" s="97"/>
      <c r="CO682" s="97"/>
      <c r="CP682" s="97"/>
      <c r="CQ682" s="97"/>
    </row>
    <row r="683" spans="1:95" ht="14.45" outlineLevel="2">
      <c r="A683" s="97"/>
      <c r="B683" s="97" t="s">
        <v>196</v>
      </c>
      <c r="C683" s="97">
        <f>Discount_period_1_in</f>
        <v>14</v>
      </c>
      <c r="D683" s="3" t="s">
        <v>752</v>
      </c>
      <c r="E683" s="97"/>
      <c r="F683" s="97"/>
      <c r="G683" s="97"/>
      <c r="H683" s="97"/>
      <c r="I683" s="97"/>
      <c r="J683" s="97"/>
      <c r="K683" s="97"/>
      <c r="L683" s="97"/>
      <c r="M683" s="97"/>
      <c r="N683" s="97"/>
      <c r="O683" s="97"/>
      <c r="P683" s="97"/>
      <c r="Q683" s="97"/>
      <c r="R683" s="97"/>
      <c r="S683" s="97"/>
      <c r="T683" s="97"/>
      <c r="U683" s="97"/>
      <c r="V683" s="97"/>
      <c r="W683" s="97"/>
      <c r="X683" s="97"/>
      <c r="Y683" s="97"/>
      <c r="Z683" s="97"/>
      <c r="AA683" s="97"/>
      <c r="AB683" s="97"/>
      <c r="AC683" s="97"/>
      <c r="AD683" s="97"/>
      <c r="AE683" s="97"/>
      <c r="AF683" s="97"/>
      <c r="AG683" s="97"/>
      <c r="AH683" s="97"/>
      <c r="AI683" s="97"/>
      <c r="AJ683" s="97"/>
      <c r="AK683" s="97"/>
      <c r="AL683" s="97"/>
      <c r="AM683" s="97"/>
      <c r="AN683" s="97"/>
      <c r="AO683" s="97"/>
      <c r="AP683" s="97"/>
      <c r="AQ683" s="97"/>
      <c r="AR683" s="97"/>
      <c r="AS683" s="97"/>
      <c r="AT683" s="97"/>
      <c r="AU683" s="97"/>
      <c r="AV683" s="97"/>
      <c r="AW683" s="97"/>
      <c r="AX683" s="97"/>
      <c r="AY683" s="97"/>
      <c r="AZ683" s="97"/>
      <c r="BA683" s="97"/>
      <c r="BB683" s="97"/>
      <c r="BC683" s="97"/>
      <c r="BD683" s="97"/>
      <c r="BE683" s="97"/>
      <c r="BF683" s="97"/>
      <c r="BG683" s="97"/>
      <c r="BH683" s="97"/>
      <c r="BI683" s="97"/>
      <c r="BJ683" s="97"/>
      <c r="BK683" s="97"/>
      <c r="BL683" s="97"/>
      <c r="BM683" s="97"/>
      <c r="BN683" s="97"/>
      <c r="BO683" s="97"/>
      <c r="BP683" s="97"/>
      <c r="BQ683" s="97"/>
      <c r="BR683" s="97"/>
      <c r="BS683" s="97"/>
      <c r="BT683" s="97"/>
      <c r="BU683" s="97"/>
      <c r="BV683" s="97"/>
      <c r="BW683" s="97"/>
      <c r="BX683" s="97"/>
      <c r="BY683" s="97"/>
      <c r="BZ683" s="97"/>
      <c r="CA683" s="97"/>
      <c r="CB683" s="97"/>
      <c r="CC683" s="97"/>
      <c r="CD683" s="97"/>
      <c r="CE683" s="97"/>
      <c r="CF683" s="97"/>
      <c r="CG683" s="97"/>
      <c r="CH683" s="97"/>
      <c r="CI683" s="97"/>
      <c r="CJ683" s="97"/>
      <c r="CK683" s="97"/>
      <c r="CL683" s="97"/>
      <c r="CM683" s="97"/>
      <c r="CN683" s="97"/>
      <c r="CO683" s="97"/>
      <c r="CP683" s="97"/>
      <c r="CQ683" s="97"/>
    </row>
    <row r="684" spans="1:95" ht="14.45" outlineLevel="2">
      <c r="A684" s="97"/>
      <c r="B684" s="97" t="s">
        <v>198</v>
      </c>
      <c r="C684" s="97">
        <f>Discount_period_2_in</f>
        <v>30</v>
      </c>
      <c r="D684" s="3" t="s">
        <v>753</v>
      </c>
      <c r="E684" s="97"/>
      <c r="F684" s="97"/>
      <c r="G684" s="97"/>
      <c r="H684" s="97"/>
      <c r="I684" s="97"/>
      <c r="J684" s="97"/>
      <c r="K684" s="97"/>
      <c r="L684" s="97"/>
      <c r="M684" s="97"/>
      <c r="N684" s="97"/>
      <c r="O684" s="97"/>
      <c r="P684" s="97"/>
      <c r="Q684" s="97"/>
      <c r="R684" s="97"/>
      <c r="S684" s="97"/>
      <c r="T684" s="97"/>
      <c r="U684" s="97"/>
      <c r="V684" s="97"/>
      <c r="W684" s="97"/>
      <c r="X684" s="97"/>
      <c r="Y684" s="97"/>
      <c r="Z684" s="97"/>
      <c r="AA684" s="97"/>
      <c r="AB684" s="97"/>
      <c r="AC684" s="97"/>
      <c r="AD684" s="97"/>
      <c r="AE684" s="97"/>
      <c r="AF684" s="97"/>
      <c r="AG684" s="97"/>
      <c r="AH684" s="97"/>
      <c r="AI684" s="97"/>
      <c r="AJ684" s="97"/>
      <c r="AK684" s="97"/>
      <c r="AL684" s="97"/>
      <c r="AM684" s="97"/>
      <c r="AN684" s="97"/>
      <c r="AO684" s="97"/>
      <c r="AP684" s="97"/>
      <c r="AQ684" s="97"/>
      <c r="AR684" s="97"/>
      <c r="AS684" s="97"/>
      <c r="AT684" s="97"/>
      <c r="AU684" s="97"/>
      <c r="AV684" s="97"/>
      <c r="AW684" s="97"/>
      <c r="AX684" s="97"/>
      <c r="AY684" s="97"/>
      <c r="AZ684" s="97"/>
      <c r="BA684" s="97"/>
      <c r="BB684" s="97"/>
      <c r="BC684" s="97"/>
      <c r="BD684" s="97"/>
      <c r="BE684" s="97"/>
      <c r="BF684" s="97"/>
      <c r="BG684" s="97"/>
      <c r="BH684" s="97"/>
      <c r="BI684" s="97"/>
      <c r="BJ684" s="97"/>
      <c r="BK684" s="97"/>
      <c r="BL684" s="97"/>
      <c r="BM684" s="97"/>
      <c r="BN684" s="97"/>
      <c r="BO684" s="97"/>
      <c r="BP684" s="97"/>
      <c r="BQ684" s="97"/>
      <c r="BR684" s="97"/>
      <c r="BS684" s="97"/>
      <c r="BT684" s="97"/>
      <c r="BU684" s="97"/>
      <c r="BV684" s="97"/>
      <c r="BW684" s="97"/>
      <c r="BX684" s="97"/>
      <c r="BY684" s="97"/>
      <c r="BZ684" s="97"/>
      <c r="CA684" s="97"/>
      <c r="CB684" s="97"/>
      <c r="CC684" s="97"/>
      <c r="CD684" s="97"/>
      <c r="CE684" s="97"/>
      <c r="CF684" s="97"/>
      <c r="CG684" s="97"/>
      <c r="CH684" s="97"/>
      <c r="CI684" s="97"/>
      <c r="CJ684" s="97"/>
      <c r="CK684" s="97"/>
      <c r="CL684" s="97"/>
      <c r="CM684" s="97"/>
      <c r="CN684" s="97"/>
      <c r="CO684" s="97"/>
      <c r="CP684" s="97"/>
      <c r="CQ684" s="97"/>
    </row>
    <row r="685" spans="1:95" ht="14.45" outlineLevel="2">
      <c r="A685" s="97"/>
      <c r="B685" s="97" t="s">
        <v>200</v>
      </c>
      <c r="C685" s="97">
        <f>Discount_period_3_in</f>
        <v>75</v>
      </c>
      <c r="D685" s="3" t="s">
        <v>754</v>
      </c>
      <c r="E685" s="97"/>
      <c r="F685" s="97"/>
      <c r="G685" s="97"/>
      <c r="H685" s="97"/>
      <c r="I685" s="97"/>
      <c r="J685" s="97"/>
      <c r="K685" s="97"/>
      <c r="L685" s="97"/>
      <c r="M685" s="97"/>
      <c r="N685" s="97"/>
      <c r="O685" s="97"/>
      <c r="P685" s="97"/>
      <c r="Q685" s="97"/>
      <c r="R685" s="97"/>
      <c r="S685" s="97"/>
      <c r="T685" s="97"/>
      <c r="U685" s="97"/>
      <c r="V685" s="97"/>
      <c r="W685" s="97"/>
      <c r="X685" s="97"/>
      <c r="Y685" s="97"/>
      <c r="Z685" s="97"/>
      <c r="AA685" s="97"/>
      <c r="AB685" s="97"/>
      <c r="AC685" s="97"/>
      <c r="AD685" s="97"/>
      <c r="AE685" s="97"/>
      <c r="AF685" s="97"/>
      <c r="AG685" s="97"/>
      <c r="AH685" s="97"/>
      <c r="AI685" s="97"/>
      <c r="AJ685" s="97"/>
      <c r="AK685" s="97"/>
      <c r="AL685" s="97"/>
      <c r="AM685" s="97"/>
      <c r="AN685" s="97"/>
      <c r="AO685" s="97"/>
      <c r="AP685" s="97"/>
      <c r="AQ685" s="97"/>
      <c r="AR685" s="97"/>
      <c r="AS685" s="97"/>
      <c r="AT685" s="97"/>
      <c r="AU685" s="97"/>
      <c r="AV685" s="97"/>
      <c r="AW685" s="97"/>
      <c r="AX685" s="97"/>
      <c r="AY685" s="97"/>
      <c r="AZ685" s="97"/>
      <c r="BA685" s="97"/>
      <c r="BB685" s="97"/>
      <c r="BC685" s="97"/>
      <c r="BD685" s="97"/>
      <c r="BE685" s="97"/>
      <c r="BF685" s="97"/>
      <c r="BG685" s="97"/>
      <c r="BH685" s="97"/>
      <c r="BI685" s="97"/>
      <c r="BJ685" s="97"/>
      <c r="BK685" s="97"/>
      <c r="BL685" s="97"/>
      <c r="BM685" s="97"/>
      <c r="BN685" s="97"/>
      <c r="BO685" s="97"/>
      <c r="BP685" s="97"/>
      <c r="BQ685" s="97"/>
      <c r="BR685" s="97"/>
      <c r="BS685" s="97"/>
      <c r="BT685" s="97"/>
      <c r="BU685" s="97"/>
      <c r="BV685" s="97"/>
      <c r="BW685" s="97"/>
      <c r="BX685" s="97"/>
      <c r="BY685" s="97"/>
      <c r="BZ685" s="97"/>
      <c r="CA685" s="97"/>
      <c r="CB685" s="97"/>
      <c r="CC685" s="97"/>
      <c r="CD685" s="97"/>
      <c r="CE685" s="97"/>
      <c r="CF685" s="97"/>
      <c r="CG685" s="97"/>
      <c r="CH685" s="97"/>
      <c r="CI685" s="97"/>
      <c r="CJ685" s="97"/>
      <c r="CK685" s="97"/>
      <c r="CL685" s="97"/>
      <c r="CM685" s="97"/>
      <c r="CN685" s="97"/>
      <c r="CO685" s="97"/>
      <c r="CP685" s="97"/>
      <c r="CQ685" s="97"/>
    </row>
    <row r="686" spans="1:95" ht="14.45" outlineLevel="2">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c r="AA686" s="97"/>
      <c r="AB686" s="97"/>
      <c r="AC686" s="97"/>
      <c r="AD686" s="97"/>
      <c r="AE686" s="97"/>
      <c r="AF686" s="97"/>
      <c r="AG686" s="97"/>
      <c r="AH686" s="97"/>
      <c r="AI686" s="97"/>
      <c r="AJ686" s="97"/>
      <c r="AK686" s="97"/>
      <c r="AL686" s="97"/>
      <c r="AM686" s="97"/>
      <c r="AN686" s="97"/>
      <c r="AO686" s="97"/>
      <c r="AP686" s="97"/>
      <c r="AQ686" s="97"/>
      <c r="AR686" s="97"/>
      <c r="AS686" s="97"/>
      <c r="AT686" s="97"/>
      <c r="AU686" s="97"/>
      <c r="AV686" s="97"/>
      <c r="AW686" s="97"/>
      <c r="AX686" s="97"/>
      <c r="AY686" s="97"/>
      <c r="AZ686" s="97"/>
      <c r="BA686" s="97"/>
      <c r="BB686" s="97"/>
      <c r="BC686" s="97"/>
      <c r="BD686" s="97"/>
      <c r="BE686" s="97"/>
      <c r="BF686" s="97"/>
      <c r="BG686" s="97"/>
      <c r="BH686" s="97"/>
      <c r="BI686" s="97"/>
      <c r="BJ686" s="97"/>
      <c r="BK686" s="97"/>
      <c r="BL686" s="97"/>
      <c r="BM686" s="97"/>
      <c r="BN686" s="97"/>
      <c r="BO686" s="97"/>
      <c r="BP686" s="97"/>
      <c r="BQ686" s="97"/>
      <c r="BR686" s="97"/>
      <c r="BS686" s="97"/>
      <c r="BT686" s="97"/>
      <c r="BU686" s="97"/>
      <c r="BV686" s="97"/>
      <c r="BW686" s="97"/>
      <c r="BX686" s="97"/>
      <c r="BY686" s="97"/>
      <c r="BZ686" s="97"/>
      <c r="CA686" s="97"/>
      <c r="CB686" s="97"/>
      <c r="CC686" s="97"/>
      <c r="CD686" s="97"/>
      <c r="CE686" s="97"/>
      <c r="CF686" s="97"/>
      <c r="CG686" s="97"/>
      <c r="CH686" s="97"/>
      <c r="CI686" s="97"/>
      <c r="CJ686" s="97"/>
      <c r="CK686" s="97"/>
      <c r="CL686" s="97"/>
      <c r="CM686" s="97"/>
      <c r="CN686" s="97"/>
      <c r="CO686" s="97"/>
      <c r="CP686" s="97"/>
      <c r="CQ686" s="97"/>
    </row>
    <row r="687" spans="1:95" ht="14.45" outlineLevel="2">
      <c r="A687" s="97"/>
      <c r="B687" s="97"/>
      <c r="C687" s="97"/>
      <c r="D687" s="12">
        <v>2010</v>
      </c>
      <c r="E687" s="12">
        <v>2011</v>
      </c>
      <c r="F687" s="12">
        <v>2012</v>
      </c>
      <c r="G687" s="12">
        <v>2013</v>
      </c>
      <c r="H687" s="12">
        <v>2014</v>
      </c>
      <c r="I687" s="12">
        <v>2015</v>
      </c>
      <c r="J687" s="12">
        <v>2016</v>
      </c>
      <c r="K687" s="12">
        <v>2017</v>
      </c>
      <c r="L687" s="12">
        <v>2018</v>
      </c>
      <c r="M687" s="12">
        <v>2019</v>
      </c>
      <c r="N687" s="12">
        <v>2020</v>
      </c>
      <c r="O687" s="12">
        <v>2021</v>
      </c>
      <c r="P687" s="12">
        <v>2022</v>
      </c>
      <c r="Q687" s="12">
        <v>2023</v>
      </c>
      <c r="R687" s="12">
        <v>2024</v>
      </c>
      <c r="S687" s="12">
        <v>2025</v>
      </c>
      <c r="T687" s="12">
        <v>2026</v>
      </c>
      <c r="U687" s="12">
        <v>2027</v>
      </c>
      <c r="V687" s="12">
        <v>2028</v>
      </c>
      <c r="W687" s="12">
        <v>2029</v>
      </c>
      <c r="X687" s="12">
        <v>2030</v>
      </c>
      <c r="Y687" s="12">
        <v>2031</v>
      </c>
      <c r="Z687" s="12">
        <v>2032</v>
      </c>
      <c r="AA687" s="12">
        <v>2033</v>
      </c>
      <c r="AB687" s="12">
        <v>2034</v>
      </c>
      <c r="AC687" s="12">
        <v>2035</v>
      </c>
      <c r="AD687" s="12">
        <v>2036</v>
      </c>
      <c r="AE687" s="12">
        <v>2037</v>
      </c>
      <c r="AF687" s="12">
        <v>2038</v>
      </c>
      <c r="AG687" s="12">
        <v>2039</v>
      </c>
      <c r="AH687" s="12">
        <v>2040</v>
      </c>
      <c r="AI687" s="12">
        <v>2041</v>
      </c>
      <c r="AJ687" s="12">
        <v>2042</v>
      </c>
      <c r="AK687" s="12">
        <v>2043</v>
      </c>
      <c r="AL687" s="12">
        <v>2044</v>
      </c>
      <c r="AM687" s="12">
        <v>2045</v>
      </c>
      <c r="AN687" s="12">
        <v>2046</v>
      </c>
      <c r="AO687" s="12">
        <v>2047</v>
      </c>
      <c r="AP687" s="12">
        <v>2048</v>
      </c>
      <c r="AQ687" s="12">
        <v>2049</v>
      </c>
      <c r="AR687" s="12">
        <v>2050</v>
      </c>
      <c r="AS687" s="12">
        <v>2051</v>
      </c>
      <c r="AT687" s="12">
        <v>2052</v>
      </c>
      <c r="AU687" s="12">
        <v>2053</v>
      </c>
      <c r="AV687" s="12">
        <v>2054</v>
      </c>
      <c r="AW687" s="12">
        <v>2055</v>
      </c>
      <c r="AX687" s="12">
        <v>2056</v>
      </c>
      <c r="AY687" s="12">
        <v>2057</v>
      </c>
      <c r="AZ687" s="12">
        <v>2058</v>
      </c>
      <c r="BA687" s="12">
        <v>2059</v>
      </c>
      <c r="BB687" s="12">
        <v>2060</v>
      </c>
      <c r="BC687" s="12">
        <v>2061</v>
      </c>
      <c r="BD687" s="12">
        <v>2062</v>
      </c>
      <c r="BE687" s="12">
        <v>2063</v>
      </c>
      <c r="BF687" s="12">
        <v>2064</v>
      </c>
      <c r="BG687" s="12">
        <v>2065</v>
      </c>
      <c r="BH687" s="12">
        <v>2066</v>
      </c>
      <c r="BI687" s="12">
        <v>2067</v>
      </c>
      <c r="BJ687" s="12">
        <v>2068</v>
      </c>
      <c r="BK687" s="12">
        <v>2069</v>
      </c>
      <c r="BL687" s="12">
        <v>2070</v>
      </c>
      <c r="BM687" s="12">
        <v>2071</v>
      </c>
      <c r="BN687" s="12">
        <v>2072</v>
      </c>
      <c r="BO687" s="12">
        <v>2073</v>
      </c>
      <c r="BP687" s="12">
        <v>2074</v>
      </c>
      <c r="BQ687" s="12">
        <v>2075</v>
      </c>
      <c r="BR687" s="12">
        <v>2076</v>
      </c>
      <c r="BS687" s="12">
        <v>2077</v>
      </c>
      <c r="BT687" s="12">
        <v>2078</v>
      </c>
      <c r="BU687" s="12">
        <v>2079</v>
      </c>
      <c r="BV687" s="12">
        <v>2080</v>
      </c>
      <c r="BW687" s="12">
        <v>2081</v>
      </c>
      <c r="BX687" s="12">
        <v>2082</v>
      </c>
      <c r="BY687" s="12">
        <v>2083</v>
      </c>
      <c r="BZ687" s="12">
        <v>2084</v>
      </c>
      <c r="CA687" s="12">
        <v>2085</v>
      </c>
      <c r="CB687" s="12">
        <v>2086</v>
      </c>
      <c r="CC687" s="12">
        <v>2087</v>
      </c>
      <c r="CD687" s="12">
        <v>2088</v>
      </c>
      <c r="CE687" s="12">
        <v>2089</v>
      </c>
      <c r="CF687" s="12">
        <v>2090</v>
      </c>
      <c r="CG687" s="12">
        <v>2091</v>
      </c>
      <c r="CH687" s="12">
        <v>2092</v>
      </c>
      <c r="CI687" s="12">
        <v>2093</v>
      </c>
      <c r="CJ687" s="12">
        <v>2094</v>
      </c>
      <c r="CK687" s="12">
        <v>2095</v>
      </c>
      <c r="CL687" s="12">
        <v>2096</v>
      </c>
      <c r="CM687" s="12">
        <v>2097</v>
      </c>
      <c r="CN687" s="12">
        <v>2098</v>
      </c>
      <c r="CO687" s="12">
        <v>2099</v>
      </c>
      <c r="CP687" s="12">
        <v>2100</v>
      </c>
      <c r="CQ687" s="97"/>
    </row>
    <row r="688" spans="1:95" ht="14.45" outlineLevel="2">
      <c r="A688" s="97"/>
      <c r="B688" s="3" t="s">
        <v>308</v>
      </c>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c r="AA688" s="97"/>
      <c r="AB688" s="97"/>
      <c r="AC688" s="97"/>
      <c r="AD688" s="97"/>
      <c r="AE688" s="97"/>
      <c r="AF688" s="97"/>
      <c r="AG688" s="97"/>
      <c r="AH688" s="97"/>
      <c r="AI688" s="97"/>
      <c r="AJ688" s="97"/>
      <c r="AK688" s="97"/>
      <c r="AL688" s="97"/>
      <c r="AM688" s="97"/>
      <c r="AN688" s="97"/>
      <c r="AO688" s="97"/>
      <c r="AP688" s="97"/>
      <c r="AQ688" s="97"/>
      <c r="AR688" s="97"/>
      <c r="AS688" s="97"/>
      <c r="AT688" s="97"/>
      <c r="AU688" s="97"/>
      <c r="AV688" s="97"/>
      <c r="AW688" s="97"/>
      <c r="AX688" s="97"/>
      <c r="AY688" s="97"/>
      <c r="AZ688" s="97"/>
      <c r="BA688" s="97"/>
      <c r="BB688" s="97"/>
      <c r="BC688" s="97"/>
      <c r="BD688" s="97"/>
      <c r="BE688" s="97"/>
      <c r="BF688" s="97"/>
      <c r="BG688" s="97"/>
      <c r="BH688" s="97"/>
      <c r="BI688" s="97"/>
      <c r="BJ688" s="97"/>
      <c r="BK688" s="97"/>
      <c r="BL688" s="97"/>
      <c r="BM688" s="97"/>
      <c r="BN688" s="97"/>
      <c r="BO688" s="97"/>
      <c r="BP688" s="97"/>
      <c r="BQ688" s="97"/>
      <c r="BR688" s="97"/>
      <c r="BS688" s="97"/>
      <c r="BT688" s="97"/>
      <c r="BU688" s="97"/>
      <c r="BV688" s="97"/>
      <c r="BW688" s="97"/>
      <c r="BX688" s="97"/>
      <c r="BY688" s="97"/>
      <c r="BZ688" s="97"/>
      <c r="CA688" s="97"/>
      <c r="CB688" s="97"/>
      <c r="CC688" s="97"/>
      <c r="CD688" s="97"/>
      <c r="CE688" s="97"/>
      <c r="CF688" s="97"/>
      <c r="CG688" s="97"/>
      <c r="CH688" s="97"/>
      <c r="CI688" s="97"/>
      <c r="CJ688" s="97"/>
      <c r="CK688" s="97"/>
      <c r="CL688" s="97"/>
      <c r="CM688" s="97"/>
      <c r="CN688" s="97"/>
      <c r="CO688" s="97"/>
      <c r="CP688" s="97"/>
      <c r="CQ688" s="97"/>
    </row>
    <row r="689" spans="1:95" ht="14.45" outlineLevel="2">
      <c r="A689" s="97"/>
      <c r="B689" s="97" t="s">
        <v>755</v>
      </c>
      <c r="C689" s="97"/>
      <c r="D689" s="97">
        <f t="shared" ref="D689" si="353">AND(year&gt;PV_base_year,year&lt;=(Current_year+Discount_period_1))*1</f>
        <v>0</v>
      </c>
      <c r="E689" s="97">
        <f t="shared" ref="E689:AJ689" si="354">AND(year&gt;PV_base_year,year&lt;=(Current_year))*1</f>
        <v>1</v>
      </c>
      <c r="F689" s="97">
        <f t="shared" si="354"/>
        <v>1</v>
      </c>
      <c r="G689" s="97">
        <f t="shared" si="354"/>
        <v>1</v>
      </c>
      <c r="H689" s="97">
        <f t="shared" si="354"/>
        <v>1</v>
      </c>
      <c r="I689" s="97">
        <f t="shared" si="354"/>
        <v>1</v>
      </c>
      <c r="J689" s="97">
        <f t="shared" si="354"/>
        <v>1</v>
      </c>
      <c r="K689" s="97">
        <f t="shared" si="354"/>
        <v>1</v>
      </c>
      <c r="L689" s="97">
        <f t="shared" si="354"/>
        <v>1</v>
      </c>
      <c r="M689" s="97">
        <f t="shared" si="354"/>
        <v>1</v>
      </c>
      <c r="N689" s="97">
        <f t="shared" si="354"/>
        <v>1</v>
      </c>
      <c r="O689" s="97">
        <f t="shared" si="354"/>
        <v>1</v>
      </c>
      <c r="P689" s="97">
        <f t="shared" si="354"/>
        <v>1</v>
      </c>
      <c r="Q689" s="97">
        <f t="shared" si="354"/>
        <v>1</v>
      </c>
      <c r="R689" s="97">
        <f t="shared" si="354"/>
        <v>1</v>
      </c>
      <c r="S689" s="97">
        <f t="shared" si="354"/>
        <v>0</v>
      </c>
      <c r="T689" s="97">
        <f t="shared" si="354"/>
        <v>0</v>
      </c>
      <c r="U689" s="97">
        <f t="shared" si="354"/>
        <v>0</v>
      </c>
      <c r="V689" s="97">
        <f t="shared" si="354"/>
        <v>0</v>
      </c>
      <c r="W689" s="97">
        <f t="shared" si="354"/>
        <v>0</v>
      </c>
      <c r="X689" s="97">
        <f t="shared" si="354"/>
        <v>0</v>
      </c>
      <c r="Y689" s="97">
        <f t="shared" si="354"/>
        <v>0</v>
      </c>
      <c r="Z689" s="97">
        <f t="shared" si="354"/>
        <v>0</v>
      </c>
      <c r="AA689" s="97">
        <f t="shared" si="354"/>
        <v>0</v>
      </c>
      <c r="AB689" s="97">
        <f t="shared" si="354"/>
        <v>0</v>
      </c>
      <c r="AC689" s="97">
        <f t="shared" si="354"/>
        <v>0</v>
      </c>
      <c r="AD689" s="97">
        <f t="shared" si="354"/>
        <v>0</v>
      </c>
      <c r="AE689" s="97">
        <f t="shared" si="354"/>
        <v>0</v>
      </c>
      <c r="AF689" s="97">
        <f t="shared" si="354"/>
        <v>0</v>
      </c>
      <c r="AG689" s="97">
        <f t="shared" si="354"/>
        <v>0</v>
      </c>
      <c r="AH689" s="97">
        <f t="shared" si="354"/>
        <v>0</v>
      </c>
      <c r="AI689" s="97">
        <f t="shared" si="354"/>
        <v>0</v>
      </c>
      <c r="AJ689" s="97">
        <f t="shared" si="354"/>
        <v>0</v>
      </c>
      <c r="AK689" s="97">
        <f t="shared" ref="AK689:BP689" si="355">AND(year&gt;PV_base_year,year&lt;=(Current_year))*1</f>
        <v>0</v>
      </c>
      <c r="AL689" s="97">
        <f t="shared" si="355"/>
        <v>0</v>
      </c>
      <c r="AM689" s="97">
        <f t="shared" si="355"/>
        <v>0</v>
      </c>
      <c r="AN689" s="97">
        <f t="shared" si="355"/>
        <v>0</v>
      </c>
      <c r="AO689" s="97">
        <f t="shared" si="355"/>
        <v>0</v>
      </c>
      <c r="AP689" s="97">
        <f t="shared" si="355"/>
        <v>0</v>
      </c>
      <c r="AQ689" s="97">
        <f t="shared" si="355"/>
        <v>0</v>
      </c>
      <c r="AR689" s="97">
        <f t="shared" si="355"/>
        <v>0</v>
      </c>
      <c r="AS689" s="97">
        <f t="shared" si="355"/>
        <v>0</v>
      </c>
      <c r="AT689" s="97">
        <f t="shared" si="355"/>
        <v>0</v>
      </c>
      <c r="AU689" s="97">
        <f t="shared" si="355"/>
        <v>0</v>
      </c>
      <c r="AV689" s="97">
        <f t="shared" si="355"/>
        <v>0</v>
      </c>
      <c r="AW689" s="97">
        <f t="shared" si="355"/>
        <v>0</v>
      </c>
      <c r="AX689" s="97">
        <f t="shared" si="355"/>
        <v>0</v>
      </c>
      <c r="AY689" s="97">
        <f t="shared" si="355"/>
        <v>0</v>
      </c>
      <c r="AZ689" s="97">
        <f t="shared" si="355"/>
        <v>0</v>
      </c>
      <c r="BA689" s="97">
        <f t="shared" si="355"/>
        <v>0</v>
      </c>
      <c r="BB689" s="97">
        <f t="shared" si="355"/>
        <v>0</v>
      </c>
      <c r="BC689" s="97">
        <f t="shared" si="355"/>
        <v>0</v>
      </c>
      <c r="BD689" s="97">
        <f t="shared" si="355"/>
        <v>0</v>
      </c>
      <c r="BE689" s="97">
        <f t="shared" si="355"/>
        <v>0</v>
      </c>
      <c r="BF689" s="97">
        <f t="shared" si="355"/>
        <v>0</v>
      </c>
      <c r="BG689" s="97">
        <f t="shared" si="355"/>
        <v>0</v>
      </c>
      <c r="BH689" s="97">
        <f t="shared" si="355"/>
        <v>0</v>
      </c>
      <c r="BI689" s="97">
        <f t="shared" si="355"/>
        <v>0</v>
      </c>
      <c r="BJ689" s="97">
        <f t="shared" si="355"/>
        <v>0</v>
      </c>
      <c r="BK689" s="97">
        <f t="shared" si="355"/>
        <v>0</v>
      </c>
      <c r="BL689" s="97">
        <f t="shared" si="355"/>
        <v>0</v>
      </c>
      <c r="BM689" s="97">
        <f t="shared" si="355"/>
        <v>0</v>
      </c>
      <c r="BN689" s="97">
        <f t="shared" si="355"/>
        <v>0</v>
      </c>
      <c r="BO689" s="97">
        <f t="shared" si="355"/>
        <v>0</v>
      </c>
      <c r="BP689" s="97">
        <f t="shared" si="355"/>
        <v>0</v>
      </c>
      <c r="BQ689" s="97">
        <f t="shared" ref="BQ689:CP689" si="356">AND(year&gt;PV_base_year,year&lt;=(Current_year))*1</f>
        <v>0</v>
      </c>
      <c r="BR689" s="97">
        <f t="shared" si="356"/>
        <v>0</v>
      </c>
      <c r="BS689" s="97">
        <f t="shared" si="356"/>
        <v>0</v>
      </c>
      <c r="BT689" s="97">
        <f t="shared" si="356"/>
        <v>0</v>
      </c>
      <c r="BU689" s="97">
        <f t="shared" si="356"/>
        <v>0</v>
      </c>
      <c r="BV689" s="97">
        <f t="shared" si="356"/>
        <v>0</v>
      </c>
      <c r="BW689" s="97">
        <f t="shared" si="356"/>
        <v>0</v>
      </c>
      <c r="BX689" s="97">
        <f t="shared" si="356"/>
        <v>0</v>
      </c>
      <c r="BY689" s="97">
        <f t="shared" si="356"/>
        <v>0</v>
      </c>
      <c r="BZ689" s="97">
        <f t="shared" si="356"/>
        <v>0</v>
      </c>
      <c r="CA689" s="97">
        <f t="shared" si="356"/>
        <v>0</v>
      </c>
      <c r="CB689" s="97">
        <f t="shared" si="356"/>
        <v>0</v>
      </c>
      <c r="CC689" s="97">
        <f t="shared" si="356"/>
        <v>0</v>
      </c>
      <c r="CD689" s="97">
        <f t="shared" si="356"/>
        <v>0</v>
      </c>
      <c r="CE689" s="97">
        <f t="shared" si="356"/>
        <v>0</v>
      </c>
      <c r="CF689" s="97">
        <f t="shared" si="356"/>
        <v>0</v>
      </c>
      <c r="CG689" s="97">
        <f t="shared" si="356"/>
        <v>0</v>
      </c>
      <c r="CH689" s="97">
        <f t="shared" si="356"/>
        <v>0</v>
      </c>
      <c r="CI689" s="97">
        <f t="shared" si="356"/>
        <v>0</v>
      </c>
      <c r="CJ689" s="97">
        <f t="shared" si="356"/>
        <v>0</v>
      </c>
      <c r="CK689" s="97">
        <f t="shared" si="356"/>
        <v>0</v>
      </c>
      <c r="CL689" s="97">
        <f t="shared" si="356"/>
        <v>0</v>
      </c>
      <c r="CM689" s="97">
        <f t="shared" si="356"/>
        <v>0</v>
      </c>
      <c r="CN689" s="97">
        <f t="shared" si="356"/>
        <v>0</v>
      </c>
      <c r="CO689" s="97">
        <f t="shared" si="356"/>
        <v>0</v>
      </c>
      <c r="CP689" s="97">
        <f t="shared" si="356"/>
        <v>0</v>
      </c>
      <c r="CQ689" s="3" t="s">
        <v>756</v>
      </c>
    </row>
    <row r="690" spans="1:95" ht="14.45" outlineLevel="2">
      <c r="A690" s="97"/>
      <c r="B690" s="97" t="s">
        <v>757</v>
      </c>
      <c r="C690" s="97"/>
      <c r="D690" s="97">
        <f t="shared" ref="D690:AI690" si="357">AND(year&gt;Current_year,year&lt;=Current_year+Discount_period_2)*1</f>
        <v>0</v>
      </c>
      <c r="E690" s="97">
        <f t="shared" si="357"/>
        <v>0</v>
      </c>
      <c r="F690" s="97">
        <f t="shared" si="357"/>
        <v>0</v>
      </c>
      <c r="G690" s="97">
        <f t="shared" si="357"/>
        <v>0</v>
      </c>
      <c r="H690" s="97">
        <f t="shared" si="357"/>
        <v>0</v>
      </c>
      <c r="I690" s="97">
        <f t="shared" si="357"/>
        <v>0</v>
      </c>
      <c r="J690" s="97">
        <f t="shared" si="357"/>
        <v>0</v>
      </c>
      <c r="K690" s="97">
        <f t="shared" si="357"/>
        <v>0</v>
      </c>
      <c r="L690" s="97">
        <f t="shared" si="357"/>
        <v>0</v>
      </c>
      <c r="M690" s="97">
        <f t="shared" si="357"/>
        <v>0</v>
      </c>
      <c r="N690" s="97">
        <f t="shared" si="357"/>
        <v>0</v>
      </c>
      <c r="O690" s="97">
        <f t="shared" si="357"/>
        <v>0</v>
      </c>
      <c r="P690" s="97">
        <f t="shared" si="357"/>
        <v>0</v>
      </c>
      <c r="Q690" s="97">
        <f t="shared" si="357"/>
        <v>0</v>
      </c>
      <c r="R690" s="97">
        <f t="shared" si="357"/>
        <v>0</v>
      </c>
      <c r="S690" s="97">
        <f t="shared" si="357"/>
        <v>1</v>
      </c>
      <c r="T690" s="97">
        <f t="shared" si="357"/>
        <v>1</v>
      </c>
      <c r="U690" s="97">
        <f t="shared" si="357"/>
        <v>1</v>
      </c>
      <c r="V690" s="97">
        <f t="shared" si="357"/>
        <v>1</v>
      </c>
      <c r="W690" s="97">
        <f t="shared" si="357"/>
        <v>1</v>
      </c>
      <c r="X690" s="97">
        <f t="shared" si="357"/>
        <v>1</v>
      </c>
      <c r="Y690" s="97">
        <f t="shared" si="357"/>
        <v>1</v>
      </c>
      <c r="Z690" s="97">
        <f t="shared" si="357"/>
        <v>1</v>
      </c>
      <c r="AA690" s="97">
        <f t="shared" si="357"/>
        <v>1</v>
      </c>
      <c r="AB690" s="97">
        <f t="shared" si="357"/>
        <v>1</v>
      </c>
      <c r="AC690" s="97">
        <f t="shared" si="357"/>
        <v>1</v>
      </c>
      <c r="AD690" s="97">
        <f t="shared" si="357"/>
        <v>1</v>
      </c>
      <c r="AE690" s="97">
        <f t="shared" si="357"/>
        <v>1</v>
      </c>
      <c r="AF690" s="97">
        <f t="shared" si="357"/>
        <v>1</v>
      </c>
      <c r="AG690" s="97">
        <f t="shared" si="357"/>
        <v>1</v>
      </c>
      <c r="AH690" s="97">
        <f t="shared" si="357"/>
        <v>1</v>
      </c>
      <c r="AI690" s="97">
        <f t="shared" si="357"/>
        <v>1</v>
      </c>
      <c r="AJ690" s="97">
        <f t="shared" ref="AJ690:BO690" si="358">AND(year&gt;Current_year,year&lt;=Current_year+Discount_period_2)*1</f>
        <v>1</v>
      </c>
      <c r="AK690" s="97">
        <f t="shared" si="358"/>
        <v>1</v>
      </c>
      <c r="AL690" s="97">
        <f t="shared" si="358"/>
        <v>1</v>
      </c>
      <c r="AM690" s="97">
        <f t="shared" si="358"/>
        <v>1</v>
      </c>
      <c r="AN690" s="97">
        <f t="shared" si="358"/>
        <v>1</v>
      </c>
      <c r="AO690" s="97">
        <f t="shared" si="358"/>
        <v>1</v>
      </c>
      <c r="AP690" s="97">
        <f t="shared" si="358"/>
        <v>1</v>
      </c>
      <c r="AQ690" s="97">
        <f t="shared" si="358"/>
        <v>1</v>
      </c>
      <c r="AR690" s="97">
        <f t="shared" si="358"/>
        <v>1</v>
      </c>
      <c r="AS690" s="97">
        <f t="shared" si="358"/>
        <v>1</v>
      </c>
      <c r="AT690" s="97">
        <f t="shared" si="358"/>
        <v>1</v>
      </c>
      <c r="AU690" s="97">
        <f t="shared" si="358"/>
        <v>1</v>
      </c>
      <c r="AV690" s="97">
        <f t="shared" si="358"/>
        <v>1</v>
      </c>
      <c r="AW690" s="97">
        <f t="shared" si="358"/>
        <v>0</v>
      </c>
      <c r="AX690" s="97">
        <f t="shared" si="358"/>
        <v>0</v>
      </c>
      <c r="AY690" s="97">
        <f t="shared" si="358"/>
        <v>0</v>
      </c>
      <c r="AZ690" s="97">
        <f t="shared" si="358"/>
        <v>0</v>
      </c>
      <c r="BA690" s="97">
        <f t="shared" si="358"/>
        <v>0</v>
      </c>
      <c r="BB690" s="97">
        <f t="shared" si="358"/>
        <v>0</v>
      </c>
      <c r="BC690" s="97">
        <f t="shared" si="358"/>
        <v>0</v>
      </c>
      <c r="BD690" s="97">
        <f t="shared" si="358"/>
        <v>0</v>
      </c>
      <c r="BE690" s="97">
        <f t="shared" si="358"/>
        <v>0</v>
      </c>
      <c r="BF690" s="97">
        <f t="shared" si="358"/>
        <v>0</v>
      </c>
      <c r="BG690" s="97">
        <f t="shared" si="358"/>
        <v>0</v>
      </c>
      <c r="BH690" s="97">
        <f t="shared" si="358"/>
        <v>0</v>
      </c>
      <c r="BI690" s="97">
        <f t="shared" si="358"/>
        <v>0</v>
      </c>
      <c r="BJ690" s="97">
        <f t="shared" si="358"/>
        <v>0</v>
      </c>
      <c r="BK690" s="97">
        <f t="shared" si="358"/>
        <v>0</v>
      </c>
      <c r="BL690" s="97">
        <f t="shared" si="358"/>
        <v>0</v>
      </c>
      <c r="BM690" s="97">
        <f t="shared" si="358"/>
        <v>0</v>
      </c>
      <c r="BN690" s="97">
        <f t="shared" si="358"/>
        <v>0</v>
      </c>
      <c r="BO690" s="97">
        <f t="shared" si="358"/>
        <v>0</v>
      </c>
      <c r="BP690" s="97">
        <f t="shared" ref="BP690:CP690" si="359">AND(year&gt;Current_year,year&lt;=Current_year+Discount_period_2)*1</f>
        <v>0</v>
      </c>
      <c r="BQ690" s="97">
        <f t="shared" si="359"/>
        <v>0</v>
      </c>
      <c r="BR690" s="97">
        <f t="shared" si="359"/>
        <v>0</v>
      </c>
      <c r="BS690" s="97">
        <f t="shared" si="359"/>
        <v>0</v>
      </c>
      <c r="BT690" s="97">
        <f t="shared" si="359"/>
        <v>0</v>
      </c>
      <c r="BU690" s="97">
        <f t="shared" si="359"/>
        <v>0</v>
      </c>
      <c r="BV690" s="97">
        <f t="shared" si="359"/>
        <v>0</v>
      </c>
      <c r="BW690" s="97">
        <f t="shared" si="359"/>
        <v>0</v>
      </c>
      <c r="BX690" s="97">
        <f t="shared" si="359"/>
        <v>0</v>
      </c>
      <c r="BY690" s="97">
        <f t="shared" si="359"/>
        <v>0</v>
      </c>
      <c r="BZ690" s="97">
        <f t="shared" si="359"/>
        <v>0</v>
      </c>
      <c r="CA690" s="97">
        <f t="shared" si="359"/>
        <v>0</v>
      </c>
      <c r="CB690" s="97">
        <f t="shared" si="359"/>
        <v>0</v>
      </c>
      <c r="CC690" s="97">
        <f t="shared" si="359"/>
        <v>0</v>
      </c>
      <c r="CD690" s="97">
        <f t="shared" si="359"/>
        <v>0</v>
      </c>
      <c r="CE690" s="97">
        <f t="shared" si="359"/>
        <v>0</v>
      </c>
      <c r="CF690" s="97">
        <f t="shared" si="359"/>
        <v>0</v>
      </c>
      <c r="CG690" s="97">
        <f t="shared" si="359"/>
        <v>0</v>
      </c>
      <c r="CH690" s="97">
        <f t="shared" si="359"/>
        <v>0</v>
      </c>
      <c r="CI690" s="97">
        <f t="shared" si="359"/>
        <v>0</v>
      </c>
      <c r="CJ690" s="97">
        <f t="shared" si="359"/>
        <v>0</v>
      </c>
      <c r="CK690" s="97">
        <f t="shared" si="359"/>
        <v>0</v>
      </c>
      <c r="CL690" s="97">
        <f t="shared" si="359"/>
        <v>0</v>
      </c>
      <c r="CM690" s="97">
        <f t="shared" si="359"/>
        <v>0</v>
      </c>
      <c r="CN690" s="97">
        <f t="shared" si="359"/>
        <v>0</v>
      </c>
      <c r="CO690" s="97">
        <f t="shared" si="359"/>
        <v>0</v>
      </c>
      <c r="CP690" s="97">
        <f t="shared" si="359"/>
        <v>0</v>
      </c>
      <c r="CQ690" s="3" t="s">
        <v>758</v>
      </c>
    </row>
    <row r="691" spans="1:95" ht="14.45" outlineLevel="2">
      <c r="A691" s="97"/>
      <c r="B691" s="97" t="s">
        <v>759</v>
      </c>
      <c r="C691" s="97"/>
      <c r="D691" s="97">
        <f t="shared" ref="D691:BO691" si="360">AND(year&gt;Current_year+Discount_period_2,year&lt;=Current_year+Discount_period_3)*1</f>
        <v>0</v>
      </c>
      <c r="E691" s="97">
        <f t="shared" si="360"/>
        <v>0</v>
      </c>
      <c r="F691" s="97">
        <f t="shared" si="360"/>
        <v>0</v>
      </c>
      <c r="G691" s="97">
        <f t="shared" si="360"/>
        <v>0</v>
      </c>
      <c r="H691" s="97">
        <f t="shared" si="360"/>
        <v>0</v>
      </c>
      <c r="I691" s="97">
        <f t="shared" si="360"/>
        <v>0</v>
      </c>
      <c r="J691" s="97">
        <f t="shared" si="360"/>
        <v>0</v>
      </c>
      <c r="K691" s="97">
        <f t="shared" si="360"/>
        <v>0</v>
      </c>
      <c r="L691" s="97">
        <f t="shared" si="360"/>
        <v>0</v>
      </c>
      <c r="M691" s="97">
        <f t="shared" si="360"/>
        <v>0</v>
      </c>
      <c r="N691" s="97">
        <f t="shared" si="360"/>
        <v>0</v>
      </c>
      <c r="O691" s="97">
        <f t="shared" si="360"/>
        <v>0</v>
      </c>
      <c r="P691" s="97">
        <f t="shared" si="360"/>
        <v>0</v>
      </c>
      <c r="Q691" s="97">
        <f t="shared" si="360"/>
        <v>0</v>
      </c>
      <c r="R691" s="97">
        <f t="shared" si="360"/>
        <v>0</v>
      </c>
      <c r="S691" s="97">
        <f t="shared" si="360"/>
        <v>0</v>
      </c>
      <c r="T691" s="97">
        <f t="shared" si="360"/>
        <v>0</v>
      </c>
      <c r="U691" s="97">
        <f t="shared" si="360"/>
        <v>0</v>
      </c>
      <c r="V691" s="97">
        <f t="shared" si="360"/>
        <v>0</v>
      </c>
      <c r="W691" s="97">
        <f t="shared" si="360"/>
        <v>0</v>
      </c>
      <c r="X691" s="97">
        <f t="shared" si="360"/>
        <v>0</v>
      </c>
      <c r="Y691" s="97">
        <f t="shared" si="360"/>
        <v>0</v>
      </c>
      <c r="Z691" s="97">
        <f t="shared" si="360"/>
        <v>0</v>
      </c>
      <c r="AA691" s="97">
        <f t="shared" si="360"/>
        <v>0</v>
      </c>
      <c r="AB691" s="97">
        <f t="shared" si="360"/>
        <v>0</v>
      </c>
      <c r="AC691" s="97">
        <f t="shared" si="360"/>
        <v>0</v>
      </c>
      <c r="AD691" s="97">
        <f t="shared" si="360"/>
        <v>0</v>
      </c>
      <c r="AE691" s="97">
        <f t="shared" si="360"/>
        <v>0</v>
      </c>
      <c r="AF691" s="97">
        <f t="shared" si="360"/>
        <v>0</v>
      </c>
      <c r="AG691" s="97">
        <f t="shared" si="360"/>
        <v>0</v>
      </c>
      <c r="AH691" s="97">
        <f t="shared" si="360"/>
        <v>0</v>
      </c>
      <c r="AI691" s="97">
        <f t="shared" si="360"/>
        <v>0</v>
      </c>
      <c r="AJ691" s="97">
        <f t="shared" si="360"/>
        <v>0</v>
      </c>
      <c r="AK691" s="97">
        <f t="shared" si="360"/>
        <v>0</v>
      </c>
      <c r="AL691" s="97">
        <f t="shared" si="360"/>
        <v>0</v>
      </c>
      <c r="AM691" s="97">
        <f t="shared" si="360"/>
        <v>0</v>
      </c>
      <c r="AN691" s="97">
        <f t="shared" si="360"/>
        <v>0</v>
      </c>
      <c r="AO691" s="97">
        <f t="shared" si="360"/>
        <v>0</v>
      </c>
      <c r="AP691" s="97">
        <f t="shared" si="360"/>
        <v>0</v>
      </c>
      <c r="AQ691" s="97">
        <f t="shared" si="360"/>
        <v>0</v>
      </c>
      <c r="AR691" s="97">
        <f t="shared" si="360"/>
        <v>0</v>
      </c>
      <c r="AS691" s="97">
        <f t="shared" si="360"/>
        <v>0</v>
      </c>
      <c r="AT691" s="97">
        <f t="shared" si="360"/>
        <v>0</v>
      </c>
      <c r="AU691" s="97">
        <f t="shared" si="360"/>
        <v>0</v>
      </c>
      <c r="AV691" s="97">
        <f t="shared" si="360"/>
        <v>0</v>
      </c>
      <c r="AW691" s="97">
        <f t="shared" si="360"/>
        <v>1</v>
      </c>
      <c r="AX691" s="97">
        <f t="shared" si="360"/>
        <v>1</v>
      </c>
      <c r="AY691" s="97">
        <f t="shared" si="360"/>
        <v>1</v>
      </c>
      <c r="AZ691" s="97">
        <f t="shared" si="360"/>
        <v>1</v>
      </c>
      <c r="BA691" s="97">
        <f t="shared" si="360"/>
        <v>1</v>
      </c>
      <c r="BB691" s="97">
        <f t="shared" si="360"/>
        <v>1</v>
      </c>
      <c r="BC691" s="97">
        <f t="shared" si="360"/>
        <v>1</v>
      </c>
      <c r="BD691" s="97">
        <f t="shared" si="360"/>
        <v>1</v>
      </c>
      <c r="BE691" s="97">
        <f t="shared" si="360"/>
        <v>1</v>
      </c>
      <c r="BF691" s="97">
        <f t="shared" si="360"/>
        <v>1</v>
      </c>
      <c r="BG691" s="97">
        <f t="shared" si="360"/>
        <v>1</v>
      </c>
      <c r="BH691" s="97">
        <f t="shared" si="360"/>
        <v>1</v>
      </c>
      <c r="BI691" s="97">
        <f t="shared" si="360"/>
        <v>1</v>
      </c>
      <c r="BJ691" s="97">
        <f t="shared" si="360"/>
        <v>1</v>
      </c>
      <c r="BK691" s="97">
        <f t="shared" si="360"/>
        <v>1</v>
      </c>
      <c r="BL691" s="97">
        <f t="shared" si="360"/>
        <v>1</v>
      </c>
      <c r="BM691" s="97">
        <f t="shared" si="360"/>
        <v>1</v>
      </c>
      <c r="BN691" s="97">
        <f t="shared" si="360"/>
        <v>1</v>
      </c>
      <c r="BO691" s="97">
        <f t="shared" si="360"/>
        <v>1</v>
      </c>
      <c r="BP691" s="97">
        <f t="shared" ref="BP691:CP691" si="361">AND(year&gt;Current_year+Discount_period_2,year&lt;=Current_year+Discount_period_3)*1</f>
        <v>1</v>
      </c>
      <c r="BQ691" s="97">
        <f t="shared" si="361"/>
        <v>1</v>
      </c>
      <c r="BR691" s="97">
        <f t="shared" si="361"/>
        <v>1</v>
      </c>
      <c r="BS691" s="97">
        <f t="shared" si="361"/>
        <v>1</v>
      </c>
      <c r="BT691" s="97">
        <f t="shared" si="361"/>
        <v>1</v>
      </c>
      <c r="BU691" s="97">
        <f t="shared" si="361"/>
        <v>1</v>
      </c>
      <c r="BV691" s="97">
        <f t="shared" si="361"/>
        <v>1</v>
      </c>
      <c r="BW691" s="97">
        <f t="shared" si="361"/>
        <v>1</v>
      </c>
      <c r="BX691" s="97">
        <f t="shared" si="361"/>
        <v>1</v>
      </c>
      <c r="BY691" s="97">
        <f t="shared" si="361"/>
        <v>1</v>
      </c>
      <c r="BZ691" s="97">
        <f t="shared" si="361"/>
        <v>1</v>
      </c>
      <c r="CA691" s="97">
        <f t="shared" si="361"/>
        <v>1</v>
      </c>
      <c r="CB691" s="97">
        <f t="shared" si="361"/>
        <v>1</v>
      </c>
      <c r="CC691" s="97">
        <f t="shared" si="361"/>
        <v>1</v>
      </c>
      <c r="CD691" s="97">
        <f t="shared" si="361"/>
        <v>1</v>
      </c>
      <c r="CE691" s="97">
        <f t="shared" si="361"/>
        <v>1</v>
      </c>
      <c r="CF691" s="97">
        <f t="shared" si="361"/>
        <v>1</v>
      </c>
      <c r="CG691" s="97">
        <f t="shared" si="361"/>
        <v>1</v>
      </c>
      <c r="CH691" s="97">
        <f t="shared" si="361"/>
        <v>1</v>
      </c>
      <c r="CI691" s="97">
        <f t="shared" si="361"/>
        <v>1</v>
      </c>
      <c r="CJ691" s="97">
        <f t="shared" si="361"/>
        <v>1</v>
      </c>
      <c r="CK691" s="97">
        <f t="shared" si="361"/>
        <v>1</v>
      </c>
      <c r="CL691" s="97">
        <f t="shared" si="361"/>
        <v>1</v>
      </c>
      <c r="CM691" s="97">
        <f t="shared" si="361"/>
        <v>1</v>
      </c>
      <c r="CN691" s="97">
        <f t="shared" si="361"/>
        <v>1</v>
      </c>
      <c r="CO691" s="97">
        <f t="shared" si="361"/>
        <v>1</v>
      </c>
      <c r="CP691" s="97">
        <f t="shared" si="361"/>
        <v>0</v>
      </c>
      <c r="CQ691" s="3" t="s">
        <v>760</v>
      </c>
    </row>
    <row r="692" spans="1:95" ht="14.45" outlineLevel="2">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c r="AN692" s="97"/>
      <c r="AO692" s="97"/>
      <c r="AP692" s="97"/>
      <c r="AQ692" s="97"/>
      <c r="AR692" s="97"/>
      <c r="AS692" s="97"/>
      <c r="AT692" s="97"/>
      <c r="AU692" s="97"/>
      <c r="AV692" s="97"/>
      <c r="AW692" s="97"/>
      <c r="AX692" s="97"/>
      <c r="AY692" s="97"/>
      <c r="AZ692" s="97"/>
      <c r="BA692" s="97"/>
      <c r="BB692" s="97"/>
      <c r="BC692" s="97"/>
      <c r="BD692" s="97"/>
      <c r="BE692" s="97"/>
      <c r="BF692" s="97"/>
      <c r="BG692" s="97"/>
      <c r="BH692" s="97"/>
      <c r="BI692" s="97"/>
      <c r="BJ692" s="97"/>
      <c r="BK692" s="97"/>
      <c r="BL692" s="97"/>
      <c r="BM692" s="97"/>
      <c r="BN692" s="97"/>
      <c r="BO692" s="97"/>
      <c r="BP692" s="97"/>
      <c r="BQ692" s="97"/>
      <c r="BR692" s="97"/>
      <c r="BS692" s="97"/>
      <c r="BT692" s="97"/>
      <c r="BU692" s="97"/>
      <c r="BV692" s="97"/>
      <c r="BW692" s="97"/>
      <c r="BX692" s="97"/>
      <c r="BY692" s="97"/>
      <c r="BZ692" s="97"/>
      <c r="CA692" s="97"/>
      <c r="CB692" s="97"/>
      <c r="CC692" s="97"/>
      <c r="CD692" s="97"/>
      <c r="CE692" s="97"/>
      <c r="CF692" s="97"/>
      <c r="CG692" s="97"/>
      <c r="CH692" s="97"/>
      <c r="CI692" s="97"/>
      <c r="CJ692" s="97"/>
      <c r="CK692" s="97"/>
      <c r="CL692" s="97"/>
      <c r="CM692" s="97"/>
      <c r="CN692" s="97"/>
      <c r="CO692" s="97"/>
      <c r="CP692" s="97"/>
      <c r="CQ692" s="97"/>
    </row>
    <row r="693" spans="1:95" s="5" customFormat="1" ht="15.6" outlineLevel="2">
      <c r="B693" s="5" t="s">
        <v>761</v>
      </c>
    </row>
    <row r="694" spans="1:95" s="21" customFormat="1" ht="15.6" outlineLevel="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row>
    <row r="695" spans="1:95" ht="14.45" outlineLevel="2">
      <c r="A695" s="97"/>
      <c r="B695" s="97" t="s">
        <v>202</v>
      </c>
      <c r="C695" s="117">
        <f>Discount_rate_1_in</f>
        <v>3.5000000000000003E-2</v>
      </c>
      <c r="D695" s="3" t="s">
        <v>762</v>
      </c>
      <c r="E695" s="97"/>
      <c r="F695" s="97"/>
      <c r="G695" s="97"/>
      <c r="H695" s="97"/>
      <c r="I695" s="97"/>
      <c r="J695" s="97"/>
      <c r="K695" s="97"/>
      <c r="L695" s="97"/>
      <c r="M695" s="97"/>
      <c r="N695" s="97"/>
      <c r="O695" s="97"/>
      <c r="P695" s="97"/>
      <c r="Q695" s="97"/>
      <c r="R695" s="97"/>
      <c r="S695" s="97"/>
      <c r="T695" s="97"/>
      <c r="U695" s="97"/>
      <c r="V695" s="97"/>
      <c r="W695" s="97"/>
      <c r="X695" s="97"/>
      <c r="Y695" s="97"/>
      <c r="Z695" s="97"/>
      <c r="AA695" s="97"/>
      <c r="AB695" s="97"/>
      <c r="AC695" s="97"/>
      <c r="AD695" s="97"/>
      <c r="AE695" s="97"/>
      <c r="AF695" s="97"/>
      <c r="AG695" s="97"/>
      <c r="AH695" s="97"/>
      <c r="AI695" s="97"/>
      <c r="AJ695" s="97"/>
      <c r="AK695" s="97"/>
      <c r="AL695" s="97"/>
      <c r="AM695" s="97"/>
      <c r="AN695" s="97"/>
      <c r="AO695" s="97"/>
      <c r="AP695" s="97"/>
      <c r="AQ695" s="97"/>
      <c r="AR695" s="97"/>
      <c r="AS695" s="97"/>
      <c r="AT695" s="97"/>
      <c r="AU695" s="97"/>
      <c r="AV695" s="97"/>
      <c r="AW695" s="97"/>
      <c r="AX695" s="97"/>
      <c r="AY695" s="97"/>
      <c r="AZ695" s="97"/>
      <c r="BA695" s="97"/>
      <c r="BB695" s="97"/>
      <c r="BC695" s="97"/>
      <c r="BD695" s="97"/>
      <c r="BE695" s="97"/>
      <c r="BF695" s="97"/>
      <c r="BG695" s="97"/>
      <c r="BH695" s="97"/>
      <c r="BI695" s="97"/>
      <c r="BJ695" s="97"/>
      <c r="BK695" s="97"/>
      <c r="BL695" s="97"/>
      <c r="BM695" s="97"/>
      <c r="BN695" s="97"/>
      <c r="BO695" s="97"/>
      <c r="BP695" s="97"/>
      <c r="BQ695" s="97"/>
      <c r="BR695" s="97"/>
      <c r="BS695" s="97"/>
      <c r="BT695" s="97"/>
      <c r="BU695" s="97"/>
      <c r="BV695" s="97"/>
      <c r="BW695" s="97"/>
      <c r="BX695" s="97"/>
      <c r="BY695" s="97"/>
      <c r="BZ695" s="97"/>
      <c r="CA695" s="97"/>
      <c r="CB695" s="97"/>
      <c r="CC695" s="97"/>
      <c r="CD695" s="97"/>
      <c r="CE695" s="97"/>
      <c r="CF695" s="97"/>
      <c r="CG695" s="97"/>
      <c r="CH695" s="97"/>
      <c r="CI695" s="97"/>
      <c r="CJ695" s="97"/>
      <c r="CK695" s="97"/>
      <c r="CL695" s="97"/>
      <c r="CM695" s="97"/>
      <c r="CN695" s="97"/>
      <c r="CO695" s="97"/>
      <c r="CP695" s="97"/>
      <c r="CQ695" s="97"/>
    </row>
    <row r="696" spans="1:95" ht="14.45" outlineLevel="2">
      <c r="A696" s="97"/>
      <c r="B696" s="97" t="s">
        <v>204</v>
      </c>
      <c r="C696" s="117">
        <f>Discount_rate_2_in</f>
        <v>1.4999999999999999E-2</v>
      </c>
      <c r="D696" s="3" t="s">
        <v>763</v>
      </c>
      <c r="E696" s="97"/>
      <c r="F696" s="97"/>
      <c r="G696" s="97"/>
      <c r="H696" s="97"/>
      <c r="I696" s="97"/>
      <c r="J696" s="97"/>
      <c r="K696" s="97"/>
      <c r="L696" s="97"/>
      <c r="M696" s="97"/>
      <c r="N696" s="97"/>
      <c r="O696" s="97"/>
      <c r="P696" s="97"/>
      <c r="Q696" s="97"/>
      <c r="R696" s="97"/>
      <c r="S696" s="97"/>
      <c r="T696" s="97"/>
      <c r="U696" s="97"/>
      <c r="V696" s="97"/>
      <c r="W696" s="97"/>
      <c r="X696" s="97"/>
      <c r="Y696" s="97"/>
      <c r="Z696" s="97"/>
      <c r="AA696" s="97"/>
      <c r="AB696" s="97"/>
      <c r="AC696" s="97"/>
      <c r="AD696" s="97"/>
      <c r="AE696" s="97"/>
      <c r="AF696" s="97"/>
      <c r="AG696" s="97"/>
      <c r="AH696" s="97"/>
      <c r="AI696" s="97"/>
      <c r="AJ696" s="97"/>
      <c r="AK696" s="97"/>
      <c r="AL696" s="97"/>
      <c r="AM696" s="97"/>
      <c r="AN696" s="97"/>
      <c r="AO696" s="97"/>
      <c r="AP696" s="97"/>
      <c r="AQ696" s="97"/>
      <c r="AR696" s="97"/>
      <c r="AS696" s="97"/>
      <c r="AT696" s="97"/>
      <c r="AU696" s="97"/>
      <c r="AV696" s="97"/>
      <c r="AW696" s="97"/>
      <c r="AX696" s="97"/>
      <c r="AY696" s="97"/>
      <c r="AZ696" s="97"/>
      <c r="BA696" s="97"/>
      <c r="BB696" s="97"/>
      <c r="BC696" s="97"/>
      <c r="BD696" s="97"/>
      <c r="BE696" s="97"/>
      <c r="BF696" s="97"/>
      <c r="BG696" s="97"/>
      <c r="BH696" s="97"/>
      <c r="BI696" s="97"/>
      <c r="BJ696" s="97"/>
      <c r="BK696" s="97"/>
      <c r="BL696" s="97"/>
      <c r="BM696" s="97"/>
      <c r="BN696" s="97"/>
      <c r="BO696" s="97"/>
      <c r="BP696" s="97"/>
      <c r="BQ696" s="97"/>
      <c r="BR696" s="97"/>
      <c r="BS696" s="97"/>
      <c r="BT696" s="97"/>
      <c r="BU696" s="97"/>
      <c r="BV696" s="97"/>
      <c r="BW696" s="97"/>
      <c r="BX696" s="97"/>
      <c r="BY696" s="97"/>
      <c r="BZ696" s="97"/>
      <c r="CA696" s="97"/>
      <c r="CB696" s="97"/>
      <c r="CC696" s="97"/>
      <c r="CD696" s="97"/>
      <c r="CE696" s="97"/>
      <c r="CF696" s="97"/>
      <c r="CG696" s="97"/>
      <c r="CH696" s="97"/>
      <c r="CI696" s="97"/>
      <c r="CJ696" s="97"/>
      <c r="CK696" s="97"/>
      <c r="CL696" s="97"/>
      <c r="CM696" s="97"/>
      <c r="CN696" s="97"/>
      <c r="CO696" s="97"/>
      <c r="CP696" s="97"/>
      <c r="CQ696" s="97"/>
    </row>
    <row r="697" spans="1:95" ht="14.45" outlineLevel="2">
      <c r="A697" s="97"/>
      <c r="B697" s="97" t="s">
        <v>206</v>
      </c>
      <c r="C697" s="117">
        <f>Discount_rate_3_in</f>
        <v>1.29E-2</v>
      </c>
      <c r="D697" s="3" t="s">
        <v>764</v>
      </c>
      <c r="E697" s="97"/>
      <c r="F697" s="97"/>
      <c r="G697" s="97"/>
      <c r="H697" s="97"/>
      <c r="I697" s="97"/>
      <c r="J697" s="97"/>
      <c r="K697" s="97"/>
      <c r="L697" s="97"/>
      <c r="M697" s="97"/>
      <c r="N697" s="97"/>
      <c r="O697" s="97"/>
      <c r="P697" s="97"/>
      <c r="Q697" s="97"/>
      <c r="R697" s="97"/>
      <c r="S697" s="97"/>
      <c r="T697" s="97"/>
      <c r="U697" s="97"/>
      <c r="V697" s="97"/>
      <c r="W697" s="97"/>
      <c r="X697" s="97"/>
      <c r="Y697" s="97"/>
      <c r="Z697" s="97"/>
      <c r="AA697" s="97"/>
      <c r="AB697" s="97"/>
      <c r="AC697" s="97"/>
      <c r="AD697" s="97"/>
      <c r="AE697" s="97"/>
      <c r="AF697" s="97"/>
      <c r="AG697" s="97"/>
      <c r="AH697" s="97"/>
      <c r="AI697" s="97"/>
      <c r="AJ697" s="97"/>
      <c r="AK697" s="97"/>
      <c r="AL697" s="97"/>
      <c r="AM697" s="97"/>
      <c r="AN697" s="97"/>
      <c r="AO697" s="97"/>
      <c r="AP697" s="97"/>
      <c r="AQ697" s="97"/>
      <c r="AR697" s="97"/>
      <c r="AS697" s="97"/>
      <c r="AT697" s="97"/>
      <c r="AU697" s="97"/>
      <c r="AV697" s="97"/>
      <c r="AW697" s="97"/>
      <c r="AX697" s="97"/>
      <c r="AY697" s="97"/>
      <c r="AZ697" s="97"/>
      <c r="BA697" s="97"/>
      <c r="BB697" s="97"/>
      <c r="BC697" s="97"/>
      <c r="BD697" s="97"/>
      <c r="BE697" s="97"/>
      <c r="BF697" s="97"/>
      <c r="BG697" s="97"/>
      <c r="BH697" s="97"/>
      <c r="BI697" s="97"/>
      <c r="BJ697" s="97"/>
      <c r="BK697" s="97"/>
      <c r="BL697" s="97"/>
      <c r="BM697" s="97"/>
      <c r="BN697" s="97"/>
      <c r="BO697" s="97"/>
      <c r="BP697" s="97"/>
      <c r="BQ697" s="97"/>
      <c r="BR697" s="97"/>
      <c r="BS697" s="97"/>
      <c r="BT697" s="97"/>
      <c r="BU697" s="97"/>
      <c r="BV697" s="97"/>
      <c r="BW697" s="97"/>
      <c r="BX697" s="97"/>
      <c r="BY697" s="97"/>
      <c r="BZ697" s="97"/>
      <c r="CA697" s="97"/>
      <c r="CB697" s="97"/>
      <c r="CC697" s="97"/>
      <c r="CD697" s="97"/>
      <c r="CE697" s="97"/>
      <c r="CF697" s="97"/>
      <c r="CG697" s="97"/>
      <c r="CH697" s="97"/>
      <c r="CI697" s="97"/>
      <c r="CJ697" s="97"/>
      <c r="CK697" s="97"/>
      <c r="CL697" s="97"/>
      <c r="CM697" s="97"/>
      <c r="CN697" s="97"/>
      <c r="CO697" s="97"/>
      <c r="CP697" s="97"/>
      <c r="CQ697" s="97"/>
    </row>
    <row r="698" spans="1:95" ht="14.45" outlineLevel="2">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7"/>
      <c r="AY698" s="97"/>
      <c r="AZ698" s="97"/>
      <c r="BA698" s="97"/>
      <c r="BB698" s="97"/>
      <c r="BC698" s="97"/>
      <c r="BD698" s="97"/>
      <c r="BE698" s="97"/>
      <c r="BF698" s="97"/>
      <c r="BG698" s="97"/>
      <c r="BH698" s="97"/>
      <c r="BI698" s="97"/>
      <c r="BJ698" s="97"/>
      <c r="BK698" s="97"/>
      <c r="BL698" s="97"/>
      <c r="BM698" s="97"/>
      <c r="BN698" s="97"/>
      <c r="BO698" s="97"/>
      <c r="BP698" s="97"/>
      <c r="BQ698" s="97"/>
      <c r="BR698" s="97"/>
      <c r="BS698" s="97"/>
      <c r="BT698" s="97"/>
      <c r="BU698" s="97"/>
      <c r="BV698" s="97"/>
      <c r="BW698" s="97"/>
      <c r="BX698" s="97"/>
      <c r="BY698" s="97"/>
      <c r="BZ698" s="97"/>
      <c r="CA698" s="97"/>
      <c r="CB698" s="97"/>
      <c r="CC698" s="97"/>
      <c r="CD698" s="97"/>
      <c r="CE698" s="97"/>
      <c r="CF698" s="97"/>
      <c r="CG698" s="97"/>
      <c r="CH698" s="97"/>
      <c r="CI698" s="97"/>
      <c r="CJ698" s="97"/>
      <c r="CK698" s="97"/>
      <c r="CL698" s="97"/>
      <c r="CM698" s="97"/>
      <c r="CN698" s="97"/>
      <c r="CO698" s="97"/>
      <c r="CP698" s="97"/>
      <c r="CQ698" s="97"/>
    </row>
    <row r="699" spans="1:95" ht="14.45" outlineLevel="2">
      <c r="A699" s="97"/>
      <c r="B699" s="97"/>
      <c r="C699" s="97"/>
      <c r="D699" s="12">
        <v>2010</v>
      </c>
      <c r="E699" s="12">
        <v>2011</v>
      </c>
      <c r="F699" s="12">
        <v>2012</v>
      </c>
      <c r="G699" s="12">
        <v>2013</v>
      </c>
      <c r="H699" s="12">
        <v>2014</v>
      </c>
      <c r="I699" s="12">
        <v>2015</v>
      </c>
      <c r="J699" s="12">
        <v>2016</v>
      </c>
      <c r="K699" s="12">
        <v>2017</v>
      </c>
      <c r="L699" s="12">
        <v>2018</v>
      </c>
      <c r="M699" s="12">
        <v>2019</v>
      </c>
      <c r="N699" s="12">
        <v>2020</v>
      </c>
      <c r="O699" s="12">
        <v>2021</v>
      </c>
      <c r="P699" s="12">
        <v>2022</v>
      </c>
      <c r="Q699" s="12">
        <v>2023</v>
      </c>
      <c r="R699" s="12">
        <v>2024</v>
      </c>
      <c r="S699" s="12">
        <v>2025</v>
      </c>
      <c r="T699" s="12">
        <v>2026</v>
      </c>
      <c r="U699" s="12">
        <v>2027</v>
      </c>
      <c r="V699" s="12">
        <v>2028</v>
      </c>
      <c r="W699" s="12">
        <v>2029</v>
      </c>
      <c r="X699" s="12">
        <v>2030</v>
      </c>
      <c r="Y699" s="12">
        <v>2031</v>
      </c>
      <c r="Z699" s="12">
        <v>2032</v>
      </c>
      <c r="AA699" s="12">
        <v>2033</v>
      </c>
      <c r="AB699" s="12">
        <v>2034</v>
      </c>
      <c r="AC699" s="12">
        <v>2035</v>
      </c>
      <c r="AD699" s="12">
        <v>2036</v>
      </c>
      <c r="AE699" s="12">
        <v>2037</v>
      </c>
      <c r="AF699" s="12">
        <v>2038</v>
      </c>
      <c r="AG699" s="12">
        <v>2039</v>
      </c>
      <c r="AH699" s="12">
        <v>2040</v>
      </c>
      <c r="AI699" s="12">
        <v>2041</v>
      </c>
      <c r="AJ699" s="12">
        <v>2042</v>
      </c>
      <c r="AK699" s="12">
        <v>2043</v>
      </c>
      <c r="AL699" s="12">
        <v>2044</v>
      </c>
      <c r="AM699" s="12">
        <v>2045</v>
      </c>
      <c r="AN699" s="12">
        <v>2046</v>
      </c>
      <c r="AO699" s="12">
        <v>2047</v>
      </c>
      <c r="AP699" s="12">
        <v>2048</v>
      </c>
      <c r="AQ699" s="12">
        <v>2049</v>
      </c>
      <c r="AR699" s="12">
        <v>2050</v>
      </c>
      <c r="AS699" s="12">
        <v>2051</v>
      </c>
      <c r="AT699" s="12">
        <v>2052</v>
      </c>
      <c r="AU699" s="12">
        <v>2053</v>
      </c>
      <c r="AV699" s="12">
        <v>2054</v>
      </c>
      <c r="AW699" s="12">
        <v>2055</v>
      </c>
      <c r="AX699" s="12">
        <v>2056</v>
      </c>
      <c r="AY699" s="12">
        <v>2057</v>
      </c>
      <c r="AZ699" s="12">
        <v>2058</v>
      </c>
      <c r="BA699" s="12">
        <v>2059</v>
      </c>
      <c r="BB699" s="12">
        <v>2060</v>
      </c>
      <c r="BC699" s="12">
        <v>2061</v>
      </c>
      <c r="BD699" s="12">
        <v>2062</v>
      </c>
      <c r="BE699" s="12">
        <v>2063</v>
      </c>
      <c r="BF699" s="12">
        <v>2064</v>
      </c>
      <c r="BG699" s="12">
        <v>2065</v>
      </c>
      <c r="BH699" s="12">
        <v>2066</v>
      </c>
      <c r="BI699" s="12">
        <v>2067</v>
      </c>
      <c r="BJ699" s="12">
        <v>2068</v>
      </c>
      <c r="BK699" s="12">
        <v>2069</v>
      </c>
      <c r="BL699" s="12">
        <v>2070</v>
      </c>
      <c r="BM699" s="12">
        <v>2071</v>
      </c>
      <c r="BN699" s="12">
        <v>2072</v>
      </c>
      <c r="BO699" s="12">
        <v>2073</v>
      </c>
      <c r="BP699" s="12">
        <v>2074</v>
      </c>
      <c r="BQ699" s="12">
        <v>2075</v>
      </c>
      <c r="BR699" s="12">
        <v>2076</v>
      </c>
      <c r="BS699" s="12">
        <v>2077</v>
      </c>
      <c r="BT699" s="12">
        <v>2078</v>
      </c>
      <c r="BU699" s="12">
        <v>2079</v>
      </c>
      <c r="BV699" s="12">
        <v>2080</v>
      </c>
      <c r="BW699" s="12">
        <v>2081</v>
      </c>
      <c r="BX699" s="12">
        <v>2082</v>
      </c>
      <c r="BY699" s="12">
        <v>2083</v>
      </c>
      <c r="BZ699" s="12">
        <v>2084</v>
      </c>
      <c r="CA699" s="12">
        <v>2085</v>
      </c>
      <c r="CB699" s="12">
        <v>2086</v>
      </c>
      <c r="CC699" s="12">
        <v>2087</v>
      </c>
      <c r="CD699" s="12">
        <v>2088</v>
      </c>
      <c r="CE699" s="12">
        <v>2089</v>
      </c>
      <c r="CF699" s="12">
        <v>2090</v>
      </c>
      <c r="CG699" s="12">
        <v>2091</v>
      </c>
      <c r="CH699" s="12">
        <v>2092</v>
      </c>
      <c r="CI699" s="12">
        <v>2093</v>
      </c>
      <c r="CJ699" s="12">
        <v>2094</v>
      </c>
      <c r="CK699" s="12">
        <v>2095</v>
      </c>
      <c r="CL699" s="12">
        <v>2096</v>
      </c>
      <c r="CM699" s="12">
        <v>2097</v>
      </c>
      <c r="CN699" s="12">
        <v>2098</v>
      </c>
      <c r="CO699" s="12">
        <v>2099</v>
      </c>
      <c r="CP699" s="12">
        <v>2100</v>
      </c>
      <c r="CQ699" s="97"/>
    </row>
    <row r="700" spans="1:95" ht="14.45" outlineLevel="2">
      <c r="A700" s="97"/>
      <c r="B700" s="97" t="s">
        <v>765</v>
      </c>
      <c r="C700" s="97"/>
      <c r="D700" s="144">
        <f>Discount_period_1_mask*Discount_rate_1+Discount_period_2_mask*Discount_rate_2+Discount_period_3_mask*Discount_rate_3</f>
        <v>0</v>
      </c>
      <c r="E700" s="144">
        <f t="shared" ref="E700:AI700" si="362">Discount_period_1_mask*Discount_rate_1+Discount_period_2_mask*Discount_rate_2+Discount_period_3_mask*Discount_rate_3</f>
        <v>3.5000000000000003E-2</v>
      </c>
      <c r="F700" s="144">
        <f t="shared" si="362"/>
        <v>3.5000000000000003E-2</v>
      </c>
      <c r="G700" s="144">
        <f t="shared" si="362"/>
        <v>3.5000000000000003E-2</v>
      </c>
      <c r="H700" s="144">
        <f t="shared" si="362"/>
        <v>3.5000000000000003E-2</v>
      </c>
      <c r="I700" s="144">
        <f t="shared" si="362"/>
        <v>3.5000000000000003E-2</v>
      </c>
      <c r="J700" s="144">
        <f t="shared" si="362"/>
        <v>3.5000000000000003E-2</v>
      </c>
      <c r="K700" s="144">
        <f t="shared" si="362"/>
        <v>3.5000000000000003E-2</v>
      </c>
      <c r="L700" s="144">
        <f t="shared" si="362"/>
        <v>3.5000000000000003E-2</v>
      </c>
      <c r="M700" s="144">
        <f t="shared" si="362"/>
        <v>3.5000000000000003E-2</v>
      </c>
      <c r="N700" s="144">
        <f t="shared" si="362"/>
        <v>3.5000000000000003E-2</v>
      </c>
      <c r="O700" s="144">
        <f t="shared" si="362"/>
        <v>3.5000000000000003E-2</v>
      </c>
      <c r="P700" s="144">
        <f t="shared" si="362"/>
        <v>3.5000000000000003E-2</v>
      </c>
      <c r="Q700" s="144">
        <f t="shared" si="362"/>
        <v>3.5000000000000003E-2</v>
      </c>
      <c r="R700" s="144">
        <f t="shared" si="362"/>
        <v>3.5000000000000003E-2</v>
      </c>
      <c r="S700" s="144">
        <f t="shared" si="362"/>
        <v>1.4999999999999999E-2</v>
      </c>
      <c r="T700" s="144">
        <f t="shared" si="362"/>
        <v>1.4999999999999999E-2</v>
      </c>
      <c r="U700" s="144">
        <f t="shared" si="362"/>
        <v>1.4999999999999999E-2</v>
      </c>
      <c r="V700" s="144">
        <f t="shared" si="362"/>
        <v>1.4999999999999999E-2</v>
      </c>
      <c r="W700" s="144">
        <f t="shared" si="362"/>
        <v>1.4999999999999999E-2</v>
      </c>
      <c r="X700" s="144">
        <f t="shared" si="362"/>
        <v>1.4999999999999999E-2</v>
      </c>
      <c r="Y700" s="144">
        <f t="shared" si="362"/>
        <v>1.4999999999999999E-2</v>
      </c>
      <c r="Z700" s="144">
        <f t="shared" si="362"/>
        <v>1.4999999999999999E-2</v>
      </c>
      <c r="AA700" s="144">
        <f t="shared" si="362"/>
        <v>1.4999999999999999E-2</v>
      </c>
      <c r="AB700" s="144">
        <f t="shared" si="362"/>
        <v>1.4999999999999999E-2</v>
      </c>
      <c r="AC700" s="144">
        <f t="shared" si="362"/>
        <v>1.4999999999999999E-2</v>
      </c>
      <c r="AD700" s="144">
        <f t="shared" si="362"/>
        <v>1.4999999999999999E-2</v>
      </c>
      <c r="AE700" s="144">
        <f t="shared" si="362"/>
        <v>1.4999999999999999E-2</v>
      </c>
      <c r="AF700" s="144">
        <f t="shared" si="362"/>
        <v>1.4999999999999999E-2</v>
      </c>
      <c r="AG700" s="144">
        <f t="shared" si="362"/>
        <v>1.4999999999999999E-2</v>
      </c>
      <c r="AH700" s="144">
        <f t="shared" si="362"/>
        <v>1.4999999999999999E-2</v>
      </c>
      <c r="AI700" s="144">
        <f t="shared" si="362"/>
        <v>1.4999999999999999E-2</v>
      </c>
      <c r="AJ700" s="144">
        <f t="shared" ref="AJ700:BO700" si="363">Discount_period_1_mask*Discount_rate_1+Discount_period_2_mask*Discount_rate_2+Discount_period_3_mask*Discount_rate_3</f>
        <v>1.4999999999999999E-2</v>
      </c>
      <c r="AK700" s="144">
        <f t="shared" si="363"/>
        <v>1.4999999999999999E-2</v>
      </c>
      <c r="AL700" s="144">
        <f t="shared" si="363"/>
        <v>1.4999999999999999E-2</v>
      </c>
      <c r="AM700" s="144">
        <f t="shared" si="363"/>
        <v>1.4999999999999999E-2</v>
      </c>
      <c r="AN700" s="144">
        <f t="shared" si="363"/>
        <v>1.4999999999999999E-2</v>
      </c>
      <c r="AO700" s="144">
        <f t="shared" si="363"/>
        <v>1.4999999999999999E-2</v>
      </c>
      <c r="AP700" s="144">
        <f t="shared" si="363"/>
        <v>1.4999999999999999E-2</v>
      </c>
      <c r="AQ700" s="144">
        <f t="shared" si="363"/>
        <v>1.4999999999999999E-2</v>
      </c>
      <c r="AR700" s="144">
        <f t="shared" si="363"/>
        <v>1.4999999999999999E-2</v>
      </c>
      <c r="AS700" s="144">
        <f t="shared" si="363"/>
        <v>1.4999999999999999E-2</v>
      </c>
      <c r="AT700" s="144">
        <f t="shared" si="363"/>
        <v>1.4999999999999999E-2</v>
      </c>
      <c r="AU700" s="144">
        <f t="shared" si="363"/>
        <v>1.4999999999999999E-2</v>
      </c>
      <c r="AV700" s="144">
        <f t="shared" si="363"/>
        <v>1.4999999999999999E-2</v>
      </c>
      <c r="AW700" s="144">
        <f t="shared" si="363"/>
        <v>1.29E-2</v>
      </c>
      <c r="AX700" s="144">
        <f t="shared" si="363"/>
        <v>1.29E-2</v>
      </c>
      <c r="AY700" s="144">
        <f t="shared" si="363"/>
        <v>1.29E-2</v>
      </c>
      <c r="AZ700" s="144">
        <f t="shared" si="363"/>
        <v>1.29E-2</v>
      </c>
      <c r="BA700" s="144">
        <f t="shared" si="363"/>
        <v>1.29E-2</v>
      </c>
      <c r="BB700" s="144">
        <f t="shared" si="363"/>
        <v>1.29E-2</v>
      </c>
      <c r="BC700" s="144">
        <f t="shared" si="363"/>
        <v>1.29E-2</v>
      </c>
      <c r="BD700" s="144">
        <f t="shared" si="363"/>
        <v>1.29E-2</v>
      </c>
      <c r="BE700" s="144">
        <f t="shared" si="363"/>
        <v>1.29E-2</v>
      </c>
      <c r="BF700" s="144">
        <f t="shared" si="363"/>
        <v>1.29E-2</v>
      </c>
      <c r="BG700" s="144">
        <f t="shared" si="363"/>
        <v>1.29E-2</v>
      </c>
      <c r="BH700" s="144">
        <f t="shared" si="363"/>
        <v>1.29E-2</v>
      </c>
      <c r="BI700" s="144">
        <f t="shared" si="363"/>
        <v>1.29E-2</v>
      </c>
      <c r="BJ700" s="144">
        <f t="shared" si="363"/>
        <v>1.29E-2</v>
      </c>
      <c r="BK700" s="144">
        <f t="shared" si="363"/>
        <v>1.29E-2</v>
      </c>
      <c r="BL700" s="144">
        <f t="shared" si="363"/>
        <v>1.29E-2</v>
      </c>
      <c r="BM700" s="144">
        <f t="shared" si="363"/>
        <v>1.29E-2</v>
      </c>
      <c r="BN700" s="144">
        <f t="shared" si="363"/>
        <v>1.29E-2</v>
      </c>
      <c r="BO700" s="144">
        <f t="shared" si="363"/>
        <v>1.29E-2</v>
      </c>
      <c r="BP700" s="144">
        <f t="shared" ref="BP700:CP700" si="364">Discount_period_1_mask*Discount_rate_1+Discount_period_2_mask*Discount_rate_2+Discount_period_3_mask*Discount_rate_3</f>
        <v>1.29E-2</v>
      </c>
      <c r="BQ700" s="144">
        <f t="shared" si="364"/>
        <v>1.29E-2</v>
      </c>
      <c r="BR700" s="144">
        <f t="shared" si="364"/>
        <v>1.29E-2</v>
      </c>
      <c r="BS700" s="144">
        <f t="shared" si="364"/>
        <v>1.29E-2</v>
      </c>
      <c r="BT700" s="144">
        <f t="shared" si="364"/>
        <v>1.29E-2</v>
      </c>
      <c r="BU700" s="144">
        <f t="shared" si="364"/>
        <v>1.29E-2</v>
      </c>
      <c r="BV700" s="144">
        <f t="shared" si="364"/>
        <v>1.29E-2</v>
      </c>
      <c r="BW700" s="144">
        <f t="shared" si="364"/>
        <v>1.29E-2</v>
      </c>
      <c r="BX700" s="144">
        <f t="shared" si="364"/>
        <v>1.29E-2</v>
      </c>
      <c r="BY700" s="144">
        <f t="shared" si="364"/>
        <v>1.29E-2</v>
      </c>
      <c r="BZ700" s="144">
        <f t="shared" si="364"/>
        <v>1.29E-2</v>
      </c>
      <c r="CA700" s="144">
        <f t="shared" si="364"/>
        <v>1.29E-2</v>
      </c>
      <c r="CB700" s="144">
        <f t="shared" si="364"/>
        <v>1.29E-2</v>
      </c>
      <c r="CC700" s="144">
        <f t="shared" si="364"/>
        <v>1.29E-2</v>
      </c>
      <c r="CD700" s="144">
        <f t="shared" si="364"/>
        <v>1.29E-2</v>
      </c>
      <c r="CE700" s="144">
        <f t="shared" si="364"/>
        <v>1.29E-2</v>
      </c>
      <c r="CF700" s="144">
        <f t="shared" si="364"/>
        <v>1.29E-2</v>
      </c>
      <c r="CG700" s="144">
        <f t="shared" si="364"/>
        <v>1.29E-2</v>
      </c>
      <c r="CH700" s="144">
        <f t="shared" si="364"/>
        <v>1.29E-2</v>
      </c>
      <c r="CI700" s="144">
        <f t="shared" si="364"/>
        <v>1.29E-2</v>
      </c>
      <c r="CJ700" s="144">
        <f t="shared" si="364"/>
        <v>1.29E-2</v>
      </c>
      <c r="CK700" s="144">
        <f t="shared" si="364"/>
        <v>1.29E-2</v>
      </c>
      <c r="CL700" s="144">
        <f t="shared" si="364"/>
        <v>1.29E-2</v>
      </c>
      <c r="CM700" s="144">
        <f t="shared" si="364"/>
        <v>1.29E-2</v>
      </c>
      <c r="CN700" s="144">
        <f t="shared" si="364"/>
        <v>1.29E-2</v>
      </c>
      <c r="CO700" s="144">
        <f t="shared" si="364"/>
        <v>1.29E-2</v>
      </c>
      <c r="CP700" s="144">
        <f t="shared" si="364"/>
        <v>0</v>
      </c>
      <c r="CQ700" s="3" t="s">
        <v>766</v>
      </c>
    </row>
    <row r="701" spans="1:95" ht="14.45" outlineLevel="2">
      <c r="A701" s="97"/>
      <c r="B701" s="97" t="s">
        <v>767</v>
      </c>
      <c r="C701" s="97">
        <v>1</v>
      </c>
      <c r="D701" s="114">
        <f>C701*(1+Discount_rate_profile)</f>
        <v>1</v>
      </c>
      <c r="E701" s="114">
        <f t="shared" ref="E701:AI701" si="365">D701*(1+Discount_rate_profile)</f>
        <v>1.0349999999999999</v>
      </c>
      <c r="F701" s="114">
        <f t="shared" si="365"/>
        <v>1.0712249999999999</v>
      </c>
      <c r="G701" s="114">
        <f t="shared" si="365"/>
        <v>1.1087178749999997</v>
      </c>
      <c r="H701" s="114">
        <f t="shared" si="365"/>
        <v>1.1475230006249997</v>
      </c>
      <c r="I701" s="114">
        <f t="shared" si="365"/>
        <v>1.1876863056468745</v>
      </c>
      <c r="J701" s="114">
        <f t="shared" si="365"/>
        <v>1.229255326344515</v>
      </c>
      <c r="K701" s="114">
        <f t="shared" si="365"/>
        <v>1.2722792627665729</v>
      </c>
      <c r="L701" s="114">
        <f t="shared" si="365"/>
        <v>1.3168090369634029</v>
      </c>
      <c r="M701" s="114">
        <f t="shared" si="365"/>
        <v>1.3628973532571218</v>
      </c>
      <c r="N701" s="114">
        <f t="shared" si="365"/>
        <v>1.410598760621121</v>
      </c>
      <c r="O701" s="114">
        <f t="shared" si="365"/>
        <v>1.4599697172428601</v>
      </c>
      <c r="P701" s="114">
        <f t="shared" si="365"/>
        <v>1.5110686573463601</v>
      </c>
      <c r="Q701" s="114">
        <f t="shared" si="365"/>
        <v>1.5639560603534826</v>
      </c>
      <c r="R701" s="114">
        <f t="shared" si="365"/>
        <v>1.6186945224658542</v>
      </c>
      <c r="S701" s="114">
        <f t="shared" si="365"/>
        <v>1.642974940302842</v>
      </c>
      <c r="T701" s="114">
        <f t="shared" si="365"/>
        <v>1.6676195644073843</v>
      </c>
      <c r="U701" s="114">
        <f t="shared" si="365"/>
        <v>1.692633857873495</v>
      </c>
      <c r="V701" s="114">
        <f t="shared" si="365"/>
        <v>1.7180233657415973</v>
      </c>
      <c r="W701" s="114">
        <f t="shared" si="365"/>
        <v>1.7437937162277211</v>
      </c>
      <c r="X701" s="114">
        <f t="shared" si="365"/>
        <v>1.7699506219711367</v>
      </c>
      <c r="Y701" s="114">
        <f t="shared" si="365"/>
        <v>1.7964998813007036</v>
      </c>
      <c r="Z701" s="114">
        <f t="shared" si="365"/>
        <v>1.823447379520214</v>
      </c>
      <c r="AA701" s="114">
        <f t="shared" si="365"/>
        <v>1.8507990902130169</v>
      </c>
      <c r="AB701" s="114">
        <f t="shared" si="365"/>
        <v>1.878561076566212</v>
      </c>
      <c r="AC701" s="114">
        <f t="shared" si="365"/>
        <v>1.906739492714705</v>
      </c>
      <c r="AD701" s="114">
        <f t="shared" si="365"/>
        <v>1.9353405851054253</v>
      </c>
      <c r="AE701" s="114">
        <f t="shared" si="365"/>
        <v>1.9643706938820065</v>
      </c>
      <c r="AF701" s="114">
        <f t="shared" si="365"/>
        <v>1.9938362542902364</v>
      </c>
      <c r="AG701" s="114">
        <f t="shared" si="365"/>
        <v>2.0237437981045896</v>
      </c>
      <c r="AH701" s="114">
        <f t="shared" si="365"/>
        <v>2.0540999550761581</v>
      </c>
      <c r="AI701" s="114">
        <f t="shared" si="365"/>
        <v>2.0849114544023002</v>
      </c>
      <c r="AJ701" s="114">
        <f t="shared" ref="AJ701:BO701" si="366">AI701*(1+Discount_rate_profile)</f>
        <v>2.1161851262183347</v>
      </c>
      <c r="AK701" s="114">
        <f t="shared" si="366"/>
        <v>2.1479279031116096</v>
      </c>
      <c r="AL701" s="114">
        <f t="shared" si="366"/>
        <v>2.1801468216582838</v>
      </c>
      <c r="AM701" s="114">
        <f t="shared" si="366"/>
        <v>2.212849023983158</v>
      </c>
      <c r="AN701" s="114">
        <f t="shared" si="366"/>
        <v>2.246041759342905</v>
      </c>
      <c r="AO701" s="114">
        <f t="shared" si="366"/>
        <v>2.2797323857330483</v>
      </c>
      <c r="AP701" s="114">
        <f t="shared" si="366"/>
        <v>2.3139283715190437</v>
      </c>
      <c r="AQ701" s="114">
        <f t="shared" si="366"/>
        <v>2.348637297091829</v>
      </c>
      <c r="AR701" s="114">
        <f t="shared" si="366"/>
        <v>2.3838668565482064</v>
      </c>
      <c r="AS701" s="114">
        <f t="shared" si="366"/>
        <v>2.4196248593964294</v>
      </c>
      <c r="AT701" s="114">
        <f t="shared" si="366"/>
        <v>2.4559192322873757</v>
      </c>
      <c r="AU701" s="114">
        <f t="shared" si="366"/>
        <v>2.492758020771686</v>
      </c>
      <c r="AV701" s="114">
        <f t="shared" si="366"/>
        <v>2.5301493910832611</v>
      </c>
      <c r="AW701" s="114">
        <f t="shared" si="366"/>
        <v>2.5627883182282347</v>
      </c>
      <c r="AX701" s="114">
        <f t="shared" si="366"/>
        <v>2.5958482875333786</v>
      </c>
      <c r="AY701" s="114">
        <f t="shared" si="366"/>
        <v>2.6293347304425589</v>
      </c>
      <c r="AZ701" s="114">
        <f t="shared" si="366"/>
        <v>2.6632531484652677</v>
      </c>
      <c r="BA701" s="114">
        <f t="shared" si="366"/>
        <v>2.6976091140804694</v>
      </c>
      <c r="BB701" s="114">
        <f t="shared" si="366"/>
        <v>2.7324082716521074</v>
      </c>
      <c r="BC701" s="114">
        <f t="shared" si="366"/>
        <v>2.7676563383564194</v>
      </c>
      <c r="BD701" s="114">
        <f t="shared" si="366"/>
        <v>2.803359105121217</v>
      </c>
      <c r="BE701" s="114">
        <f t="shared" si="366"/>
        <v>2.8395224375772803</v>
      </c>
      <c r="BF701" s="114">
        <f t="shared" si="366"/>
        <v>2.8761522770220269</v>
      </c>
      <c r="BG701" s="114">
        <f t="shared" si="366"/>
        <v>2.9132546413956106</v>
      </c>
      <c r="BH701" s="114">
        <f t="shared" si="366"/>
        <v>2.9508356262696136</v>
      </c>
      <c r="BI701" s="114">
        <f t="shared" si="366"/>
        <v>2.9889014058484915</v>
      </c>
      <c r="BJ701" s="114">
        <f t="shared" si="366"/>
        <v>3.0274582339839369</v>
      </c>
      <c r="BK701" s="114">
        <f t="shared" si="366"/>
        <v>3.0665124452023296</v>
      </c>
      <c r="BL701" s="114">
        <f t="shared" si="366"/>
        <v>3.1060704557454395</v>
      </c>
      <c r="BM701" s="114">
        <f t="shared" si="366"/>
        <v>3.1461387646245553</v>
      </c>
      <c r="BN701" s="114">
        <f t="shared" si="366"/>
        <v>3.1867239546882118</v>
      </c>
      <c r="BO701" s="114">
        <f t="shared" si="366"/>
        <v>3.2278326937036894</v>
      </c>
      <c r="BP701" s="114">
        <f t="shared" ref="BP701:CP701" si="367">BO701*(1+Discount_rate_profile)</f>
        <v>3.2694717354524667</v>
      </c>
      <c r="BQ701" s="114">
        <f t="shared" si="367"/>
        <v>3.3116479208398033</v>
      </c>
      <c r="BR701" s="114">
        <f t="shared" si="367"/>
        <v>3.3543681790186364</v>
      </c>
      <c r="BS701" s="114">
        <f t="shared" si="367"/>
        <v>3.3976395285279763</v>
      </c>
      <c r="BT701" s="114">
        <f t="shared" si="367"/>
        <v>3.4414690784459872</v>
      </c>
      <c r="BU701" s="114">
        <f t="shared" si="367"/>
        <v>3.4858640295579399</v>
      </c>
      <c r="BV701" s="114">
        <f t="shared" si="367"/>
        <v>3.530831675539237</v>
      </c>
      <c r="BW701" s="114">
        <f t="shared" si="367"/>
        <v>3.5763794041536929</v>
      </c>
      <c r="BX701" s="114">
        <f t="shared" si="367"/>
        <v>3.6225146984672754</v>
      </c>
      <c r="BY701" s="114">
        <f t="shared" si="367"/>
        <v>3.6692451380775029</v>
      </c>
      <c r="BZ701" s="114">
        <f t="shared" si="367"/>
        <v>3.7165784003587023</v>
      </c>
      <c r="CA701" s="114">
        <f t="shared" si="367"/>
        <v>3.7645222617233292</v>
      </c>
      <c r="CB701" s="114">
        <f t="shared" si="367"/>
        <v>3.8130845988995596</v>
      </c>
      <c r="CC701" s="114">
        <f t="shared" si="367"/>
        <v>3.8622733902253636</v>
      </c>
      <c r="CD701" s="114">
        <f t="shared" si="367"/>
        <v>3.9120967169592706</v>
      </c>
      <c r="CE701" s="114">
        <f t="shared" si="367"/>
        <v>3.962562764608045</v>
      </c>
      <c r="CF701" s="114">
        <f t="shared" si="367"/>
        <v>4.0136798242714882</v>
      </c>
      <c r="CG701" s="114">
        <f t="shared" si="367"/>
        <v>4.0654562940045897</v>
      </c>
      <c r="CH701" s="114">
        <f t="shared" si="367"/>
        <v>4.1179006801972484</v>
      </c>
      <c r="CI701" s="114">
        <f t="shared" si="367"/>
        <v>4.1710215989717927</v>
      </c>
      <c r="CJ701" s="114">
        <f t="shared" si="367"/>
        <v>4.2248277775985281</v>
      </c>
      <c r="CK701" s="114">
        <f t="shared" si="367"/>
        <v>4.2793280559295486</v>
      </c>
      <c r="CL701" s="114">
        <f t="shared" si="367"/>
        <v>4.3345313878510394</v>
      </c>
      <c r="CM701" s="114">
        <f t="shared" si="367"/>
        <v>4.3904468427543177</v>
      </c>
      <c r="CN701" s="114">
        <f t="shared" si="367"/>
        <v>4.4470836070258484</v>
      </c>
      <c r="CO701" s="114">
        <f t="shared" si="367"/>
        <v>4.5044509855564812</v>
      </c>
      <c r="CP701" s="114">
        <f t="shared" si="367"/>
        <v>4.5044509855564812</v>
      </c>
      <c r="CQ701" s="3" t="s">
        <v>768</v>
      </c>
    </row>
    <row r="702" spans="1:95" ht="14.45" outlineLevel="2">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c r="AA702" s="97"/>
      <c r="AB702" s="97"/>
      <c r="AC702" s="97"/>
      <c r="AD702" s="97"/>
      <c r="AE702" s="97"/>
      <c r="AF702" s="97"/>
      <c r="AG702" s="97"/>
      <c r="AH702" s="97"/>
      <c r="AI702" s="97"/>
      <c r="AJ702" s="97"/>
      <c r="AK702" s="97"/>
      <c r="AL702" s="97"/>
      <c r="AM702" s="97"/>
      <c r="AN702" s="97"/>
      <c r="AO702" s="97"/>
      <c r="AP702" s="97"/>
      <c r="AQ702" s="97"/>
      <c r="AR702" s="97"/>
      <c r="AS702" s="97"/>
      <c r="AT702" s="97"/>
      <c r="AU702" s="97"/>
      <c r="AV702" s="97"/>
      <c r="AW702" s="97"/>
      <c r="AX702" s="97"/>
      <c r="AY702" s="97"/>
      <c r="AZ702" s="97"/>
      <c r="BA702" s="97"/>
      <c r="BB702" s="97"/>
      <c r="BC702" s="97"/>
      <c r="BD702" s="97"/>
      <c r="BE702" s="97"/>
      <c r="BF702" s="97"/>
      <c r="BG702" s="97"/>
      <c r="BH702" s="97"/>
      <c r="BI702" s="97"/>
      <c r="BJ702" s="97"/>
      <c r="BK702" s="97"/>
      <c r="BL702" s="97"/>
      <c r="BM702" s="97"/>
      <c r="BN702" s="97"/>
      <c r="BO702" s="97"/>
      <c r="BP702" s="97"/>
      <c r="BQ702" s="97"/>
      <c r="BR702" s="97"/>
      <c r="BS702" s="97"/>
      <c r="BT702" s="97"/>
      <c r="BU702" s="97"/>
      <c r="BV702" s="97"/>
      <c r="BW702" s="97"/>
      <c r="BX702" s="97"/>
      <c r="BY702" s="97"/>
      <c r="BZ702" s="97"/>
      <c r="CA702" s="97"/>
      <c r="CB702" s="97"/>
      <c r="CC702" s="97"/>
      <c r="CD702" s="97"/>
      <c r="CE702" s="97"/>
      <c r="CF702" s="97"/>
      <c r="CG702" s="97"/>
      <c r="CH702" s="97"/>
      <c r="CI702" s="97"/>
      <c r="CJ702" s="97"/>
      <c r="CK702" s="97"/>
      <c r="CL702" s="97"/>
      <c r="CM702" s="97"/>
      <c r="CN702" s="97"/>
      <c r="CO702" s="97"/>
      <c r="CP702" s="97"/>
      <c r="CQ702" s="97"/>
    </row>
    <row r="703" spans="1:95" s="5" customFormat="1" ht="15.6" outlineLevel="2">
      <c r="B703" s="5" t="s">
        <v>769</v>
      </c>
    </row>
    <row r="704" spans="1:95" ht="14.45" outlineLevel="2">
      <c r="A704" s="97"/>
      <c r="B704" s="3" t="s">
        <v>770</v>
      </c>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c r="AA704" s="97"/>
      <c r="AB704" s="97"/>
      <c r="AC704" s="97"/>
      <c r="AD704" s="97"/>
      <c r="AE704" s="97"/>
      <c r="AF704" s="97"/>
      <c r="AG704" s="97"/>
      <c r="AH704" s="97"/>
      <c r="AI704" s="97"/>
      <c r="AJ704" s="97"/>
      <c r="AK704" s="97"/>
      <c r="AL704" s="97"/>
      <c r="AM704" s="97"/>
      <c r="AN704" s="97"/>
      <c r="AO704" s="97"/>
      <c r="AP704" s="97"/>
      <c r="AQ704" s="97"/>
      <c r="AR704" s="97"/>
      <c r="AS704" s="97"/>
      <c r="AT704" s="97"/>
      <c r="AU704" s="97"/>
      <c r="AV704" s="97"/>
      <c r="AW704" s="97"/>
      <c r="AX704" s="97"/>
      <c r="AY704" s="97"/>
      <c r="AZ704" s="97"/>
      <c r="BA704" s="97"/>
      <c r="BB704" s="97"/>
      <c r="BC704" s="97"/>
      <c r="BD704" s="97"/>
      <c r="BE704" s="97"/>
      <c r="BF704" s="97"/>
      <c r="BG704" s="97"/>
      <c r="BH704" s="97"/>
      <c r="BI704" s="97"/>
      <c r="BJ704" s="97"/>
      <c r="BK704" s="97"/>
      <c r="BL704" s="97"/>
      <c r="BM704" s="97"/>
      <c r="BN704" s="97"/>
      <c r="BO704" s="97"/>
      <c r="BP704" s="97"/>
      <c r="BQ704" s="97"/>
      <c r="BR704" s="97"/>
      <c r="BS704" s="97"/>
      <c r="BT704" s="97"/>
      <c r="BU704" s="97"/>
      <c r="BV704" s="97"/>
      <c r="BW704" s="97"/>
      <c r="BX704" s="97"/>
      <c r="BY704" s="97"/>
      <c r="BZ704" s="97"/>
      <c r="CA704" s="97"/>
      <c r="CB704" s="97"/>
      <c r="CC704" s="97"/>
      <c r="CD704" s="97"/>
      <c r="CE704" s="97"/>
      <c r="CF704" s="97"/>
      <c r="CG704" s="97"/>
      <c r="CH704" s="97"/>
      <c r="CI704" s="97"/>
      <c r="CJ704" s="97"/>
      <c r="CK704" s="97"/>
      <c r="CL704" s="97"/>
      <c r="CM704" s="97"/>
      <c r="CN704" s="97"/>
      <c r="CO704" s="97"/>
      <c r="CP704" s="97"/>
      <c r="CQ704" s="97"/>
    </row>
    <row r="705" spans="1:95" ht="14.45" outlineLevel="2">
      <c r="A705" s="97"/>
      <c r="B705" s="3"/>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c r="AA705" s="97"/>
      <c r="AB705" s="97"/>
      <c r="AC705" s="97"/>
      <c r="AD705" s="97"/>
      <c r="AE705" s="97"/>
      <c r="AF705" s="97"/>
      <c r="AG705" s="97"/>
      <c r="AH705" s="97"/>
      <c r="AI705" s="97"/>
      <c r="AJ705" s="97"/>
      <c r="AK705" s="97"/>
      <c r="AL705" s="97"/>
      <c r="AM705" s="97"/>
      <c r="AN705" s="97"/>
      <c r="AO705" s="97"/>
      <c r="AP705" s="97"/>
      <c r="AQ705" s="97"/>
      <c r="AR705" s="97"/>
      <c r="AS705" s="97"/>
      <c r="AT705" s="97"/>
      <c r="AU705" s="97"/>
      <c r="AV705" s="97"/>
      <c r="AW705" s="97"/>
      <c r="AX705" s="97"/>
      <c r="AY705" s="97"/>
      <c r="AZ705" s="97"/>
      <c r="BA705" s="97"/>
      <c r="BB705" s="97"/>
      <c r="BC705" s="97"/>
      <c r="BD705" s="97"/>
      <c r="BE705" s="97"/>
      <c r="BF705" s="97"/>
      <c r="BG705" s="97"/>
      <c r="BH705" s="97"/>
      <c r="BI705" s="97"/>
      <c r="BJ705" s="97"/>
      <c r="BK705" s="97"/>
      <c r="BL705" s="97"/>
      <c r="BM705" s="97"/>
      <c r="BN705" s="97"/>
      <c r="BO705" s="97"/>
      <c r="BP705" s="97"/>
      <c r="BQ705" s="97"/>
      <c r="BR705" s="97"/>
      <c r="BS705" s="97"/>
      <c r="BT705" s="97"/>
      <c r="BU705" s="97"/>
      <c r="BV705" s="97"/>
      <c r="BW705" s="97"/>
      <c r="BX705" s="97"/>
      <c r="BY705" s="97"/>
      <c r="BZ705" s="97"/>
      <c r="CA705" s="97"/>
      <c r="CB705" s="97"/>
      <c r="CC705" s="97"/>
      <c r="CD705" s="97"/>
      <c r="CE705" s="97"/>
      <c r="CF705" s="97"/>
      <c r="CG705" s="97"/>
      <c r="CH705" s="97"/>
      <c r="CI705" s="97"/>
      <c r="CJ705" s="97"/>
      <c r="CK705" s="97"/>
      <c r="CL705" s="97"/>
      <c r="CM705" s="97"/>
      <c r="CN705" s="97"/>
      <c r="CO705" s="97"/>
      <c r="CP705" s="97"/>
      <c r="CQ705" s="97"/>
    </row>
    <row r="706" spans="1:95" ht="14.45" outlineLevel="2">
      <c r="A706" s="97"/>
      <c r="B706" s="97"/>
      <c r="C706" s="97"/>
      <c r="D706" s="12">
        <v>2010</v>
      </c>
      <c r="E706" s="12">
        <v>2011</v>
      </c>
      <c r="F706" s="12">
        <v>2012</v>
      </c>
      <c r="G706" s="12">
        <v>2013</v>
      </c>
      <c r="H706" s="12">
        <v>2014</v>
      </c>
      <c r="I706" s="12">
        <v>2015</v>
      </c>
      <c r="J706" s="12">
        <v>2016</v>
      </c>
      <c r="K706" s="12">
        <v>2017</v>
      </c>
      <c r="L706" s="12">
        <v>2018</v>
      </c>
      <c r="M706" s="12">
        <v>2019</v>
      </c>
      <c r="N706" s="12">
        <v>2020</v>
      </c>
      <c r="O706" s="12">
        <v>2021</v>
      </c>
      <c r="P706" s="12">
        <v>2022</v>
      </c>
      <c r="Q706" s="12">
        <v>2023</v>
      </c>
      <c r="R706" s="12">
        <v>2024</v>
      </c>
      <c r="S706" s="12">
        <v>2025</v>
      </c>
      <c r="T706" s="12">
        <v>2026</v>
      </c>
      <c r="U706" s="12">
        <v>2027</v>
      </c>
      <c r="V706" s="12">
        <v>2028</v>
      </c>
      <c r="W706" s="12">
        <v>2029</v>
      </c>
      <c r="X706" s="12">
        <v>2030</v>
      </c>
      <c r="Y706" s="12">
        <v>2031</v>
      </c>
      <c r="Z706" s="12">
        <v>2032</v>
      </c>
      <c r="AA706" s="12">
        <v>2033</v>
      </c>
      <c r="AB706" s="12">
        <v>2034</v>
      </c>
      <c r="AC706" s="12">
        <v>2035</v>
      </c>
      <c r="AD706" s="12">
        <v>2036</v>
      </c>
      <c r="AE706" s="12">
        <v>2037</v>
      </c>
      <c r="AF706" s="12">
        <v>2038</v>
      </c>
      <c r="AG706" s="12">
        <v>2039</v>
      </c>
      <c r="AH706" s="12">
        <v>2040</v>
      </c>
      <c r="AI706" s="12">
        <v>2041</v>
      </c>
      <c r="AJ706" s="12">
        <v>2042</v>
      </c>
      <c r="AK706" s="12">
        <v>2043</v>
      </c>
      <c r="AL706" s="12">
        <v>2044</v>
      </c>
      <c r="AM706" s="12">
        <v>2045</v>
      </c>
      <c r="AN706" s="12">
        <v>2046</v>
      </c>
      <c r="AO706" s="12">
        <v>2047</v>
      </c>
      <c r="AP706" s="12">
        <v>2048</v>
      </c>
      <c r="AQ706" s="12">
        <v>2049</v>
      </c>
      <c r="AR706" s="12">
        <v>2050</v>
      </c>
      <c r="AS706" s="12">
        <v>2051</v>
      </c>
      <c r="AT706" s="12">
        <v>2052</v>
      </c>
      <c r="AU706" s="12">
        <v>2053</v>
      </c>
      <c r="AV706" s="12">
        <v>2054</v>
      </c>
      <c r="AW706" s="12">
        <v>2055</v>
      </c>
      <c r="AX706" s="12">
        <v>2056</v>
      </c>
      <c r="AY706" s="12">
        <v>2057</v>
      </c>
      <c r="AZ706" s="12">
        <v>2058</v>
      </c>
      <c r="BA706" s="12">
        <v>2059</v>
      </c>
      <c r="BB706" s="12">
        <v>2060</v>
      </c>
      <c r="BC706" s="12">
        <v>2061</v>
      </c>
      <c r="BD706" s="12">
        <v>2062</v>
      </c>
      <c r="BE706" s="12">
        <v>2063</v>
      </c>
      <c r="BF706" s="12">
        <v>2064</v>
      </c>
      <c r="BG706" s="12">
        <v>2065</v>
      </c>
      <c r="BH706" s="12">
        <v>2066</v>
      </c>
      <c r="BI706" s="12">
        <v>2067</v>
      </c>
      <c r="BJ706" s="12">
        <v>2068</v>
      </c>
      <c r="BK706" s="12">
        <v>2069</v>
      </c>
      <c r="BL706" s="12">
        <v>2070</v>
      </c>
      <c r="BM706" s="12">
        <v>2071</v>
      </c>
      <c r="BN706" s="12">
        <v>2072</v>
      </c>
      <c r="BO706" s="12">
        <v>2073</v>
      </c>
      <c r="BP706" s="12">
        <v>2074</v>
      </c>
      <c r="BQ706" s="12">
        <v>2075</v>
      </c>
      <c r="BR706" s="12">
        <v>2076</v>
      </c>
      <c r="BS706" s="12">
        <v>2077</v>
      </c>
      <c r="BT706" s="12">
        <v>2078</v>
      </c>
      <c r="BU706" s="12">
        <v>2079</v>
      </c>
      <c r="BV706" s="12">
        <v>2080</v>
      </c>
      <c r="BW706" s="12">
        <v>2081</v>
      </c>
      <c r="BX706" s="12">
        <v>2082</v>
      </c>
      <c r="BY706" s="12">
        <v>2083</v>
      </c>
      <c r="BZ706" s="12">
        <v>2084</v>
      </c>
      <c r="CA706" s="12">
        <v>2085</v>
      </c>
      <c r="CB706" s="12">
        <v>2086</v>
      </c>
      <c r="CC706" s="12">
        <v>2087</v>
      </c>
      <c r="CD706" s="12">
        <v>2088</v>
      </c>
      <c r="CE706" s="12">
        <v>2089</v>
      </c>
      <c r="CF706" s="12">
        <v>2090</v>
      </c>
      <c r="CG706" s="12">
        <v>2091</v>
      </c>
      <c r="CH706" s="12">
        <v>2092</v>
      </c>
      <c r="CI706" s="12">
        <v>2093</v>
      </c>
      <c r="CJ706" s="12">
        <v>2094</v>
      </c>
      <c r="CK706" s="12">
        <v>2095</v>
      </c>
      <c r="CL706" s="12">
        <v>2096</v>
      </c>
      <c r="CM706" s="12">
        <v>2097</v>
      </c>
      <c r="CN706" s="12">
        <v>2098</v>
      </c>
      <c r="CO706" s="12">
        <v>2099</v>
      </c>
      <c r="CP706" s="12">
        <v>2100</v>
      </c>
      <c r="CQ706" s="97"/>
    </row>
    <row r="707" spans="1:95" ht="14.45" outlineLevel="2">
      <c r="A707" s="97"/>
      <c r="B707" s="97" t="s">
        <v>163</v>
      </c>
      <c r="C707" s="97"/>
      <c r="D707" s="111">
        <f t="shared" ref="D707:AI707" si="368">Annual_sleep_disturbance_valuation_hh_adj/Discount_factor</f>
        <v>0</v>
      </c>
      <c r="E707" s="111">
        <f t="shared" si="368"/>
        <v>0</v>
      </c>
      <c r="F707" s="111">
        <f t="shared" si="368"/>
        <v>0</v>
      </c>
      <c r="G707" s="111">
        <f t="shared" si="368"/>
        <v>0</v>
      </c>
      <c r="H707" s="111">
        <f t="shared" si="368"/>
        <v>0</v>
      </c>
      <c r="I707" s="111">
        <f>Annual_sleep_disturbance_valuation_hh_adj/Discount_factor</f>
        <v>0</v>
      </c>
      <c r="J707" s="111">
        <f t="shared" si="368"/>
        <v>0</v>
      </c>
      <c r="K707" s="111">
        <f t="shared" si="368"/>
        <v>0</v>
      </c>
      <c r="L707" s="111">
        <f t="shared" si="368"/>
        <v>0</v>
      </c>
      <c r="M707" s="111">
        <f t="shared" si="368"/>
        <v>0</v>
      </c>
      <c r="N707" s="111">
        <f t="shared" si="368"/>
        <v>0</v>
      </c>
      <c r="O707" s="111">
        <f t="shared" si="368"/>
        <v>0</v>
      </c>
      <c r="P707" s="111">
        <f t="shared" si="368"/>
        <v>0</v>
      </c>
      <c r="Q707" s="111">
        <f t="shared" si="368"/>
        <v>0</v>
      </c>
      <c r="R707" s="111">
        <f t="shared" si="368"/>
        <v>0</v>
      </c>
      <c r="S707" s="111">
        <f t="shared" si="368"/>
        <v>0</v>
      </c>
      <c r="T707" s="111">
        <f t="shared" si="368"/>
        <v>0</v>
      </c>
      <c r="U707" s="111">
        <f t="shared" si="368"/>
        <v>0</v>
      </c>
      <c r="V707" s="111">
        <f t="shared" si="368"/>
        <v>0</v>
      </c>
      <c r="W707" s="111">
        <f t="shared" si="368"/>
        <v>0</v>
      </c>
      <c r="X707" s="111">
        <f t="shared" si="368"/>
        <v>0</v>
      </c>
      <c r="Y707" s="111">
        <f t="shared" si="368"/>
        <v>0</v>
      </c>
      <c r="Z707" s="111">
        <f t="shared" si="368"/>
        <v>0</v>
      </c>
      <c r="AA707" s="111">
        <f t="shared" si="368"/>
        <v>0</v>
      </c>
      <c r="AB707" s="111">
        <f t="shared" si="368"/>
        <v>0</v>
      </c>
      <c r="AC707" s="111">
        <f t="shared" si="368"/>
        <v>0</v>
      </c>
      <c r="AD707" s="111">
        <f t="shared" si="368"/>
        <v>0</v>
      </c>
      <c r="AE707" s="111">
        <f t="shared" si="368"/>
        <v>0</v>
      </c>
      <c r="AF707" s="111">
        <f t="shared" si="368"/>
        <v>0</v>
      </c>
      <c r="AG707" s="111">
        <f t="shared" si="368"/>
        <v>0</v>
      </c>
      <c r="AH707" s="111">
        <f t="shared" si="368"/>
        <v>0</v>
      </c>
      <c r="AI707" s="111">
        <f t="shared" si="368"/>
        <v>0</v>
      </c>
      <c r="AJ707" s="111">
        <f t="shared" ref="AJ707:BO707" si="369">Annual_sleep_disturbance_valuation_hh_adj/Discount_factor</f>
        <v>0</v>
      </c>
      <c r="AK707" s="111">
        <f t="shared" si="369"/>
        <v>0</v>
      </c>
      <c r="AL707" s="111">
        <f t="shared" si="369"/>
        <v>0</v>
      </c>
      <c r="AM707" s="111">
        <f t="shared" si="369"/>
        <v>0</v>
      </c>
      <c r="AN707" s="111">
        <f t="shared" si="369"/>
        <v>0</v>
      </c>
      <c r="AO707" s="111">
        <f t="shared" si="369"/>
        <v>0</v>
      </c>
      <c r="AP707" s="111">
        <f t="shared" si="369"/>
        <v>0</v>
      </c>
      <c r="AQ707" s="111">
        <f t="shared" si="369"/>
        <v>0</v>
      </c>
      <c r="AR707" s="111">
        <f t="shared" si="369"/>
        <v>0</v>
      </c>
      <c r="AS707" s="111">
        <f t="shared" si="369"/>
        <v>0</v>
      </c>
      <c r="AT707" s="111">
        <f t="shared" si="369"/>
        <v>0</v>
      </c>
      <c r="AU707" s="111">
        <f t="shared" si="369"/>
        <v>0</v>
      </c>
      <c r="AV707" s="111">
        <f t="shared" si="369"/>
        <v>0</v>
      </c>
      <c r="AW707" s="111">
        <f t="shared" si="369"/>
        <v>0</v>
      </c>
      <c r="AX707" s="111">
        <f t="shared" si="369"/>
        <v>0</v>
      </c>
      <c r="AY707" s="111">
        <f t="shared" si="369"/>
        <v>0</v>
      </c>
      <c r="AZ707" s="111">
        <f t="shared" si="369"/>
        <v>0</v>
      </c>
      <c r="BA707" s="111">
        <f t="shared" si="369"/>
        <v>0</v>
      </c>
      <c r="BB707" s="111">
        <f t="shared" si="369"/>
        <v>0</v>
      </c>
      <c r="BC707" s="111">
        <f t="shared" si="369"/>
        <v>0</v>
      </c>
      <c r="BD707" s="111">
        <f t="shared" si="369"/>
        <v>0</v>
      </c>
      <c r="BE707" s="111">
        <f t="shared" si="369"/>
        <v>0</v>
      </c>
      <c r="BF707" s="111">
        <f t="shared" si="369"/>
        <v>0</v>
      </c>
      <c r="BG707" s="111">
        <f t="shared" si="369"/>
        <v>0</v>
      </c>
      <c r="BH707" s="111">
        <f t="shared" si="369"/>
        <v>0</v>
      </c>
      <c r="BI707" s="111">
        <f t="shared" si="369"/>
        <v>0</v>
      </c>
      <c r="BJ707" s="111">
        <f t="shared" si="369"/>
        <v>0</v>
      </c>
      <c r="BK707" s="111">
        <f t="shared" si="369"/>
        <v>0</v>
      </c>
      <c r="BL707" s="111">
        <f t="shared" si="369"/>
        <v>0</v>
      </c>
      <c r="BM707" s="111">
        <f t="shared" si="369"/>
        <v>0</v>
      </c>
      <c r="BN707" s="111">
        <f t="shared" si="369"/>
        <v>0</v>
      </c>
      <c r="BO707" s="111">
        <f t="shared" si="369"/>
        <v>0</v>
      </c>
      <c r="BP707" s="111">
        <f t="shared" ref="BP707:CP707" si="370">Annual_sleep_disturbance_valuation_hh_adj/Discount_factor</f>
        <v>0</v>
      </c>
      <c r="BQ707" s="111">
        <f t="shared" si="370"/>
        <v>0</v>
      </c>
      <c r="BR707" s="111">
        <f t="shared" si="370"/>
        <v>0</v>
      </c>
      <c r="BS707" s="111">
        <f t="shared" si="370"/>
        <v>0</v>
      </c>
      <c r="BT707" s="111">
        <f t="shared" si="370"/>
        <v>0</v>
      </c>
      <c r="BU707" s="111">
        <f t="shared" si="370"/>
        <v>0</v>
      </c>
      <c r="BV707" s="111">
        <f t="shared" si="370"/>
        <v>0</v>
      </c>
      <c r="BW707" s="111">
        <f t="shared" si="370"/>
        <v>0</v>
      </c>
      <c r="BX707" s="111">
        <f t="shared" si="370"/>
        <v>0</v>
      </c>
      <c r="BY707" s="111">
        <f t="shared" si="370"/>
        <v>0</v>
      </c>
      <c r="BZ707" s="111">
        <f t="shared" si="370"/>
        <v>0</v>
      </c>
      <c r="CA707" s="111">
        <f t="shared" si="370"/>
        <v>0</v>
      </c>
      <c r="CB707" s="111">
        <f t="shared" si="370"/>
        <v>0</v>
      </c>
      <c r="CC707" s="111">
        <f t="shared" si="370"/>
        <v>0</v>
      </c>
      <c r="CD707" s="111">
        <f t="shared" si="370"/>
        <v>0</v>
      </c>
      <c r="CE707" s="111">
        <f t="shared" si="370"/>
        <v>0</v>
      </c>
      <c r="CF707" s="111">
        <f t="shared" si="370"/>
        <v>0</v>
      </c>
      <c r="CG707" s="111">
        <f t="shared" si="370"/>
        <v>0</v>
      </c>
      <c r="CH707" s="111">
        <f t="shared" si="370"/>
        <v>0</v>
      </c>
      <c r="CI707" s="111">
        <f t="shared" si="370"/>
        <v>0</v>
      </c>
      <c r="CJ707" s="111">
        <f t="shared" si="370"/>
        <v>0</v>
      </c>
      <c r="CK707" s="111">
        <f t="shared" si="370"/>
        <v>0</v>
      </c>
      <c r="CL707" s="111">
        <f t="shared" si="370"/>
        <v>0</v>
      </c>
      <c r="CM707" s="111">
        <f t="shared" si="370"/>
        <v>0</v>
      </c>
      <c r="CN707" s="111">
        <f t="shared" si="370"/>
        <v>0</v>
      </c>
      <c r="CO707" s="111">
        <f t="shared" si="370"/>
        <v>0</v>
      </c>
      <c r="CP707" s="111">
        <f t="shared" si="370"/>
        <v>0</v>
      </c>
      <c r="CQ707" s="3" t="s">
        <v>771</v>
      </c>
    </row>
    <row r="708" spans="1:95" ht="14.45" outlineLevel="2">
      <c r="A708" s="97"/>
      <c r="B708" s="97" t="s">
        <v>165</v>
      </c>
      <c r="C708" s="97"/>
      <c r="D708" s="111">
        <f t="shared" ref="D708:AI708" si="371">Annual_amenity_valuation_hh_adj/Discount_factor</f>
        <v>0</v>
      </c>
      <c r="E708" s="111">
        <f t="shared" si="371"/>
        <v>0</v>
      </c>
      <c r="F708" s="111">
        <f t="shared" si="371"/>
        <v>0</v>
      </c>
      <c r="G708" s="111">
        <f t="shared" si="371"/>
        <v>0</v>
      </c>
      <c r="H708" s="111">
        <f t="shared" si="371"/>
        <v>0</v>
      </c>
      <c r="I708" s="111">
        <f>Annual_amenity_valuation_hh_adj/Discount_factor</f>
        <v>0</v>
      </c>
      <c r="J708" s="111">
        <f t="shared" si="371"/>
        <v>0</v>
      </c>
      <c r="K708" s="111">
        <f t="shared" si="371"/>
        <v>0</v>
      </c>
      <c r="L708" s="111">
        <f t="shared" si="371"/>
        <v>0</v>
      </c>
      <c r="M708" s="111">
        <f t="shared" si="371"/>
        <v>0</v>
      </c>
      <c r="N708" s="111">
        <f t="shared" si="371"/>
        <v>0</v>
      </c>
      <c r="O708" s="111">
        <f t="shared" si="371"/>
        <v>0</v>
      </c>
      <c r="P708" s="111">
        <f t="shared" si="371"/>
        <v>0</v>
      </c>
      <c r="Q708" s="111">
        <f t="shared" si="371"/>
        <v>0</v>
      </c>
      <c r="R708" s="111">
        <f t="shared" si="371"/>
        <v>0</v>
      </c>
      <c r="S708" s="111">
        <f t="shared" si="371"/>
        <v>0</v>
      </c>
      <c r="T708" s="111">
        <f t="shared" si="371"/>
        <v>0</v>
      </c>
      <c r="U708" s="111">
        <f t="shared" si="371"/>
        <v>0</v>
      </c>
      <c r="V708" s="111">
        <f t="shared" si="371"/>
        <v>0</v>
      </c>
      <c r="W708" s="111">
        <f t="shared" si="371"/>
        <v>0</v>
      </c>
      <c r="X708" s="111">
        <f t="shared" si="371"/>
        <v>0</v>
      </c>
      <c r="Y708" s="111">
        <f t="shared" si="371"/>
        <v>0</v>
      </c>
      <c r="Z708" s="111">
        <f t="shared" si="371"/>
        <v>0</v>
      </c>
      <c r="AA708" s="111">
        <f t="shared" si="371"/>
        <v>0</v>
      </c>
      <c r="AB708" s="111">
        <f t="shared" si="371"/>
        <v>0</v>
      </c>
      <c r="AC708" s="111">
        <f t="shared" si="371"/>
        <v>0</v>
      </c>
      <c r="AD708" s="111">
        <f t="shared" si="371"/>
        <v>0</v>
      </c>
      <c r="AE708" s="111">
        <f t="shared" si="371"/>
        <v>0</v>
      </c>
      <c r="AF708" s="111">
        <f t="shared" si="371"/>
        <v>0</v>
      </c>
      <c r="AG708" s="111">
        <f t="shared" si="371"/>
        <v>0</v>
      </c>
      <c r="AH708" s="111">
        <f t="shared" si="371"/>
        <v>0</v>
      </c>
      <c r="AI708" s="111">
        <f t="shared" si="371"/>
        <v>0</v>
      </c>
      <c r="AJ708" s="111">
        <f t="shared" ref="AJ708:BO708" si="372">Annual_amenity_valuation_hh_adj/Discount_factor</f>
        <v>0</v>
      </c>
      <c r="AK708" s="111">
        <f t="shared" si="372"/>
        <v>0</v>
      </c>
      <c r="AL708" s="111">
        <f t="shared" si="372"/>
        <v>0</v>
      </c>
      <c r="AM708" s="111">
        <f t="shared" si="372"/>
        <v>0</v>
      </c>
      <c r="AN708" s="111">
        <f t="shared" si="372"/>
        <v>0</v>
      </c>
      <c r="AO708" s="111">
        <f t="shared" si="372"/>
        <v>0</v>
      </c>
      <c r="AP708" s="111">
        <f t="shared" si="372"/>
        <v>0</v>
      </c>
      <c r="AQ708" s="111">
        <f t="shared" si="372"/>
        <v>0</v>
      </c>
      <c r="AR708" s="111">
        <f t="shared" si="372"/>
        <v>0</v>
      </c>
      <c r="AS708" s="111">
        <f t="shared" si="372"/>
        <v>0</v>
      </c>
      <c r="AT708" s="111">
        <f t="shared" si="372"/>
        <v>0</v>
      </c>
      <c r="AU708" s="111">
        <f t="shared" si="372"/>
        <v>0</v>
      </c>
      <c r="AV708" s="111">
        <f t="shared" si="372"/>
        <v>0</v>
      </c>
      <c r="AW708" s="111">
        <f t="shared" si="372"/>
        <v>0</v>
      </c>
      <c r="AX708" s="111">
        <f t="shared" si="372"/>
        <v>0</v>
      </c>
      <c r="AY708" s="111">
        <f t="shared" si="372"/>
        <v>0</v>
      </c>
      <c r="AZ708" s="111">
        <f t="shared" si="372"/>
        <v>0</v>
      </c>
      <c r="BA708" s="111">
        <f t="shared" si="372"/>
        <v>0</v>
      </c>
      <c r="BB708" s="111">
        <f t="shared" si="372"/>
        <v>0</v>
      </c>
      <c r="BC708" s="111">
        <f t="shared" si="372"/>
        <v>0</v>
      </c>
      <c r="BD708" s="111">
        <f t="shared" si="372"/>
        <v>0</v>
      </c>
      <c r="BE708" s="111">
        <f t="shared" si="372"/>
        <v>0</v>
      </c>
      <c r="BF708" s="111">
        <f t="shared" si="372"/>
        <v>0</v>
      </c>
      <c r="BG708" s="111">
        <f t="shared" si="372"/>
        <v>0</v>
      </c>
      <c r="BH708" s="111">
        <f t="shared" si="372"/>
        <v>0</v>
      </c>
      <c r="BI708" s="111">
        <f t="shared" si="372"/>
        <v>0</v>
      </c>
      <c r="BJ708" s="111">
        <f t="shared" si="372"/>
        <v>0</v>
      </c>
      <c r="BK708" s="111">
        <f t="shared" si="372"/>
        <v>0</v>
      </c>
      <c r="BL708" s="111">
        <f t="shared" si="372"/>
        <v>0</v>
      </c>
      <c r="BM708" s="111">
        <f t="shared" si="372"/>
        <v>0</v>
      </c>
      <c r="BN708" s="111">
        <f t="shared" si="372"/>
        <v>0</v>
      </c>
      <c r="BO708" s="111">
        <f t="shared" si="372"/>
        <v>0</v>
      </c>
      <c r="BP708" s="111">
        <f t="shared" ref="BP708:CP708" si="373">Annual_amenity_valuation_hh_adj/Discount_factor</f>
        <v>0</v>
      </c>
      <c r="BQ708" s="111">
        <f t="shared" si="373"/>
        <v>0</v>
      </c>
      <c r="BR708" s="111">
        <f t="shared" si="373"/>
        <v>0</v>
      </c>
      <c r="BS708" s="111">
        <f t="shared" si="373"/>
        <v>0</v>
      </c>
      <c r="BT708" s="111">
        <f t="shared" si="373"/>
        <v>0</v>
      </c>
      <c r="BU708" s="111">
        <f t="shared" si="373"/>
        <v>0</v>
      </c>
      <c r="BV708" s="111">
        <f t="shared" si="373"/>
        <v>0</v>
      </c>
      <c r="BW708" s="111">
        <f t="shared" si="373"/>
        <v>0</v>
      </c>
      <c r="BX708" s="111">
        <f t="shared" si="373"/>
        <v>0</v>
      </c>
      <c r="BY708" s="111">
        <f t="shared" si="373"/>
        <v>0</v>
      </c>
      <c r="BZ708" s="111">
        <f t="shared" si="373"/>
        <v>0</v>
      </c>
      <c r="CA708" s="111">
        <f t="shared" si="373"/>
        <v>0</v>
      </c>
      <c r="CB708" s="111">
        <f t="shared" si="373"/>
        <v>0</v>
      </c>
      <c r="CC708" s="111">
        <f t="shared" si="373"/>
        <v>0</v>
      </c>
      <c r="CD708" s="111">
        <f t="shared" si="373"/>
        <v>0</v>
      </c>
      <c r="CE708" s="111">
        <f t="shared" si="373"/>
        <v>0</v>
      </c>
      <c r="CF708" s="111">
        <f t="shared" si="373"/>
        <v>0</v>
      </c>
      <c r="CG708" s="111">
        <f t="shared" si="373"/>
        <v>0</v>
      </c>
      <c r="CH708" s="111">
        <f t="shared" si="373"/>
        <v>0</v>
      </c>
      <c r="CI708" s="111">
        <f t="shared" si="373"/>
        <v>0</v>
      </c>
      <c r="CJ708" s="111">
        <f t="shared" si="373"/>
        <v>0</v>
      </c>
      <c r="CK708" s="111">
        <f t="shared" si="373"/>
        <v>0</v>
      </c>
      <c r="CL708" s="111">
        <f t="shared" si="373"/>
        <v>0</v>
      </c>
      <c r="CM708" s="111">
        <f t="shared" si="373"/>
        <v>0</v>
      </c>
      <c r="CN708" s="111">
        <f t="shared" si="373"/>
        <v>0</v>
      </c>
      <c r="CO708" s="111">
        <f t="shared" si="373"/>
        <v>0</v>
      </c>
      <c r="CP708" s="111">
        <f t="shared" si="373"/>
        <v>0</v>
      </c>
      <c r="CQ708" s="3" t="s">
        <v>772</v>
      </c>
    </row>
    <row r="709" spans="1:95" ht="14.45" outlineLevel="2">
      <c r="A709" s="97"/>
      <c r="B709" s="97" t="s">
        <v>167</v>
      </c>
      <c r="C709" s="97"/>
      <c r="D709" s="111">
        <f t="shared" ref="D709:AI709" si="374">Annual_AMI_valuation_hh_adj/Discount_factor</f>
        <v>0</v>
      </c>
      <c r="E709" s="111">
        <f t="shared" si="374"/>
        <v>0</v>
      </c>
      <c r="F709" s="111">
        <f t="shared" si="374"/>
        <v>0</v>
      </c>
      <c r="G709" s="111">
        <f t="shared" si="374"/>
        <v>0</v>
      </c>
      <c r="H709" s="111">
        <f t="shared" si="374"/>
        <v>0</v>
      </c>
      <c r="I709" s="111">
        <f>Annual_AMI_valuation_hh_adj/Discount_factor</f>
        <v>0</v>
      </c>
      <c r="J709" s="111">
        <f t="shared" si="374"/>
        <v>0</v>
      </c>
      <c r="K709" s="111">
        <f t="shared" si="374"/>
        <v>0</v>
      </c>
      <c r="L709" s="111">
        <f t="shared" si="374"/>
        <v>0</v>
      </c>
      <c r="M709" s="111">
        <f t="shared" si="374"/>
        <v>0</v>
      </c>
      <c r="N709" s="111">
        <f t="shared" si="374"/>
        <v>0</v>
      </c>
      <c r="O709" s="111">
        <f t="shared" si="374"/>
        <v>0</v>
      </c>
      <c r="P709" s="111">
        <f t="shared" si="374"/>
        <v>0</v>
      </c>
      <c r="Q709" s="111">
        <f t="shared" si="374"/>
        <v>0</v>
      </c>
      <c r="R709" s="111">
        <f t="shared" si="374"/>
        <v>0</v>
      </c>
      <c r="S709" s="111">
        <f t="shared" si="374"/>
        <v>0</v>
      </c>
      <c r="T709" s="111">
        <f t="shared" si="374"/>
        <v>0</v>
      </c>
      <c r="U709" s="111">
        <f t="shared" si="374"/>
        <v>0</v>
      </c>
      <c r="V709" s="111">
        <f t="shared" si="374"/>
        <v>0</v>
      </c>
      <c r="W709" s="111">
        <f t="shared" si="374"/>
        <v>0</v>
      </c>
      <c r="X709" s="111">
        <f t="shared" si="374"/>
        <v>0</v>
      </c>
      <c r="Y709" s="111">
        <f t="shared" si="374"/>
        <v>0</v>
      </c>
      <c r="Z709" s="111">
        <f t="shared" si="374"/>
        <v>0</v>
      </c>
      <c r="AA709" s="111">
        <f t="shared" si="374"/>
        <v>0</v>
      </c>
      <c r="AB709" s="111">
        <f t="shared" si="374"/>
        <v>0</v>
      </c>
      <c r="AC709" s="111">
        <f t="shared" si="374"/>
        <v>0</v>
      </c>
      <c r="AD709" s="111">
        <f t="shared" si="374"/>
        <v>0</v>
      </c>
      <c r="AE709" s="111">
        <f t="shared" si="374"/>
        <v>0</v>
      </c>
      <c r="AF709" s="111">
        <f t="shared" si="374"/>
        <v>0</v>
      </c>
      <c r="AG709" s="111">
        <f t="shared" si="374"/>
        <v>0</v>
      </c>
      <c r="AH709" s="111">
        <f t="shared" si="374"/>
        <v>0</v>
      </c>
      <c r="AI709" s="111">
        <f t="shared" si="374"/>
        <v>0</v>
      </c>
      <c r="AJ709" s="111">
        <f t="shared" ref="AJ709:BO709" si="375">Annual_AMI_valuation_hh_adj/Discount_factor</f>
        <v>0</v>
      </c>
      <c r="AK709" s="111">
        <f t="shared" si="375"/>
        <v>0</v>
      </c>
      <c r="AL709" s="111">
        <f t="shared" si="375"/>
        <v>0</v>
      </c>
      <c r="AM709" s="111">
        <f t="shared" si="375"/>
        <v>0</v>
      </c>
      <c r="AN709" s="111">
        <f t="shared" si="375"/>
        <v>0</v>
      </c>
      <c r="AO709" s="111">
        <f t="shared" si="375"/>
        <v>0</v>
      </c>
      <c r="AP709" s="111">
        <f t="shared" si="375"/>
        <v>0</v>
      </c>
      <c r="AQ709" s="111">
        <f t="shared" si="375"/>
        <v>0</v>
      </c>
      <c r="AR709" s="111">
        <f t="shared" si="375"/>
        <v>0</v>
      </c>
      <c r="AS709" s="111">
        <f t="shared" si="375"/>
        <v>0</v>
      </c>
      <c r="AT709" s="111">
        <f t="shared" si="375"/>
        <v>0</v>
      </c>
      <c r="AU709" s="111">
        <f t="shared" si="375"/>
        <v>0</v>
      </c>
      <c r="AV709" s="111">
        <f t="shared" si="375"/>
        <v>0</v>
      </c>
      <c r="AW709" s="111">
        <f t="shared" si="375"/>
        <v>0</v>
      </c>
      <c r="AX709" s="111">
        <f t="shared" si="375"/>
        <v>0</v>
      </c>
      <c r="AY709" s="111">
        <f t="shared" si="375"/>
        <v>0</v>
      </c>
      <c r="AZ709" s="111">
        <f t="shared" si="375"/>
        <v>0</v>
      </c>
      <c r="BA709" s="111">
        <f t="shared" si="375"/>
        <v>0</v>
      </c>
      <c r="BB709" s="111">
        <f t="shared" si="375"/>
        <v>0</v>
      </c>
      <c r="BC709" s="111">
        <f t="shared" si="375"/>
        <v>0</v>
      </c>
      <c r="BD709" s="111">
        <f t="shared" si="375"/>
        <v>0</v>
      </c>
      <c r="BE709" s="111">
        <f t="shared" si="375"/>
        <v>0</v>
      </c>
      <c r="BF709" s="111">
        <f t="shared" si="375"/>
        <v>0</v>
      </c>
      <c r="BG709" s="111">
        <f t="shared" si="375"/>
        <v>0</v>
      </c>
      <c r="BH709" s="111">
        <f t="shared" si="375"/>
        <v>0</v>
      </c>
      <c r="BI709" s="111">
        <f t="shared" si="375"/>
        <v>0</v>
      </c>
      <c r="BJ709" s="111">
        <f t="shared" si="375"/>
        <v>0</v>
      </c>
      <c r="BK709" s="111">
        <f t="shared" si="375"/>
        <v>0</v>
      </c>
      <c r="BL709" s="111">
        <f t="shared" si="375"/>
        <v>0</v>
      </c>
      <c r="BM709" s="111">
        <f t="shared" si="375"/>
        <v>0</v>
      </c>
      <c r="BN709" s="111">
        <f t="shared" si="375"/>
        <v>0</v>
      </c>
      <c r="BO709" s="111">
        <f t="shared" si="375"/>
        <v>0</v>
      </c>
      <c r="BP709" s="111">
        <f t="shared" ref="BP709:CP709" si="376">Annual_AMI_valuation_hh_adj/Discount_factor</f>
        <v>0</v>
      </c>
      <c r="BQ709" s="111">
        <f t="shared" si="376"/>
        <v>0</v>
      </c>
      <c r="BR709" s="111">
        <f t="shared" si="376"/>
        <v>0</v>
      </c>
      <c r="BS709" s="111">
        <f t="shared" si="376"/>
        <v>0</v>
      </c>
      <c r="BT709" s="111">
        <f t="shared" si="376"/>
        <v>0</v>
      </c>
      <c r="BU709" s="111">
        <f t="shared" si="376"/>
        <v>0</v>
      </c>
      <c r="BV709" s="111">
        <f t="shared" si="376"/>
        <v>0</v>
      </c>
      <c r="BW709" s="111">
        <f t="shared" si="376"/>
        <v>0</v>
      </c>
      <c r="BX709" s="111">
        <f t="shared" si="376"/>
        <v>0</v>
      </c>
      <c r="BY709" s="111">
        <f t="shared" si="376"/>
        <v>0</v>
      </c>
      <c r="BZ709" s="111">
        <f t="shared" si="376"/>
        <v>0</v>
      </c>
      <c r="CA709" s="111">
        <f t="shared" si="376"/>
        <v>0</v>
      </c>
      <c r="CB709" s="111">
        <f t="shared" si="376"/>
        <v>0</v>
      </c>
      <c r="CC709" s="111">
        <f t="shared" si="376"/>
        <v>0</v>
      </c>
      <c r="CD709" s="111">
        <f t="shared" si="376"/>
        <v>0</v>
      </c>
      <c r="CE709" s="111">
        <f t="shared" si="376"/>
        <v>0</v>
      </c>
      <c r="CF709" s="111">
        <f t="shared" si="376"/>
        <v>0</v>
      </c>
      <c r="CG709" s="111">
        <f t="shared" si="376"/>
        <v>0</v>
      </c>
      <c r="CH709" s="111">
        <f t="shared" si="376"/>
        <v>0</v>
      </c>
      <c r="CI709" s="111">
        <f t="shared" si="376"/>
        <v>0</v>
      </c>
      <c r="CJ709" s="111">
        <f t="shared" si="376"/>
        <v>0</v>
      </c>
      <c r="CK709" s="111">
        <f t="shared" si="376"/>
        <v>0</v>
      </c>
      <c r="CL709" s="111">
        <f t="shared" si="376"/>
        <v>0</v>
      </c>
      <c r="CM709" s="111">
        <f t="shared" si="376"/>
        <v>0</v>
      </c>
      <c r="CN709" s="111">
        <f t="shared" si="376"/>
        <v>0</v>
      </c>
      <c r="CO709" s="111">
        <f t="shared" si="376"/>
        <v>0</v>
      </c>
      <c r="CP709" s="111">
        <f t="shared" si="376"/>
        <v>0</v>
      </c>
      <c r="CQ709" s="3" t="s">
        <v>773</v>
      </c>
    </row>
    <row r="710" spans="1:95" ht="14.45" outlineLevel="2">
      <c r="A710" s="97"/>
      <c r="B710" s="97" t="s">
        <v>169</v>
      </c>
      <c r="C710" s="97"/>
      <c r="D710" s="111">
        <f t="shared" ref="D710:AI710" si="377">Annual_stroke_valuation_hh_adj/Discount_factor</f>
        <v>0</v>
      </c>
      <c r="E710" s="111">
        <f t="shared" si="377"/>
        <v>0</v>
      </c>
      <c r="F710" s="111">
        <f t="shared" si="377"/>
        <v>0</v>
      </c>
      <c r="G710" s="111">
        <f t="shared" si="377"/>
        <v>0</v>
      </c>
      <c r="H710" s="111">
        <f t="shared" si="377"/>
        <v>0</v>
      </c>
      <c r="I710" s="111">
        <f>Annual_stroke_valuation_hh_adj/Discount_factor</f>
        <v>0</v>
      </c>
      <c r="J710" s="111">
        <f t="shared" si="377"/>
        <v>0</v>
      </c>
      <c r="K710" s="111">
        <f t="shared" si="377"/>
        <v>0</v>
      </c>
      <c r="L710" s="111">
        <f t="shared" si="377"/>
        <v>0</v>
      </c>
      <c r="M710" s="111">
        <f t="shared" si="377"/>
        <v>0</v>
      </c>
      <c r="N710" s="111">
        <f t="shared" si="377"/>
        <v>0</v>
      </c>
      <c r="O710" s="111">
        <f t="shared" si="377"/>
        <v>0</v>
      </c>
      <c r="P710" s="111">
        <f t="shared" si="377"/>
        <v>0</v>
      </c>
      <c r="Q710" s="111">
        <f t="shared" si="377"/>
        <v>0</v>
      </c>
      <c r="R710" s="111">
        <f t="shared" si="377"/>
        <v>0</v>
      </c>
      <c r="S710" s="111">
        <f t="shared" si="377"/>
        <v>0</v>
      </c>
      <c r="T710" s="111">
        <f t="shared" si="377"/>
        <v>0</v>
      </c>
      <c r="U710" s="111">
        <f t="shared" si="377"/>
        <v>0</v>
      </c>
      <c r="V710" s="111">
        <f t="shared" si="377"/>
        <v>0</v>
      </c>
      <c r="W710" s="111">
        <f t="shared" si="377"/>
        <v>0</v>
      </c>
      <c r="X710" s="111">
        <f t="shared" si="377"/>
        <v>0</v>
      </c>
      <c r="Y710" s="111">
        <f t="shared" si="377"/>
        <v>0</v>
      </c>
      <c r="Z710" s="111">
        <f t="shared" si="377"/>
        <v>0</v>
      </c>
      <c r="AA710" s="111">
        <f t="shared" si="377"/>
        <v>0</v>
      </c>
      <c r="AB710" s="111">
        <f t="shared" si="377"/>
        <v>0</v>
      </c>
      <c r="AC710" s="111">
        <f t="shared" si="377"/>
        <v>0</v>
      </c>
      <c r="AD710" s="111">
        <f t="shared" si="377"/>
        <v>0</v>
      </c>
      <c r="AE710" s="111">
        <f t="shared" si="377"/>
        <v>0</v>
      </c>
      <c r="AF710" s="111">
        <f t="shared" si="377"/>
        <v>0</v>
      </c>
      <c r="AG710" s="111">
        <f t="shared" si="377"/>
        <v>0</v>
      </c>
      <c r="AH710" s="111">
        <f t="shared" si="377"/>
        <v>0</v>
      </c>
      <c r="AI710" s="111">
        <f t="shared" si="377"/>
        <v>0</v>
      </c>
      <c r="AJ710" s="111">
        <f t="shared" ref="AJ710:BO710" si="378">Annual_stroke_valuation_hh_adj/Discount_factor</f>
        <v>0</v>
      </c>
      <c r="AK710" s="111">
        <f t="shared" si="378"/>
        <v>0</v>
      </c>
      <c r="AL710" s="111">
        <f t="shared" si="378"/>
        <v>0</v>
      </c>
      <c r="AM710" s="111">
        <f t="shared" si="378"/>
        <v>0</v>
      </c>
      <c r="AN710" s="111">
        <f t="shared" si="378"/>
        <v>0</v>
      </c>
      <c r="AO710" s="111">
        <f t="shared" si="378"/>
        <v>0</v>
      </c>
      <c r="AP710" s="111">
        <f t="shared" si="378"/>
        <v>0</v>
      </c>
      <c r="AQ710" s="111">
        <f t="shared" si="378"/>
        <v>0</v>
      </c>
      <c r="AR710" s="111">
        <f t="shared" si="378"/>
        <v>0</v>
      </c>
      <c r="AS710" s="111">
        <f t="shared" si="378"/>
        <v>0</v>
      </c>
      <c r="AT710" s="111">
        <f t="shared" si="378"/>
        <v>0</v>
      </c>
      <c r="AU710" s="111">
        <f t="shared" si="378"/>
        <v>0</v>
      </c>
      <c r="AV710" s="111">
        <f t="shared" si="378"/>
        <v>0</v>
      </c>
      <c r="AW710" s="111">
        <f t="shared" si="378"/>
        <v>0</v>
      </c>
      <c r="AX710" s="111">
        <f t="shared" si="378"/>
        <v>0</v>
      </c>
      <c r="AY710" s="111">
        <f t="shared" si="378"/>
        <v>0</v>
      </c>
      <c r="AZ710" s="111">
        <f t="shared" si="378"/>
        <v>0</v>
      </c>
      <c r="BA710" s="111">
        <f t="shared" si="378"/>
        <v>0</v>
      </c>
      <c r="BB710" s="111">
        <f t="shared" si="378"/>
        <v>0</v>
      </c>
      <c r="BC710" s="111">
        <f t="shared" si="378"/>
        <v>0</v>
      </c>
      <c r="BD710" s="111">
        <f t="shared" si="378"/>
        <v>0</v>
      </c>
      <c r="BE710" s="111">
        <f t="shared" si="378"/>
        <v>0</v>
      </c>
      <c r="BF710" s="111">
        <f t="shared" si="378"/>
        <v>0</v>
      </c>
      <c r="BG710" s="111">
        <f t="shared" si="378"/>
        <v>0</v>
      </c>
      <c r="BH710" s="111">
        <f t="shared" si="378"/>
        <v>0</v>
      </c>
      <c r="BI710" s="111">
        <f t="shared" si="378"/>
        <v>0</v>
      </c>
      <c r="BJ710" s="111">
        <f t="shared" si="378"/>
        <v>0</v>
      </c>
      <c r="BK710" s="111">
        <f t="shared" si="378"/>
        <v>0</v>
      </c>
      <c r="BL710" s="111">
        <f t="shared" si="378"/>
        <v>0</v>
      </c>
      <c r="BM710" s="111">
        <f t="shared" si="378"/>
        <v>0</v>
      </c>
      <c r="BN710" s="111">
        <f t="shared" si="378"/>
        <v>0</v>
      </c>
      <c r="BO710" s="111">
        <f t="shared" si="378"/>
        <v>0</v>
      </c>
      <c r="BP710" s="111">
        <f t="shared" ref="BP710:CP710" si="379">Annual_stroke_valuation_hh_adj/Discount_factor</f>
        <v>0</v>
      </c>
      <c r="BQ710" s="111">
        <f t="shared" si="379"/>
        <v>0</v>
      </c>
      <c r="BR710" s="111">
        <f t="shared" si="379"/>
        <v>0</v>
      </c>
      <c r="BS710" s="111">
        <f t="shared" si="379"/>
        <v>0</v>
      </c>
      <c r="BT710" s="111">
        <f t="shared" si="379"/>
        <v>0</v>
      </c>
      <c r="BU710" s="111">
        <f t="shared" si="379"/>
        <v>0</v>
      </c>
      <c r="BV710" s="111">
        <f t="shared" si="379"/>
        <v>0</v>
      </c>
      <c r="BW710" s="111">
        <f t="shared" si="379"/>
        <v>0</v>
      </c>
      <c r="BX710" s="111">
        <f t="shared" si="379"/>
        <v>0</v>
      </c>
      <c r="BY710" s="111">
        <f t="shared" si="379"/>
        <v>0</v>
      </c>
      <c r="BZ710" s="111">
        <f t="shared" si="379"/>
        <v>0</v>
      </c>
      <c r="CA710" s="111">
        <f t="shared" si="379"/>
        <v>0</v>
      </c>
      <c r="CB710" s="111">
        <f t="shared" si="379"/>
        <v>0</v>
      </c>
      <c r="CC710" s="111">
        <f t="shared" si="379"/>
        <v>0</v>
      </c>
      <c r="CD710" s="111">
        <f t="shared" si="379"/>
        <v>0</v>
      </c>
      <c r="CE710" s="111">
        <f t="shared" si="379"/>
        <v>0</v>
      </c>
      <c r="CF710" s="111">
        <f t="shared" si="379"/>
        <v>0</v>
      </c>
      <c r="CG710" s="111">
        <f t="shared" si="379"/>
        <v>0</v>
      </c>
      <c r="CH710" s="111">
        <f t="shared" si="379"/>
        <v>0</v>
      </c>
      <c r="CI710" s="111">
        <f t="shared" si="379"/>
        <v>0</v>
      </c>
      <c r="CJ710" s="111">
        <f t="shared" si="379"/>
        <v>0</v>
      </c>
      <c r="CK710" s="111">
        <f t="shared" si="379"/>
        <v>0</v>
      </c>
      <c r="CL710" s="111">
        <f t="shared" si="379"/>
        <v>0</v>
      </c>
      <c r="CM710" s="111">
        <f t="shared" si="379"/>
        <v>0</v>
      </c>
      <c r="CN710" s="111">
        <f t="shared" si="379"/>
        <v>0</v>
      </c>
      <c r="CO710" s="111">
        <f t="shared" si="379"/>
        <v>0</v>
      </c>
      <c r="CP710" s="111">
        <f t="shared" si="379"/>
        <v>0</v>
      </c>
      <c r="CQ710" s="3" t="s">
        <v>774</v>
      </c>
    </row>
    <row r="711" spans="1:95" ht="14.45" outlineLevel="2">
      <c r="A711" s="97"/>
      <c r="B711" s="97" t="s">
        <v>171</v>
      </c>
      <c r="C711" s="97"/>
      <c r="D711" s="111">
        <f t="shared" ref="D711:AI711" si="380">Annual_dementia_valuation_hh_adj/Discount_factor</f>
        <v>0</v>
      </c>
      <c r="E711" s="111">
        <f t="shared" si="380"/>
        <v>0</v>
      </c>
      <c r="F711" s="111">
        <f t="shared" si="380"/>
        <v>0</v>
      </c>
      <c r="G711" s="111">
        <f t="shared" si="380"/>
        <v>0</v>
      </c>
      <c r="H711" s="111">
        <f t="shared" si="380"/>
        <v>0</v>
      </c>
      <c r="I711" s="111">
        <f>Annual_dementia_valuation_hh_adj/Discount_factor</f>
        <v>0</v>
      </c>
      <c r="J711" s="111">
        <f t="shared" si="380"/>
        <v>0</v>
      </c>
      <c r="K711" s="111">
        <f t="shared" si="380"/>
        <v>0</v>
      </c>
      <c r="L711" s="111">
        <f t="shared" si="380"/>
        <v>0</v>
      </c>
      <c r="M711" s="111">
        <f t="shared" si="380"/>
        <v>0</v>
      </c>
      <c r="N711" s="111">
        <f t="shared" si="380"/>
        <v>0</v>
      </c>
      <c r="O711" s="111">
        <f t="shared" si="380"/>
        <v>0</v>
      </c>
      <c r="P711" s="111">
        <f t="shared" si="380"/>
        <v>0</v>
      </c>
      <c r="Q711" s="111">
        <f t="shared" si="380"/>
        <v>0</v>
      </c>
      <c r="R711" s="111">
        <f t="shared" si="380"/>
        <v>0</v>
      </c>
      <c r="S711" s="111">
        <f t="shared" si="380"/>
        <v>0</v>
      </c>
      <c r="T711" s="111">
        <f t="shared" si="380"/>
        <v>0</v>
      </c>
      <c r="U711" s="111">
        <f t="shared" si="380"/>
        <v>0</v>
      </c>
      <c r="V711" s="111">
        <f t="shared" si="380"/>
        <v>0</v>
      </c>
      <c r="W711" s="111">
        <f t="shared" si="380"/>
        <v>0</v>
      </c>
      <c r="X711" s="111">
        <f t="shared" si="380"/>
        <v>0</v>
      </c>
      <c r="Y711" s="111">
        <f t="shared" si="380"/>
        <v>0</v>
      </c>
      <c r="Z711" s="111">
        <f t="shared" si="380"/>
        <v>0</v>
      </c>
      <c r="AA711" s="111">
        <f t="shared" si="380"/>
        <v>0</v>
      </c>
      <c r="AB711" s="111">
        <f t="shared" si="380"/>
        <v>0</v>
      </c>
      <c r="AC711" s="111">
        <f t="shared" si="380"/>
        <v>0</v>
      </c>
      <c r="AD711" s="111">
        <f t="shared" si="380"/>
        <v>0</v>
      </c>
      <c r="AE711" s="111">
        <f t="shared" si="380"/>
        <v>0</v>
      </c>
      <c r="AF711" s="111">
        <f t="shared" si="380"/>
        <v>0</v>
      </c>
      <c r="AG711" s="111">
        <f t="shared" si="380"/>
        <v>0</v>
      </c>
      <c r="AH711" s="111">
        <f t="shared" si="380"/>
        <v>0</v>
      </c>
      <c r="AI711" s="111">
        <f t="shared" si="380"/>
        <v>0</v>
      </c>
      <c r="AJ711" s="111">
        <f t="shared" ref="AJ711:BO711" si="381">Annual_dementia_valuation_hh_adj/Discount_factor</f>
        <v>0</v>
      </c>
      <c r="AK711" s="111">
        <f t="shared" si="381"/>
        <v>0</v>
      </c>
      <c r="AL711" s="111">
        <f t="shared" si="381"/>
        <v>0</v>
      </c>
      <c r="AM711" s="111">
        <f t="shared" si="381"/>
        <v>0</v>
      </c>
      <c r="AN711" s="111">
        <f t="shared" si="381"/>
        <v>0</v>
      </c>
      <c r="AO711" s="111">
        <f t="shared" si="381"/>
        <v>0</v>
      </c>
      <c r="AP711" s="111">
        <f t="shared" si="381"/>
        <v>0</v>
      </c>
      <c r="AQ711" s="111">
        <f t="shared" si="381"/>
        <v>0</v>
      </c>
      <c r="AR711" s="111">
        <f t="shared" si="381"/>
        <v>0</v>
      </c>
      <c r="AS711" s="111">
        <f t="shared" si="381"/>
        <v>0</v>
      </c>
      <c r="AT711" s="111">
        <f t="shared" si="381"/>
        <v>0</v>
      </c>
      <c r="AU711" s="111">
        <f t="shared" si="381"/>
        <v>0</v>
      </c>
      <c r="AV711" s="111">
        <f t="shared" si="381"/>
        <v>0</v>
      </c>
      <c r="AW711" s="111">
        <f t="shared" si="381"/>
        <v>0</v>
      </c>
      <c r="AX711" s="111">
        <f t="shared" si="381"/>
        <v>0</v>
      </c>
      <c r="AY711" s="111">
        <f t="shared" si="381"/>
        <v>0</v>
      </c>
      <c r="AZ711" s="111">
        <f t="shared" si="381"/>
        <v>0</v>
      </c>
      <c r="BA711" s="111">
        <f t="shared" si="381"/>
        <v>0</v>
      </c>
      <c r="BB711" s="111">
        <f t="shared" si="381"/>
        <v>0</v>
      </c>
      <c r="BC711" s="111">
        <f t="shared" si="381"/>
        <v>0</v>
      </c>
      <c r="BD711" s="111">
        <f t="shared" si="381"/>
        <v>0</v>
      </c>
      <c r="BE711" s="111">
        <f t="shared" si="381"/>
        <v>0</v>
      </c>
      <c r="BF711" s="111">
        <f t="shared" si="381"/>
        <v>0</v>
      </c>
      <c r="BG711" s="111">
        <f t="shared" si="381"/>
        <v>0</v>
      </c>
      <c r="BH711" s="111">
        <f t="shared" si="381"/>
        <v>0</v>
      </c>
      <c r="BI711" s="111">
        <f t="shared" si="381"/>
        <v>0</v>
      </c>
      <c r="BJ711" s="111">
        <f t="shared" si="381"/>
        <v>0</v>
      </c>
      <c r="BK711" s="111">
        <f t="shared" si="381"/>
        <v>0</v>
      </c>
      <c r="BL711" s="111">
        <f t="shared" si="381"/>
        <v>0</v>
      </c>
      <c r="BM711" s="111">
        <f t="shared" si="381"/>
        <v>0</v>
      </c>
      <c r="BN711" s="111">
        <f t="shared" si="381"/>
        <v>0</v>
      </c>
      <c r="BO711" s="111">
        <f t="shared" si="381"/>
        <v>0</v>
      </c>
      <c r="BP711" s="111">
        <f t="shared" ref="BP711:CP711" si="382">Annual_dementia_valuation_hh_adj/Discount_factor</f>
        <v>0</v>
      </c>
      <c r="BQ711" s="111">
        <f t="shared" si="382"/>
        <v>0</v>
      </c>
      <c r="BR711" s="111">
        <f t="shared" si="382"/>
        <v>0</v>
      </c>
      <c r="BS711" s="111">
        <f t="shared" si="382"/>
        <v>0</v>
      </c>
      <c r="BT711" s="111">
        <f t="shared" si="382"/>
        <v>0</v>
      </c>
      <c r="BU711" s="111">
        <f t="shared" si="382"/>
        <v>0</v>
      </c>
      <c r="BV711" s="111">
        <f t="shared" si="382"/>
        <v>0</v>
      </c>
      <c r="BW711" s="111">
        <f t="shared" si="382"/>
        <v>0</v>
      </c>
      <c r="BX711" s="111">
        <f t="shared" si="382"/>
        <v>0</v>
      </c>
      <c r="BY711" s="111">
        <f t="shared" si="382"/>
        <v>0</v>
      </c>
      <c r="BZ711" s="111">
        <f t="shared" si="382"/>
        <v>0</v>
      </c>
      <c r="CA711" s="111">
        <f t="shared" si="382"/>
        <v>0</v>
      </c>
      <c r="CB711" s="111">
        <f t="shared" si="382"/>
        <v>0</v>
      </c>
      <c r="CC711" s="111">
        <f t="shared" si="382"/>
        <v>0</v>
      </c>
      <c r="CD711" s="111">
        <f t="shared" si="382"/>
        <v>0</v>
      </c>
      <c r="CE711" s="111">
        <f t="shared" si="382"/>
        <v>0</v>
      </c>
      <c r="CF711" s="111">
        <f t="shared" si="382"/>
        <v>0</v>
      </c>
      <c r="CG711" s="111">
        <f t="shared" si="382"/>
        <v>0</v>
      </c>
      <c r="CH711" s="111">
        <f t="shared" si="382"/>
        <v>0</v>
      </c>
      <c r="CI711" s="111">
        <f t="shared" si="382"/>
        <v>0</v>
      </c>
      <c r="CJ711" s="111">
        <f t="shared" si="382"/>
        <v>0</v>
      </c>
      <c r="CK711" s="111">
        <f t="shared" si="382"/>
        <v>0</v>
      </c>
      <c r="CL711" s="111">
        <f t="shared" si="382"/>
        <v>0</v>
      </c>
      <c r="CM711" s="111">
        <f t="shared" si="382"/>
        <v>0</v>
      </c>
      <c r="CN711" s="111">
        <f t="shared" si="382"/>
        <v>0</v>
      </c>
      <c r="CO711" s="111">
        <f t="shared" si="382"/>
        <v>0</v>
      </c>
      <c r="CP711" s="111">
        <f t="shared" si="382"/>
        <v>0</v>
      </c>
      <c r="CQ711" s="3" t="s">
        <v>775</v>
      </c>
    </row>
    <row r="712" spans="1:95" ht="14.45" outlineLevel="2">
      <c r="A712" s="97"/>
      <c r="B712" s="97"/>
      <c r="C712" s="97"/>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G712" s="111"/>
      <c r="AH712" s="111"/>
      <c r="AI712" s="111"/>
      <c r="AJ712" s="111"/>
      <c r="AK712" s="111"/>
      <c r="AL712" s="111"/>
      <c r="AM712" s="111"/>
      <c r="AN712" s="111"/>
      <c r="AO712" s="111"/>
      <c r="AP712" s="111"/>
      <c r="AQ712" s="111"/>
      <c r="AR712" s="111"/>
      <c r="AS712" s="111"/>
      <c r="AT712" s="111"/>
      <c r="AU712" s="111"/>
      <c r="AV712" s="111"/>
      <c r="AW712" s="111"/>
      <c r="AX712" s="111"/>
      <c r="AY712" s="111"/>
      <c r="AZ712" s="111"/>
      <c r="BA712" s="111"/>
      <c r="BB712" s="111"/>
      <c r="BC712" s="111"/>
      <c r="BD712" s="111"/>
      <c r="BE712" s="111"/>
      <c r="BF712" s="111"/>
      <c r="BG712" s="111"/>
      <c r="BH712" s="111"/>
      <c r="BI712" s="111"/>
      <c r="BJ712" s="111"/>
      <c r="BK712" s="111"/>
      <c r="BL712" s="111"/>
      <c r="BM712" s="111"/>
      <c r="BN712" s="111"/>
      <c r="BO712" s="111"/>
      <c r="BP712" s="111"/>
      <c r="BQ712" s="111"/>
      <c r="BR712" s="111"/>
      <c r="BS712" s="111"/>
      <c r="BT712" s="111"/>
      <c r="BU712" s="111"/>
      <c r="BV712" s="111"/>
      <c r="BW712" s="111"/>
      <c r="BX712" s="111"/>
      <c r="BY712" s="111"/>
      <c r="BZ712" s="111"/>
      <c r="CA712" s="111"/>
      <c r="CB712" s="111"/>
      <c r="CC712" s="111"/>
      <c r="CD712" s="111"/>
      <c r="CE712" s="111"/>
      <c r="CF712" s="111"/>
      <c r="CG712" s="111"/>
      <c r="CH712" s="111"/>
      <c r="CI712" s="111"/>
      <c r="CJ712" s="111"/>
      <c r="CK712" s="111"/>
      <c r="CL712" s="111"/>
      <c r="CM712" s="111"/>
      <c r="CN712" s="111"/>
      <c r="CO712" s="111"/>
      <c r="CP712" s="111"/>
      <c r="CQ712" s="3"/>
    </row>
    <row r="713" spans="1:95" s="5" customFormat="1" ht="15.6" outlineLevel="1">
      <c r="B713" s="5" t="s">
        <v>776</v>
      </c>
    </row>
    <row r="714" spans="1:95" ht="14.45" outlineLevel="1">
      <c r="A714" s="97"/>
      <c r="B714" s="97"/>
      <c r="C714" s="97"/>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1"/>
      <c r="AL714" s="111"/>
      <c r="AM714" s="111"/>
      <c r="AN714" s="111"/>
      <c r="AO714" s="111"/>
      <c r="AP714" s="111"/>
      <c r="AQ714" s="111"/>
      <c r="AR714" s="111"/>
      <c r="AS714" s="111"/>
      <c r="AT714" s="111"/>
      <c r="AU714" s="111"/>
      <c r="AV714" s="111"/>
      <c r="AW714" s="111"/>
      <c r="AX714" s="111"/>
      <c r="AY714" s="111"/>
      <c r="AZ714" s="111"/>
      <c r="BA714" s="111"/>
      <c r="BB714" s="111"/>
      <c r="BC714" s="111"/>
      <c r="BD714" s="111"/>
      <c r="BE714" s="111"/>
      <c r="BF714" s="111"/>
      <c r="BG714" s="111"/>
      <c r="BH714" s="111"/>
      <c r="BI714" s="111"/>
      <c r="BJ714" s="111"/>
      <c r="BK714" s="111"/>
      <c r="BL714" s="111"/>
      <c r="BM714" s="111"/>
      <c r="BN714" s="111"/>
      <c r="BO714" s="111"/>
      <c r="BP714" s="111"/>
      <c r="BQ714" s="111"/>
      <c r="BR714" s="111"/>
      <c r="BS714" s="111"/>
      <c r="BT714" s="111"/>
      <c r="BU714" s="111"/>
      <c r="BV714" s="111"/>
      <c r="BW714" s="111"/>
      <c r="BX714" s="111"/>
      <c r="BY714" s="111"/>
      <c r="BZ714" s="111"/>
      <c r="CA714" s="111"/>
      <c r="CB714" s="111"/>
      <c r="CC714" s="111"/>
      <c r="CD714" s="111"/>
      <c r="CE714" s="111"/>
      <c r="CF714" s="111"/>
      <c r="CG714" s="111"/>
      <c r="CH714" s="111"/>
      <c r="CI714" s="111"/>
      <c r="CJ714" s="111"/>
      <c r="CK714" s="111"/>
      <c r="CL714" s="111"/>
      <c r="CM714" s="111"/>
      <c r="CN714" s="111"/>
      <c r="CO714" s="111"/>
      <c r="CP714" s="111"/>
      <c r="CQ714" s="3"/>
    </row>
    <row r="715" spans="1:95" ht="14.45" outlineLevel="1">
      <c r="A715" s="97"/>
      <c r="B715" s="97" t="s">
        <v>163</v>
      </c>
      <c r="C715" s="97"/>
      <c r="D715" s="145">
        <f>SUM(Discounted_annual_sleep_disturbance_valuation)</f>
        <v>0</v>
      </c>
      <c r="E715" s="53" t="s">
        <v>777</v>
      </c>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G715" s="111"/>
      <c r="AH715" s="111"/>
      <c r="AI715" s="111"/>
      <c r="AJ715" s="111"/>
      <c r="AK715" s="111"/>
      <c r="AL715" s="111"/>
      <c r="AM715" s="111"/>
      <c r="AN715" s="111"/>
      <c r="AO715" s="111"/>
      <c r="AP715" s="111"/>
      <c r="AQ715" s="111"/>
      <c r="AR715" s="111"/>
      <c r="AS715" s="111"/>
      <c r="AT715" s="111"/>
      <c r="AU715" s="111"/>
      <c r="AV715" s="111"/>
      <c r="AW715" s="111"/>
      <c r="AX715" s="111"/>
      <c r="AY715" s="111"/>
      <c r="AZ715" s="111"/>
      <c r="BA715" s="111"/>
      <c r="BB715" s="111"/>
      <c r="BC715" s="111"/>
      <c r="BD715" s="111"/>
      <c r="BE715" s="111"/>
      <c r="BF715" s="111"/>
      <c r="BG715" s="111"/>
      <c r="BH715" s="111"/>
      <c r="BI715" s="111"/>
      <c r="BJ715" s="111"/>
      <c r="BK715" s="111"/>
      <c r="BL715" s="111"/>
      <c r="BM715" s="111"/>
      <c r="BN715" s="111"/>
      <c r="BO715" s="111"/>
      <c r="BP715" s="111"/>
      <c r="BQ715" s="111"/>
      <c r="BR715" s="111"/>
      <c r="BS715" s="111"/>
      <c r="BT715" s="111"/>
      <c r="BU715" s="111"/>
      <c r="BV715" s="111"/>
      <c r="BW715" s="111"/>
      <c r="BX715" s="111"/>
      <c r="BY715" s="111"/>
      <c r="BZ715" s="111"/>
      <c r="CA715" s="111"/>
      <c r="CB715" s="111"/>
      <c r="CC715" s="111"/>
      <c r="CD715" s="111"/>
      <c r="CE715" s="111"/>
      <c r="CF715" s="111"/>
      <c r="CG715" s="111"/>
      <c r="CH715" s="111"/>
      <c r="CI715" s="111"/>
      <c r="CJ715" s="111"/>
      <c r="CK715" s="111"/>
      <c r="CL715" s="111"/>
      <c r="CM715" s="111"/>
      <c r="CN715" s="111"/>
      <c r="CO715" s="111"/>
      <c r="CP715" s="111"/>
      <c r="CQ715" s="3"/>
    </row>
    <row r="716" spans="1:95" ht="14.45" outlineLevel="1">
      <c r="A716" s="97"/>
      <c r="B716" s="97" t="s">
        <v>165</v>
      </c>
      <c r="C716" s="97"/>
      <c r="D716" s="145">
        <f>SUM(Discounted_annual_amenity_valuation)</f>
        <v>0</v>
      </c>
      <c r="E716" s="53" t="s">
        <v>778</v>
      </c>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1"/>
      <c r="AL716" s="111"/>
      <c r="AM716" s="111"/>
      <c r="AN716" s="111"/>
      <c r="AO716" s="111"/>
      <c r="AP716" s="111"/>
      <c r="AQ716" s="111"/>
      <c r="AR716" s="111"/>
      <c r="AS716" s="111"/>
      <c r="AT716" s="111"/>
      <c r="AU716" s="111"/>
      <c r="AV716" s="111"/>
      <c r="AW716" s="111"/>
      <c r="AX716" s="111"/>
      <c r="AY716" s="111"/>
      <c r="AZ716" s="111"/>
      <c r="BA716" s="111"/>
      <c r="BB716" s="111"/>
      <c r="BC716" s="111"/>
      <c r="BD716" s="111"/>
      <c r="BE716" s="111"/>
      <c r="BF716" s="111"/>
      <c r="BG716" s="111"/>
      <c r="BH716" s="111"/>
      <c r="BI716" s="111"/>
      <c r="BJ716" s="111"/>
      <c r="BK716" s="111"/>
      <c r="BL716" s="111"/>
      <c r="BM716" s="111"/>
      <c r="BN716" s="111"/>
      <c r="BO716" s="111"/>
      <c r="BP716" s="111"/>
      <c r="BQ716" s="111"/>
      <c r="BR716" s="111"/>
      <c r="BS716" s="111"/>
      <c r="BT716" s="111"/>
      <c r="BU716" s="111"/>
      <c r="BV716" s="111"/>
      <c r="BW716" s="111"/>
      <c r="BX716" s="111"/>
      <c r="BY716" s="111"/>
      <c r="BZ716" s="111"/>
      <c r="CA716" s="111"/>
      <c r="CB716" s="111"/>
      <c r="CC716" s="111"/>
      <c r="CD716" s="111"/>
      <c r="CE716" s="111"/>
      <c r="CF716" s="111"/>
      <c r="CG716" s="111"/>
      <c r="CH716" s="111"/>
      <c r="CI716" s="111"/>
      <c r="CJ716" s="111"/>
      <c r="CK716" s="111"/>
      <c r="CL716" s="111"/>
      <c r="CM716" s="111"/>
      <c r="CN716" s="111"/>
      <c r="CO716" s="111"/>
      <c r="CP716" s="111"/>
      <c r="CQ716" s="3"/>
    </row>
    <row r="717" spans="1:95" ht="14.45" outlineLevel="1">
      <c r="A717" s="97"/>
      <c r="B717" s="97" t="s">
        <v>167</v>
      </c>
      <c r="C717" s="97"/>
      <c r="D717" s="145">
        <f>SUM(Discounted_annual_AMI_valuation)</f>
        <v>0</v>
      </c>
      <c r="E717" s="53" t="s">
        <v>779</v>
      </c>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G717" s="111"/>
      <c r="AH717" s="111"/>
      <c r="AI717" s="111"/>
      <c r="AJ717" s="111"/>
      <c r="AK717" s="111"/>
      <c r="AL717" s="111"/>
      <c r="AM717" s="111"/>
      <c r="AN717" s="111"/>
      <c r="AO717" s="111"/>
      <c r="AP717" s="111"/>
      <c r="AQ717" s="111"/>
      <c r="AR717" s="111"/>
      <c r="AS717" s="111"/>
      <c r="AT717" s="111"/>
      <c r="AU717" s="111"/>
      <c r="AV717" s="111"/>
      <c r="AW717" s="111"/>
      <c r="AX717" s="111"/>
      <c r="AY717" s="111"/>
      <c r="AZ717" s="111"/>
      <c r="BA717" s="111"/>
      <c r="BB717" s="111"/>
      <c r="BC717" s="111"/>
      <c r="BD717" s="111"/>
      <c r="BE717" s="111"/>
      <c r="BF717" s="111"/>
      <c r="BG717" s="111"/>
      <c r="BH717" s="111"/>
      <c r="BI717" s="111"/>
      <c r="BJ717" s="111"/>
      <c r="BK717" s="111"/>
      <c r="BL717" s="111"/>
      <c r="BM717" s="111"/>
      <c r="BN717" s="111"/>
      <c r="BO717" s="111"/>
      <c r="BP717" s="111"/>
      <c r="BQ717" s="111"/>
      <c r="BR717" s="111"/>
      <c r="BS717" s="111"/>
      <c r="BT717" s="111"/>
      <c r="BU717" s="111"/>
      <c r="BV717" s="111"/>
      <c r="BW717" s="111"/>
      <c r="BX717" s="111"/>
      <c r="BY717" s="111"/>
      <c r="BZ717" s="111"/>
      <c r="CA717" s="111"/>
      <c r="CB717" s="111"/>
      <c r="CC717" s="111"/>
      <c r="CD717" s="111"/>
      <c r="CE717" s="111"/>
      <c r="CF717" s="111"/>
      <c r="CG717" s="111"/>
      <c r="CH717" s="111"/>
      <c r="CI717" s="111"/>
      <c r="CJ717" s="111"/>
      <c r="CK717" s="111"/>
      <c r="CL717" s="111"/>
      <c r="CM717" s="111"/>
      <c r="CN717" s="111"/>
      <c r="CO717" s="111"/>
      <c r="CP717" s="111"/>
      <c r="CQ717" s="3"/>
    </row>
    <row r="718" spans="1:95" ht="14.45" outlineLevel="1">
      <c r="A718" s="97"/>
      <c r="B718" s="97" t="s">
        <v>169</v>
      </c>
      <c r="C718" s="97"/>
      <c r="D718" s="145">
        <f>SUM(Discounted_annual_stroke_valuation)</f>
        <v>0</v>
      </c>
      <c r="E718" s="53" t="s">
        <v>780</v>
      </c>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11"/>
      <c r="AH718" s="111"/>
      <c r="AI718" s="111"/>
      <c r="AJ718" s="111"/>
      <c r="AK718" s="111"/>
      <c r="AL718" s="111"/>
      <c r="AM718" s="111"/>
      <c r="AN718" s="111"/>
      <c r="AO718" s="111"/>
      <c r="AP718" s="111"/>
      <c r="AQ718" s="111"/>
      <c r="AR718" s="111"/>
      <c r="AS718" s="111"/>
      <c r="AT718" s="111"/>
      <c r="AU718" s="111"/>
      <c r="AV718" s="111"/>
      <c r="AW718" s="111"/>
      <c r="AX718" s="111"/>
      <c r="AY718" s="111"/>
      <c r="AZ718" s="111"/>
      <c r="BA718" s="111"/>
      <c r="BB718" s="111"/>
      <c r="BC718" s="111"/>
      <c r="BD718" s="111"/>
      <c r="BE718" s="111"/>
      <c r="BF718" s="111"/>
      <c r="BG718" s="111"/>
      <c r="BH718" s="111"/>
      <c r="BI718" s="111"/>
      <c r="BJ718" s="111"/>
      <c r="BK718" s="111"/>
      <c r="BL718" s="111"/>
      <c r="BM718" s="111"/>
      <c r="BN718" s="111"/>
      <c r="BO718" s="111"/>
      <c r="BP718" s="111"/>
      <c r="BQ718" s="111"/>
      <c r="BR718" s="111"/>
      <c r="BS718" s="111"/>
      <c r="BT718" s="111"/>
      <c r="BU718" s="111"/>
      <c r="BV718" s="111"/>
      <c r="BW718" s="111"/>
      <c r="BX718" s="111"/>
      <c r="BY718" s="111"/>
      <c r="BZ718" s="111"/>
      <c r="CA718" s="111"/>
      <c r="CB718" s="111"/>
      <c r="CC718" s="111"/>
      <c r="CD718" s="111"/>
      <c r="CE718" s="111"/>
      <c r="CF718" s="111"/>
      <c r="CG718" s="111"/>
      <c r="CH718" s="111"/>
      <c r="CI718" s="111"/>
      <c r="CJ718" s="111"/>
      <c r="CK718" s="111"/>
      <c r="CL718" s="111"/>
      <c r="CM718" s="111"/>
      <c r="CN718" s="111"/>
      <c r="CO718" s="111"/>
      <c r="CP718" s="111"/>
      <c r="CQ718" s="3"/>
    </row>
    <row r="719" spans="1:95" ht="14.45" outlineLevel="1">
      <c r="A719" s="97"/>
      <c r="B719" s="97" t="s">
        <v>171</v>
      </c>
      <c r="C719" s="97"/>
      <c r="D719" s="145">
        <f>SUM(Discounted_annual_dementia_valuation)</f>
        <v>0</v>
      </c>
      <c r="E719" s="53" t="s">
        <v>781</v>
      </c>
      <c r="F719" s="97"/>
      <c r="G719" s="97"/>
      <c r="H719" s="97"/>
      <c r="I719" s="97"/>
      <c r="J719" s="97"/>
      <c r="K719" s="97"/>
      <c r="L719" s="97"/>
      <c r="M719" s="97"/>
      <c r="N719" s="97"/>
      <c r="O719" s="97"/>
      <c r="P719" s="97"/>
      <c r="Q719" s="97"/>
      <c r="R719" s="97"/>
      <c r="S719" s="97"/>
      <c r="T719" s="97"/>
      <c r="U719" s="97"/>
      <c r="V719" s="97"/>
      <c r="W719" s="97"/>
      <c r="X719" s="97"/>
      <c r="Y719" s="97"/>
      <c r="Z719" s="97"/>
      <c r="AA719" s="97"/>
      <c r="AB719" s="97"/>
      <c r="AC719" s="97"/>
      <c r="AD719" s="97"/>
      <c r="AE719" s="97"/>
      <c r="AF719" s="97"/>
      <c r="AG719" s="97"/>
      <c r="AH719" s="97"/>
      <c r="AI719" s="97"/>
      <c r="AJ719" s="97"/>
      <c r="AK719" s="97"/>
      <c r="AL719" s="97"/>
      <c r="AM719" s="97"/>
      <c r="AN719" s="97"/>
      <c r="AO719" s="97"/>
      <c r="AP719" s="97"/>
      <c r="AQ719" s="97"/>
      <c r="AR719" s="97"/>
      <c r="AS719" s="97"/>
      <c r="AT719" s="97"/>
      <c r="AU719" s="97"/>
      <c r="AV719" s="97"/>
      <c r="AW719" s="97"/>
      <c r="AX719" s="97"/>
      <c r="AY719" s="97"/>
      <c r="AZ719" s="97"/>
      <c r="BA719" s="97"/>
      <c r="BB719" s="97"/>
      <c r="BC719" s="97"/>
      <c r="BD719" s="97"/>
      <c r="BE719" s="97"/>
      <c r="BF719" s="97"/>
      <c r="BG719" s="97"/>
      <c r="BH719" s="97"/>
      <c r="BI719" s="97"/>
      <c r="BJ719" s="97"/>
      <c r="BK719" s="97"/>
      <c r="BL719" s="97"/>
      <c r="BM719" s="97"/>
      <c r="BN719" s="97"/>
      <c r="BO719" s="97"/>
      <c r="BP719" s="97"/>
      <c r="BQ719" s="97"/>
      <c r="BR719" s="97"/>
      <c r="BS719" s="97"/>
      <c r="BT719" s="97"/>
      <c r="BU719" s="97"/>
      <c r="BV719" s="97"/>
      <c r="BW719" s="97"/>
      <c r="BX719" s="97"/>
      <c r="BY719" s="97"/>
      <c r="BZ719" s="97"/>
      <c r="CA719" s="97"/>
      <c r="CB719" s="97"/>
      <c r="CC719" s="97"/>
      <c r="CD719" s="97"/>
      <c r="CE719" s="97"/>
      <c r="CF719" s="97"/>
      <c r="CG719" s="97"/>
      <c r="CH719" s="97"/>
      <c r="CI719" s="97"/>
      <c r="CJ719" s="97"/>
      <c r="CK719" s="97"/>
      <c r="CL719" s="97"/>
      <c r="CM719" s="97"/>
      <c r="CN719" s="97"/>
      <c r="CO719" s="97"/>
      <c r="CP719" s="97"/>
      <c r="CQ719" s="97"/>
    </row>
    <row r="720" spans="1:95" ht="14.45" outlineLevel="1">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97"/>
      <c r="AU720" s="97"/>
      <c r="AV720" s="97"/>
      <c r="AW720" s="97"/>
      <c r="AX720" s="97"/>
      <c r="AY720" s="97"/>
      <c r="AZ720" s="97"/>
      <c r="BA720" s="97"/>
      <c r="BB720" s="97"/>
      <c r="BC720" s="97"/>
      <c r="BD720" s="97"/>
      <c r="BE720" s="97"/>
      <c r="BF720" s="97"/>
      <c r="BG720" s="97"/>
      <c r="BH720" s="97"/>
      <c r="BI720" s="97"/>
      <c r="BJ720" s="97"/>
      <c r="BK720" s="97"/>
      <c r="BL720" s="97"/>
      <c r="BM720" s="97"/>
      <c r="BN720" s="97"/>
      <c r="BO720" s="97"/>
      <c r="BP720" s="97"/>
      <c r="BQ720" s="97"/>
      <c r="BR720" s="97"/>
      <c r="BS720" s="97"/>
      <c r="BT720" s="97"/>
      <c r="BU720" s="97"/>
      <c r="BV720" s="97"/>
      <c r="BW720" s="97"/>
      <c r="BX720" s="97"/>
      <c r="BY720" s="97"/>
      <c r="BZ720" s="97"/>
      <c r="CA720" s="97"/>
      <c r="CB720" s="97"/>
      <c r="CC720" s="97"/>
      <c r="CD720" s="97"/>
      <c r="CE720" s="97"/>
      <c r="CF720" s="97"/>
      <c r="CG720" s="97"/>
      <c r="CH720" s="97"/>
      <c r="CI720" s="97"/>
      <c r="CJ720" s="97"/>
      <c r="CK720" s="97"/>
      <c r="CL720" s="97"/>
      <c r="CM720" s="97"/>
      <c r="CN720" s="97"/>
      <c r="CO720" s="97"/>
      <c r="CP720" s="97"/>
      <c r="CQ720" s="97"/>
    </row>
    <row r="721" spans="1:95" s="5" customFormat="1" ht="15.6" outlineLevel="1">
      <c r="B721" s="5" t="s">
        <v>782</v>
      </c>
    </row>
    <row r="722" spans="1:95" ht="14.45" outlineLevel="1">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c r="AA722" s="97"/>
      <c r="AB722" s="97"/>
      <c r="AC722" s="97"/>
      <c r="AD722" s="97"/>
      <c r="AE722" s="97"/>
      <c r="AF722" s="97"/>
      <c r="AG722" s="97"/>
      <c r="AH722" s="97"/>
      <c r="AI722" s="97"/>
      <c r="AJ722" s="97"/>
      <c r="AK722" s="97"/>
      <c r="AL722" s="97"/>
      <c r="AM722" s="97"/>
      <c r="AN722" s="97"/>
      <c r="AO722" s="97"/>
      <c r="AP722" s="97"/>
      <c r="AQ722" s="97"/>
      <c r="AR722" s="97"/>
      <c r="AS722" s="97"/>
      <c r="AT722" s="97"/>
      <c r="AU722" s="97"/>
      <c r="AV722" s="97"/>
      <c r="AW722" s="97"/>
      <c r="AX722" s="97"/>
      <c r="AY722" s="97"/>
      <c r="AZ722" s="97"/>
      <c r="BA722" s="97"/>
      <c r="BB722" s="97"/>
      <c r="BC722" s="97"/>
      <c r="BD722" s="97"/>
      <c r="BE722" s="97"/>
      <c r="BF722" s="97"/>
      <c r="BG722" s="97"/>
      <c r="BH722" s="97"/>
      <c r="BI722" s="97"/>
      <c r="BJ722" s="97"/>
      <c r="BK722" s="97"/>
      <c r="BL722" s="97"/>
      <c r="BM722" s="97"/>
      <c r="BN722" s="97"/>
      <c r="BO722" s="97"/>
      <c r="BP722" s="97"/>
      <c r="BQ722" s="97"/>
      <c r="BR722" s="97"/>
      <c r="BS722" s="97"/>
      <c r="BT722" s="97"/>
      <c r="BU722" s="97"/>
      <c r="BV722" s="97"/>
      <c r="BW722" s="97"/>
      <c r="BX722" s="97"/>
      <c r="BY722" s="97"/>
      <c r="BZ722" s="97"/>
      <c r="CA722" s="97"/>
      <c r="CB722" s="97"/>
      <c r="CC722" s="97"/>
      <c r="CD722" s="97"/>
      <c r="CE722" s="97"/>
      <c r="CF722" s="97"/>
      <c r="CG722" s="97"/>
      <c r="CH722" s="97"/>
      <c r="CI722" s="97"/>
      <c r="CJ722" s="97"/>
      <c r="CK722" s="97"/>
      <c r="CL722" s="97"/>
      <c r="CM722" s="97"/>
      <c r="CN722" s="97"/>
      <c r="CO722" s="97"/>
      <c r="CP722" s="97"/>
      <c r="CQ722" s="97"/>
    </row>
    <row r="723" spans="1:95" ht="14.45" outlineLevel="1">
      <c r="A723" s="97"/>
      <c r="B723" s="97" t="s">
        <v>783</v>
      </c>
      <c r="C723" s="97"/>
      <c r="D723" s="145">
        <f>SUM(Total_discounted_sleep_disturbance_valuation,Total_discounted_amenity_valuation,Total_discounted_AMI_valuation,Total_discounted_stroke_valuation,Total_discounted_dementia_valuation)</f>
        <v>0</v>
      </c>
      <c r="E723" s="3" t="s">
        <v>784</v>
      </c>
      <c r="F723" s="97"/>
      <c r="G723" s="97"/>
      <c r="H723" s="97"/>
      <c r="I723" s="97"/>
      <c r="J723" s="97"/>
      <c r="K723" s="97"/>
      <c r="L723" s="97"/>
      <c r="M723" s="97"/>
      <c r="N723" s="97"/>
      <c r="O723" s="97"/>
      <c r="P723" s="97"/>
      <c r="Q723" s="97"/>
      <c r="R723" s="97"/>
      <c r="S723" s="97"/>
      <c r="T723" s="97"/>
      <c r="U723" s="97"/>
      <c r="V723" s="97"/>
      <c r="W723" s="97"/>
      <c r="X723" s="97"/>
      <c r="Y723" s="97"/>
      <c r="Z723" s="97"/>
      <c r="AA723" s="97"/>
      <c r="AB723" s="97"/>
      <c r="AC723" s="97"/>
      <c r="AD723" s="97"/>
      <c r="AE723" s="97"/>
      <c r="AF723" s="97"/>
      <c r="AG723" s="97"/>
      <c r="AH723" s="97"/>
      <c r="AI723" s="97"/>
      <c r="AJ723" s="97"/>
      <c r="AK723" s="97"/>
      <c r="AL723" s="97"/>
      <c r="AM723" s="97"/>
      <c r="AN723" s="97"/>
      <c r="AO723" s="97"/>
      <c r="AP723" s="97"/>
      <c r="AQ723" s="97"/>
      <c r="AR723" s="97"/>
      <c r="AS723" s="97"/>
      <c r="AT723" s="97"/>
      <c r="AU723" s="97"/>
      <c r="AV723" s="97"/>
      <c r="AW723" s="97"/>
      <c r="AX723" s="97"/>
      <c r="AY723" s="97"/>
      <c r="AZ723" s="97"/>
      <c r="BA723" s="97"/>
      <c r="BB723" s="97"/>
      <c r="BC723" s="97"/>
      <c r="BD723" s="97"/>
      <c r="BE723" s="97"/>
      <c r="BF723" s="97"/>
      <c r="BG723" s="97"/>
      <c r="BH723" s="97"/>
      <c r="BI723" s="97"/>
      <c r="BJ723" s="97"/>
      <c r="BK723" s="97"/>
      <c r="BL723" s="97"/>
      <c r="BM723" s="97"/>
      <c r="BN723" s="97"/>
      <c r="BO723" s="97"/>
      <c r="BP723" s="97"/>
      <c r="BQ723" s="97"/>
      <c r="BR723" s="97"/>
      <c r="BS723" s="97"/>
      <c r="BT723" s="97"/>
      <c r="BU723" s="97"/>
      <c r="BV723" s="97"/>
      <c r="BW723" s="97"/>
      <c r="BX723" s="97"/>
      <c r="BY723" s="97"/>
      <c r="BZ723" s="97"/>
      <c r="CA723" s="97"/>
      <c r="CB723" s="97"/>
      <c r="CC723" s="97"/>
      <c r="CD723" s="97"/>
      <c r="CE723" s="97"/>
      <c r="CF723" s="97"/>
      <c r="CG723" s="97"/>
      <c r="CH723" s="97"/>
      <c r="CI723" s="97"/>
      <c r="CJ723" s="97"/>
      <c r="CK723" s="97"/>
      <c r="CL723" s="97"/>
      <c r="CM723" s="97"/>
      <c r="CN723" s="97"/>
      <c r="CO723" s="97"/>
      <c r="CP723" s="97"/>
      <c r="CQ723" s="97"/>
    </row>
    <row r="724" spans="1:95" ht="14.45">
      <c r="A724" s="97"/>
      <c r="B724" s="97"/>
      <c r="C724" s="97"/>
      <c r="D724" s="111"/>
      <c r="E724" s="97"/>
      <c r="F724" s="97"/>
      <c r="G724" s="97"/>
      <c r="H724" s="97"/>
      <c r="I724" s="97"/>
      <c r="J724" s="97"/>
      <c r="K724" s="97"/>
      <c r="L724" s="97"/>
      <c r="M724" s="97"/>
      <c r="N724" s="97"/>
      <c r="O724" s="97"/>
      <c r="P724" s="97"/>
      <c r="Q724" s="97"/>
      <c r="R724" s="97"/>
      <c r="S724" s="97"/>
      <c r="T724" s="97"/>
      <c r="U724" s="97"/>
      <c r="V724" s="97"/>
      <c r="W724" s="97"/>
      <c r="X724" s="97"/>
      <c r="Y724" s="97"/>
      <c r="Z724" s="97"/>
      <c r="AA724" s="97"/>
      <c r="AB724" s="97"/>
      <c r="AC724" s="97"/>
      <c r="AD724" s="97"/>
      <c r="AE724" s="97"/>
      <c r="AF724" s="97"/>
      <c r="AG724" s="97"/>
      <c r="AH724" s="97"/>
      <c r="AI724" s="97"/>
      <c r="AJ724" s="97"/>
      <c r="AK724" s="97"/>
      <c r="AL724" s="97"/>
      <c r="AM724" s="97"/>
      <c r="AN724" s="97"/>
      <c r="AO724" s="97"/>
      <c r="AP724" s="97"/>
      <c r="AQ724" s="97"/>
      <c r="AR724" s="97"/>
      <c r="AS724" s="97"/>
      <c r="AT724" s="97"/>
      <c r="AU724" s="97"/>
      <c r="AV724" s="97"/>
      <c r="AW724" s="97"/>
      <c r="AX724" s="97"/>
      <c r="AY724" s="97"/>
      <c r="AZ724" s="97"/>
      <c r="BA724" s="97"/>
      <c r="BB724" s="97"/>
      <c r="BC724" s="97"/>
      <c r="BD724" s="97"/>
      <c r="BE724" s="97"/>
      <c r="BF724" s="97"/>
      <c r="BG724" s="97"/>
      <c r="BH724" s="97"/>
      <c r="BI724" s="97"/>
      <c r="BJ724" s="97"/>
      <c r="BK724" s="97"/>
      <c r="BL724" s="97"/>
      <c r="BM724" s="97"/>
      <c r="BN724" s="97"/>
      <c r="BO724" s="97"/>
      <c r="BP724" s="97"/>
      <c r="BQ724" s="97"/>
      <c r="BR724" s="97"/>
      <c r="BS724" s="97"/>
      <c r="BT724" s="97"/>
      <c r="BU724" s="97"/>
      <c r="BV724" s="97"/>
      <c r="BW724" s="97"/>
      <c r="BX724" s="97"/>
      <c r="BY724" s="97"/>
      <c r="BZ724" s="97"/>
      <c r="CA724" s="97"/>
      <c r="CB724" s="97"/>
      <c r="CC724" s="97"/>
      <c r="CD724" s="97"/>
      <c r="CE724" s="97"/>
      <c r="CF724" s="97"/>
      <c r="CG724" s="97"/>
      <c r="CH724" s="97"/>
      <c r="CI724" s="97"/>
      <c r="CJ724" s="97"/>
      <c r="CK724" s="97"/>
      <c r="CL724" s="97"/>
      <c r="CM724" s="97"/>
      <c r="CN724" s="97"/>
      <c r="CO724" s="97"/>
      <c r="CP724" s="97"/>
      <c r="CQ724" s="97"/>
    </row>
    <row r="725" spans="1:95" ht="14.45" hidden="1">
      <c r="A725" s="97"/>
      <c r="B725" s="97"/>
      <c r="C725" s="97"/>
      <c r="D725" s="111"/>
      <c r="E725" s="97"/>
      <c r="F725" s="97"/>
      <c r="G725" s="97"/>
      <c r="H725" s="97"/>
      <c r="I725" s="97"/>
      <c r="J725" s="97"/>
      <c r="K725" s="97"/>
      <c r="L725" s="97"/>
      <c r="M725" s="97"/>
      <c r="N725" s="97"/>
      <c r="O725" s="97"/>
      <c r="P725" s="97"/>
      <c r="Q725" s="97"/>
      <c r="R725" s="97"/>
      <c r="S725" s="97"/>
      <c r="T725" s="97"/>
      <c r="U725" s="97"/>
      <c r="V725" s="97"/>
      <c r="W725" s="97"/>
      <c r="X725" s="97"/>
      <c r="Y725" s="97"/>
      <c r="Z725" s="97"/>
      <c r="AA725" s="97"/>
      <c r="AB725" s="97"/>
      <c r="AC725" s="97"/>
      <c r="AD725" s="97"/>
      <c r="AE725" s="97"/>
      <c r="AF725" s="97"/>
      <c r="AG725" s="97"/>
      <c r="AH725" s="97"/>
      <c r="AI725" s="97"/>
      <c r="AJ725" s="97"/>
      <c r="AK725" s="97"/>
      <c r="AL725" s="97"/>
      <c r="AM725" s="97"/>
      <c r="AN725" s="97"/>
      <c r="AO725" s="97"/>
      <c r="AP725" s="97"/>
      <c r="AQ725" s="97"/>
      <c r="AR725" s="97"/>
      <c r="AS725" s="97"/>
      <c r="AT725" s="97"/>
      <c r="AU725" s="97"/>
      <c r="AV725" s="97"/>
      <c r="AW725" s="97"/>
      <c r="AX725" s="97"/>
      <c r="AY725" s="97"/>
      <c r="AZ725" s="97"/>
      <c r="BA725" s="97"/>
      <c r="BB725" s="97"/>
      <c r="BC725" s="97"/>
      <c r="BD725" s="97"/>
      <c r="BE725" s="97"/>
      <c r="BF725" s="97"/>
      <c r="BG725" s="97"/>
      <c r="BH725" s="97"/>
      <c r="BI725" s="97"/>
      <c r="BJ725" s="97"/>
      <c r="BK725" s="97"/>
      <c r="BL725" s="97"/>
      <c r="BM725" s="97"/>
      <c r="BN725" s="97"/>
      <c r="BO725" s="97"/>
      <c r="BP725" s="97"/>
      <c r="BQ725" s="97"/>
      <c r="BR725" s="97"/>
      <c r="BS725" s="97"/>
      <c r="BT725" s="97"/>
      <c r="BU725" s="97"/>
      <c r="BV725" s="97"/>
      <c r="BW725" s="97"/>
      <c r="BX725" s="97"/>
      <c r="BY725" s="97"/>
      <c r="BZ725" s="97"/>
      <c r="CA725" s="97"/>
      <c r="CB725" s="97"/>
      <c r="CC725" s="97"/>
      <c r="CD725" s="97"/>
      <c r="CE725" s="97"/>
      <c r="CF725" s="97"/>
      <c r="CG725" s="97"/>
      <c r="CH725" s="97"/>
      <c r="CI725" s="97"/>
      <c r="CJ725" s="97"/>
      <c r="CK725" s="97"/>
      <c r="CL725" s="97"/>
      <c r="CM725" s="97"/>
      <c r="CN725" s="97"/>
      <c r="CO725" s="97"/>
      <c r="CP725" s="97"/>
      <c r="CQ725" s="97"/>
    </row>
    <row r="726" spans="1:95" ht="14.45" hidden="1">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c r="AA726" s="97"/>
      <c r="AB726" s="97"/>
      <c r="AC726" s="97"/>
      <c r="AD726" s="97"/>
      <c r="AE726" s="97"/>
      <c r="AF726" s="97"/>
      <c r="AG726" s="97"/>
      <c r="AH726" s="97"/>
      <c r="AI726" s="97"/>
      <c r="AJ726" s="97"/>
      <c r="AK726" s="97"/>
      <c r="AL726" s="97"/>
      <c r="AM726" s="97"/>
      <c r="AN726" s="97"/>
      <c r="AO726" s="97"/>
      <c r="AP726" s="97"/>
      <c r="AQ726" s="97"/>
      <c r="AR726" s="97"/>
      <c r="AS726" s="97"/>
      <c r="AT726" s="97"/>
      <c r="AU726" s="97"/>
      <c r="AV726" s="97"/>
      <c r="AW726" s="97"/>
      <c r="AX726" s="97"/>
      <c r="AY726" s="97"/>
      <c r="AZ726" s="97"/>
      <c r="BA726" s="97"/>
      <c r="BB726" s="97"/>
      <c r="BC726" s="97"/>
      <c r="BD726" s="97"/>
      <c r="BE726" s="97"/>
      <c r="BF726" s="97"/>
      <c r="BG726" s="97"/>
      <c r="BH726" s="97"/>
      <c r="BI726" s="97"/>
      <c r="BJ726" s="97"/>
      <c r="BK726" s="97"/>
      <c r="BL726" s="97"/>
      <c r="BM726" s="97"/>
      <c r="BN726" s="97"/>
      <c r="BO726" s="97"/>
      <c r="BP726" s="97"/>
      <c r="BQ726" s="97"/>
      <c r="BR726" s="97"/>
      <c r="BS726" s="97"/>
      <c r="BT726" s="97"/>
      <c r="BU726" s="97"/>
      <c r="BV726" s="97"/>
      <c r="BW726" s="97"/>
      <c r="BX726" s="97"/>
      <c r="BY726" s="97"/>
      <c r="BZ726" s="97"/>
      <c r="CA726" s="97"/>
      <c r="CB726" s="97"/>
      <c r="CC726" s="97"/>
      <c r="CD726" s="97"/>
      <c r="CE726" s="97"/>
      <c r="CF726" s="97"/>
      <c r="CG726" s="97"/>
      <c r="CH726" s="97"/>
      <c r="CI726" s="97"/>
      <c r="CJ726" s="97"/>
      <c r="CK726" s="97"/>
      <c r="CL726" s="97"/>
      <c r="CM726" s="97"/>
      <c r="CN726" s="97"/>
      <c r="CO726" s="97"/>
      <c r="CP726" s="97"/>
      <c r="CQ726" s="97"/>
    </row>
    <row r="727" spans="1:95" ht="14.45" hidden="1">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7"/>
      <c r="AW727" s="97"/>
      <c r="AX727" s="97"/>
      <c r="AY727" s="97"/>
      <c r="AZ727" s="97"/>
      <c r="BA727" s="97"/>
      <c r="BB727" s="97"/>
      <c r="BC727" s="97"/>
      <c r="BD727" s="97"/>
      <c r="BE727" s="97"/>
      <c r="BF727" s="97"/>
      <c r="BG727" s="97"/>
      <c r="BH727" s="97"/>
      <c r="BI727" s="97"/>
      <c r="BJ727" s="97"/>
      <c r="BK727" s="97"/>
      <c r="BL727" s="97"/>
      <c r="BM727" s="97"/>
      <c r="BN727" s="97"/>
      <c r="BO727" s="97"/>
      <c r="BP727" s="97"/>
      <c r="BQ727" s="97"/>
      <c r="BR727" s="97"/>
      <c r="BS727" s="97"/>
      <c r="BT727" s="97"/>
      <c r="BU727" s="97"/>
      <c r="BV727" s="97"/>
      <c r="BW727" s="97"/>
      <c r="BX727" s="97"/>
      <c r="BY727" s="97"/>
      <c r="BZ727" s="97"/>
      <c r="CA727" s="97"/>
      <c r="CB727" s="97"/>
      <c r="CC727" s="97"/>
      <c r="CD727" s="97"/>
      <c r="CE727" s="97"/>
      <c r="CF727" s="97"/>
      <c r="CG727" s="97"/>
      <c r="CH727" s="97"/>
      <c r="CI727" s="97"/>
      <c r="CJ727" s="97"/>
      <c r="CK727" s="97"/>
      <c r="CL727" s="97"/>
      <c r="CM727" s="97"/>
      <c r="CN727" s="97"/>
      <c r="CO727" s="97"/>
      <c r="CP727" s="97"/>
      <c r="CQ727" s="97"/>
    </row>
    <row r="728" spans="1:95" ht="14.45" hidden="1">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c r="AA728" s="97"/>
      <c r="AB728" s="97"/>
      <c r="AC728" s="97"/>
      <c r="AD728" s="97"/>
      <c r="AE728" s="97"/>
      <c r="AF728" s="97"/>
      <c r="AG728" s="97"/>
      <c r="AH728" s="97"/>
      <c r="AI728" s="97"/>
      <c r="AJ728" s="97"/>
      <c r="AK728" s="97"/>
      <c r="AL728" s="97"/>
      <c r="AM728" s="97"/>
      <c r="AN728" s="97"/>
      <c r="AO728" s="97"/>
      <c r="AP728" s="97"/>
      <c r="AQ728" s="97"/>
      <c r="AR728" s="97"/>
      <c r="AS728" s="97"/>
      <c r="AT728" s="97"/>
      <c r="AU728" s="97"/>
      <c r="AV728" s="97"/>
      <c r="AW728" s="97"/>
      <c r="AX728" s="97"/>
      <c r="AY728" s="97"/>
      <c r="AZ728" s="97"/>
      <c r="BA728" s="97"/>
      <c r="BB728" s="97"/>
      <c r="BC728" s="97"/>
      <c r="BD728" s="97"/>
      <c r="BE728" s="97"/>
      <c r="BF728" s="97"/>
      <c r="BG728" s="97"/>
      <c r="BH728" s="97"/>
      <c r="BI728" s="97"/>
      <c r="BJ728" s="97"/>
      <c r="BK728" s="97"/>
      <c r="BL728" s="97"/>
      <c r="BM728" s="97"/>
      <c r="BN728" s="97"/>
      <c r="BO728" s="97"/>
      <c r="BP728" s="97"/>
      <c r="BQ728" s="97"/>
      <c r="BR728" s="97"/>
      <c r="BS728" s="97"/>
      <c r="BT728" s="97"/>
      <c r="BU728" s="97"/>
      <c r="BV728" s="97"/>
      <c r="BW728" s="97"/>
      <c r="BX728" s="97"/>
      <c r="BY728" s="97"/>
      <c r="BZ728" s="97"/>
      <c r="CA728" s="97"/>
      <c r="CB728" s="97"/>
      <c r="CC728" s="97"/>
      <c r="CD728" s="97"/>
      <c r="CE728" s="97"/>
      <c r="CF728" s="97"/>
      <c r="CG728" s="97"/>
      <c r="CH728" s="97"/>
      <c r="CI728" s="97"/>
      <c r="CJ728" s="97"/>
      <c r="CK728" s="97"/>
      <c r="CL728" s="97"/>
      <c r="CM728" s="97"/>
      <c r="CN728" s="97"/>
      <c r="CO728" s="97"/>
      <c r="CP728" s="97"/>
      <c r="CQ728" s="97"/>
    </row>
    <row r="729" spans="1:95" ht="14.45" hidden="1">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c r="AA729" s="97"/>
      <c r="AB729" s="97"/>
      <c r="AC729" s="97"/>
      <c r="AD729" s="97"/>
      <c r="AE729" s="97"/>
      <c r="AF729" s="97"/>
      <c r="AG729" s="97"/>
      <c r="AH729" s="97"/>
      <c r="AI729" s="97"/>
      <c r="AJ729" s="97"/>
      <c r="AK729" s="97"/>
      <c r="AL729" s="97"/>
      <c r="AM729" s="97"/>
      <c r="AN729" s="97"/>
      <c r="AO729" s="97"/>
      <c r="AP729" s="97"/>
      <c r="AQ729" s="97"/>
      <c r="AR729" s="97"/>
      <c r="AS729" s="97"/>
      <c r="AT729" s="97"/>
      <c r="AU729" s="97"/>
      <c r="AV729" s="97"/>
      <c r="AW729" s="97"/>
      <c r="AX729" s="97"/>
      <c r="AY729" s="97"/>
      <c r="AZ729" s="97"/>
      <c r="BA729" s="97"/>
      <c r="BB729" s="97"/>
      <c r="BC729" s="97"/>
      <c r="BD729" s="97"/>
      <c r="BE729" s="97"/>
      <c r="BF729" s="97"/>
      <c r="BG729" s="97"/>
      <c r="BH729" s="97"/>
      <c r="BI729" s="97"/>
      <c r="BJ729" s="97"/>
      <c r="BK729" s="97"/>
      <c r="BL729" s="97"/>
      <c r="BM729" s="97"/>
      <c r="BN729" s="97"/>
      <c r="BO729" s="97"/>
      <c r="BP729" s="97"/>
      <c r="BQ729" s="97"/>
      <c r="BR729" s="97"/>
      <c r="BS729" s="97"/>
      <c r="BT729" s="97"/>
      <c r="BU729" s="97"/>
      <c r="BV729" s="97"/>
      <c r="BW729" s="97"/>
      <c r="BX729" s="97"/>
      <c r="BY729" s="97"/>
      <c r="BZ729" s="97"/>
      <c r="CA729" s="97"/>
      <c r="CB729" s="97"/>
      <c r="CC729" s="97"/>
      <c r="CD729" s="97"/>
      <c r="CE729" s="97"/>
      <c r="CF729" s="97"/>
      <c r="CG729" s="97"/>
      <c r="CH729" s="97"/>
      <c r="CI729" s="97"/>
      <c r="CJ729" s="97"/>
      <c r="CK729" s="97"/>
      <c r="CL729" s="97"/>
      <c r="CM729" s="97"/>
      <c r="CN729" s="97"/>
      <c r="CO729" s="97"/>
      <c r="CP729" s="97"/>
      <c r="CQ729" s="97"/>
    </row>
    <row r="730" spans="1:95" ht="14.45" hidden="1">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c r="AA730" s="97"/>
      <c r="AB730" s="97"/>
      <c r="AC730" s="97"/>
      <c r="AD730" s="97"/>
      <c r="AE730" s="97"/>
      <c r="AF730" s="97"/>
      <c r="AG730" s="97"/>
      <c r="AH730" s="97"/>
      <c r="AI730" s="97"/>
      <c r="AJ730" s="97"/>
      <c r="AK730" s="97"/>
      <c r="AL730" s="97"/>
      <c r="AM730" s="97"/>
      <c r="AN730" s="97"/>
      <c r="AO730" s="97"/>
      <c r="AP730" s="97"/>
      <c r="AQ730" s="97"/>
      <c r="AR730" s="97"/>
      <c r="AS730" s="97"/>
      <c r="AT730" s="97"/>
      <c r="AU730" s="97"/>
      <c r="AV730" s="97"/>
      <c r="AW730" s="97"/>
      <c r="AX730" s="97"/>
      <c r="AY730" s="97"/>
      <c r="AZ730" s="97"/>
      <c r="BA730" s="97"/>
      <c r="BB730" s="97"/>
      <c r="BC730" s="97"/>
      <c r="BD730" s="97"/>
      <c r="BE730" s="97"/>
      <c r="BF730" s="97"/>
      <c r="BG730" s="97"/>
      <c r="BH730" s="97"/>
      <c r="BI730" s="97"/>
      <c r="BJ730" s="97"/>
      <c r="BK730" s="97"/>
      <c r="BL730" s="97"/>
      <c r="BM730" s="97"/>
      <c r="BN730" s="97"/>
      <c r="BO730" s="97"/>
      <c r="BP730" s="97"/>
      <c r="BQ730" s="97"/>
      <c r="BR730" s="97"/>
      <c r="BS730" s="97"/>
      <c r="BT730" s="97"/>
      <c r="BU730" s="97"/>
      <c r="BV730" s="97"/>
      <c r="BW730" s="97"/>
      <c r="BX730" s="97"/>
      <c r="BY730" s="97"/>
      <c r="BZ730" s="97"/>
      <c r="CA730" s="97"/>
      <c r="CB730" s="97"/>
      <c r="CC730" s="97"/>
      <c r="CD730" s="97"/>
      <c r="CE730" s="97"/>
      <c r="CF730" s="97"/>
      <c r="CG730" s="97"/>
      <c r="CH730" s="97"/>
      <c r="CI730" s="97"/>
      <c r="CJ730" s="97"/>
      <c r="CK730" s="97"/>
      <c r="CL730" s="97"/>
      <c r="CM730" s="97"/>
      <c r="CN730" s="97"/>
      <c r="CO730" s="97"/>
      <c r="CP730" s="97"/>
      <c r="CQ730" s="97"/>
    </row>
    <row r="731" spans="1:95" ht="14.45" hidden="1">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c r="AA731" s="97"/>
      <c r="AB731" s="97"/>
      <c r="AC731" s="97"/>
      <c r="AD731" s="97"/>
      <c r="AE731" s="97"/>
      <c r="AF731" s="97"/>
      <c r="AG731" s="97"/>
      <c r="AH731" s="97"/>
      <c r="AI731" s="97"/>
      <c r="AJ731" s="97"/>
      <c r="AK731" s="97"/>
      <c r="AL731" s="97"/>
      <c r="AM731" s="97"/>
      <c r="AN731" s="97"/>
      <c r="AO731" s="97"/>
      <c r="AP731" s="97"/>
      <c r="AQ731" s="97"/>
      <c r="AR731" s="97"/>
      <c r="AS731" s="97"/>
      <c r="AT731" s="97"/>
      <c r="AU731" s="97"/>
      <c r="AV731" s="97"/>
      <c r="AW731" s="97"/>
      <c r="AX731" s="97"/>
      <c r="AY731" s="97"/>
      <c r="AZ731" s="97"/>
      <c r="BA731" s="97"/>
      <c r="BB731" s="97"/>
      <c r="BC731" s="97"/>
      <c r="BD731" s="97"/>
      <c r="BE731" s="97"/>
      <c r="BF731" s="97"/>
      <c r="BG731" s="97"/>
      <c r="BH731" s="97"/>
      <c r="BI731" s="97"/>
      <c r="BJ731" s="97"/>
      <c r="BK731" s="97"/>
      <c r="BL731" s="97"/>
      <c r="BM731" s="97"/>
      <c r="BN731" s="97"/>
      <c r="BO731" s="97"/>
      <c r="BP731" s="97"/>
      <c r="BQ731" s="97"/>
      <c r="BR731" s="97"/>
      <c r="BS731" s="97"/>
      <c r="BT731" s="97"/>
      <c r="BU731" s="97"/>
      <c r="BV731" s="97"/>
      <c r="BW731" s="97"/>
      <c r="BX731" s="97"/>
      <c r="BY731" s="97"/>
      <c r="BZ731" s="97"/>
      <c r="CA731" s="97"/>
      <c r="CB731" s="97"/>
      <c r="CC731" s="97"/>
      <c r="CD731" s="97"/>
      <c r="CE731" s="97"/>
      <c r="CF731" s="97"/>
      <c r="CG731" s="97"/>
      <c r="CH731" s="97"/>
      <c r="CI731" s="97"/>
      <c r="CJ731" s="97"/>
      <c r="CK731" s="97"/>
      <c r="CL731" s="97"/>
      <c r="CM731" s="97"/>
      <c r="CN731" s="97"/>
      <c r="CO731" s="97"/>
      <c r="CP731" s="97"/>
      <c r="CQ731" s="97"/>
    </row>
    <row r="732" spans="1:95" ht="14.45" hidden="1">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c r="AA732" s="97"/>
      <c r="AB732" s="97"/>
      <c r="AC732" s="97"/>
      <c r="AD732" s="97"/>
      <c r="AE732" s="97"/>
      <c r="AF732" s="97"/>
      <c r="AG732" s="97"/>
      <c r="AH732" s="97"/>
      <c r="AI732" s="97"/>
      <c r="AJ732" s="97"/>
      <c r="AK732" s="97"/>
      <c r="AL732" s="97"/>
      <c r="AM732" s="97"/>
      <c r="AN732" s="97"/>
      <c r="AO732" s="97"/>
      <c r="AP732" s="97"/>
      <c r="AQ732" s="97"/>
      <c r="AR732" s="97"/>
      <c r="AS732" s="97"/>
      <c r="AT732" s="97"/>
      <c r="AU732" s="97"/>
      <c r="AV732" s="97"/>
      <c r="AW732" s="97"/>
      <c r="AX732" s="97"/>
      <c r="AY732" s="97"/>
      <c r="AZ732" s="97"/>
      <c r="BA732" s="97"/>
      <c r="BB732" s="97"/>
      <c r="BC732" s="97"/>
      <c r="BD732" s="97"/>
      <c r="BE732" s="97"/>
      <c r="BF732" s="97"/>
      <c r="BG732" s="97"/>
      <c r="BH732" s="97"/>
      <c r="BI732" s="97"/>
      <c r="BJ732" s="97"/>
      <c r="BK732" s="97"/>
      <c r="BL732" s="97"/>
      <c r="BM732" s="97"/>
      <c r="BN732" s="97"/>
      <c r="BO732" s="97"/>
      <c r="BP732" s="97"/>
      <c r="BQ732" s="97"/>
      <c r="BR732" s="97"/>
      <c r="BS732" s="97"/>
      <c r="BT732" s="97"/>
      <c r="BU732" s="97"/>
      <c r="BV732" s="97"/>
      <c r="BW732" s="97"/>
      <c r="BX732" s="97"/>
      <c r="BY732" s="97"/>
      <c r="BZ732" s="97"/>
      <c r="CA732" s="97"/>
      <c r="CB732" s="97"/>
      <c r="CC732" s="97"/>
      <c r="CD732" s="97"/>
      <c r="CE732" s="97"/>
      <c r="CF732" s="97"/>
      <c r="CG732" s="97"/>
      <c r="CH732" s="97"/>
      <c r="CI732" s="97"/>
      <c r="CJ732" s="97"/>
      <c r="CK732" s="97"/>
      <c r="CL732" s="97"/>
      <c r="CM732" s="97"/>
      <c r="CN732" s="97"/>
      <c r="CO732" s="97"/>
      <c r="CP732" s="97"/>
      <c r="CQ732" s="97"/>
    </row>
    <row r="733" spans="1:95" ht="14.45" hidden="1">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c r="AA733" s="97"/>
      <c r="AB733" s="97"/>
      <c r="AC733" s="97"/>
      <c r="AD733" s="97"/>
      <c r="AE733" s="97"/>
      <c r="AF733" s="97"/>
      <c r="AG733" s="97"/>
      <c r="AH733" s="97"/>
      <c r="AI733" s="97"/>
      <c r="AJ733" s="97"/>
      <c r="AK733" s="97"/>
      <c r="AL733" s="97"/>
      <c r="AM733" s="97"/>
      <c r="AN733" s="97"/>
      <c r="AO733" s="97"/>
      <c r="AP733" s="97"/>
      <c r="AQ733" s="97"/>
      <c r="AR733" s="97"/>
      <c r="AS733" s="97"/>
      <c r="AT733" s="97"/>
      <c r="AU733" s="97"/>
      <c r="AV733" s="97"/>
      <c r="AW733" s="97"/>
      <c r="AX733" s="97"/>
      <c r="AY733" s="97"/>
      <c r="AZ733" s="97"/>
      <c r="BA733" s="97"/>
      <c r="BB733" s="97"/>
      <c r="BC733" s="97"/>
      <c r="BD733" s="97"/>
      <c r="BE733" s="97"/>
      <c r="BF733" s="97"/>
      <c r="BG733" s="97"/>
      <c r="BH733" s="97"/>
      <c r="BI733" s="97"/>
      <c r="BJ733" s="97"/>
      <c r="BK733" s="97"/>
      <c r="BL733" s="97"/>
      <c r="BM733" s="97"/>
      <c r="BN733" s="97"/>
      <c r="BO733" s="97"/>
      <c r="BP733" s="97"/>
      <c r="BQ733" s="97"/>
      <c r="BR733" s="97"/>
      <c r="BS733" s="97"/>
      <c r="BT733" s="97"/>
      <c r="BU733" s="97"/>
      <c r="BV733" s="97"/>
      <c r="BW733" s="97"/>
      <c r="BX733" s="97"/>
      <c r="BY733" s="97"/>
      <c r="BZ733" s="97"/>
      <c r="CA733" s="97"/>
      <c r="CB733" s="97"/>
      <c r="CC733" s="97"/>
      <c r="CD733" s="97"/>
      <c r="CE733" s="97"/>
      <c r="CF733" s="97"/>
      <c r="CG733" s="97"/>
      <c r="CH733" s="97"/>
      <c r="CI733" s="97"/>
      <c r="CJ733" s="97"/>
      <c r="CK733" s="97"/>
      <c r="CL733" s="97"/>
      <c r="CM733" s="97"/>
      <c r="CN733" s="97"/>
      <c r="CO733" s="97"/>
      <c r="CP733" s="97"/>
      <c r="CQ733" s="97"/>
    </row>
    <row r="734" spans="1:95" ht="14.45" hidden="1">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c r="AA734" s="97"/>
      <c r="AB734" s="97"/>
      <c r="AC734" s="97"/>
      <c r="AD734" s="97"/>
      <c r="AE734" s="97"/>
      <c r="AF734" s="97"/>
      <c r="AG734" s="97"/>
      <c r="AH734" s="97"/>
      <c r="AI734" s="97"/>
      <c r="AJ734" s="97"/>
      <c r="AK734" s="97"/>
      <c r="AL734" s="97"/>
      <c r="AM734" s="97"/>
      <c r="AN734" s="97"/>
      <c r="AO734" s="97"/>
      <c r="AP734" s="97"/>
      <c r="AQ734" s="97"/>
      <c r="AR734" s="97"/>
      <c r="AS734" s="97"/>
      <c r="AT734" s="97"/>
      <c r="AU734" s="97"/>
      <c r="AV734" s="97"/>
      <c r="AW734" s="97"/>
      <c r="AX734" s="97"/>
      <c r="AY734" s="97"/>
      <c r="AZ734" s="97"/>
      <c r="BA734" s="97"/>
      <c r="BB734" s="97"/>
      <c r="BC734" s="97"/>
      <c r="BD734" s="97"/>
      <c r="BE734" s="97"/>
      <c r="BF734" s="97"/>
      <c r="BG734" s="97"/>
      <c r="BH734" s="97"/>
      <c r="BI734" s="97"/>
      <c r="BJ734" s="97"/>
      <c r="BK734" s="97"/>
      <c r="BL734" s="97"/>
      <c r="BM734" s="97"/>
      <c r="BN734" s="97"/>
      <c r="BO734" s="97"/>
      <c r="BP734" s="97"/>
      <c r="BQ734" s="97"/>
      <c r="BR734" s="97"/>
      <c r="BS734" s="97"/>
      <c r="BT734" s="97"/>
      <c r="BU734" s="97"/>
      <c r="BV734" s="97"/>
      <c r="BW734" s="97"/>
      <c r="BX734" s="97"/>
      <c r="BY734" s="97"/>
      <c r="BZ734" s="97"/>
      <c r="CA734" s="97"/>
      <c r="CB734" s="97"/>
      <c r="CC734" s="97"/>
      <c r="CD734" s="97"/>
      <c r="CE734" s="97"/>
      <c r="CF734" s="97"/>
      <c r="CG734" s="97"/>
      <c r="CH734" s="97"/>
      <c r="CI734" s="97"/>
      <c r="CJ734" s="97"/>
      <c r="CK734" s="97"/>
      <c r="CL734" s="97"/>
      <c r="CM734" s="97"/>
      <c r="CN734" s="97"/>
      <c r="CO734" s="97"/>
      <c r="CP734" s="97"/>
      <c r="CQ734" s="97"/>
    </row>
    <row r="735" spans="1:95" ht="14.45" hidden="1">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c r="AA735" s="97"/>
      <c r="AB735" s="97"/>
      <c r="AC735" s="97"/>
      <c r="AD735" s="97"/>
      <c r="AE735" s="97"/>
      <c r="AF735" s="97"/>
      <c r="AG735" s="97"/>
      <c r="AH735" s="97"/>
      <c r="AI735" s="97"/>
      <c r="AJ735" s="97"/>
      <c r="AK735" s="97"/>
      <c r="AL735" s="97"/>
      <c r="AM735" s="97"/>
      <c r="AN735" s="97"/>
      <c r="AO735" s="97"/>
      <c r="AP735" s="97"/>
      <c r="AQ735" s="97"/>
      <c r="AR735" s="97"/>
      <c r="AS735" s="97"/>
      <c r="AT735" s="97"/>
      <c r="AU735" s="97"/>
      <c r="AV735" s="97"/>
      <c r="AW735" s="97"/>
      <c r="AX735" s="97"/>
      <c r="AY735" s="97"/>
      <c r="AZ735" s="97"/>
      <c r="BA735" s="97"/>
      <c r="BB735" s="97"/>
      <c r="BC735" s="97"/>
      <c r="BD735" s="97"/>
      <c r="BE735" s="97"/>
      <c r="BF735" s="97"/>
      <c r="BG735" s="97"/>
      <c r="BH735" s="97"/>
      <c r="BI735" s="97"/>
      <c r="BJ735" s="97"/>
      <c r="BK735" s="97"/>
      <c r="BL735" s="97"/>
      <c r="BM735" s="97"/>
      <c r="BN735" s="97"/>
      <c r="BO735" s="97"/>
      <c r="BP735" s="97"/>
      <c r="BQ735" s="97"/>
      <c r="BR735" s="97"/>
      <c r="BS735" s="97"/>
      <c r="BT735" s="97"/>
      <c r="BU735" s="97"/>
      <c r="BV735" s="97"/>
      <c r="BW735" s="97"/>
      <c r="BX735" s="97"/>
      <c r="BY735" s="97"/>
      <c r="BZ735" s="97"/>
      <c r="CA735" s="97"/>
      <c r="CB735" s="97"/>
      <c r="CC735" s="97"/>
      <c r="CD735" s="97"/>
      <c r="CE735" s="97"/>
      <c r="CF735" s="97"/>
      <c r="CG735" s="97"/>
      <c r="CH735" s="97"/>
      <c r="CI735" s="97"/>
      <c r="CJ735" s="97"/>
      <c r="CK735" s="97"/>
      <c r="CL735" s="97"/>
      <c r="CM735" s="97"/>
      <c r="CN735" s="97"/>
      <c r="CO735" s="97"/>
      <c r="CP735" s="97"/>
      <c r="CQ735" s="97"/>
    </row>
    <row r="736" spans="1:95" ht="14.45" hidden="1">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c r="AA736" s="97"/>
      <c r="AB736" s="97"/>
      <c r="AC736" s="97"/>
      <c r="AD736" s="97"/>
      <c r="AE736" s="97"/>
      <c r="AF736" s="97"/>
      <c r="AG736" s="97"/>
      <c r="AH736" s="97"/>
      <c r="AI736" s="97"/>
      <c r="AJ736" s="97"/>
      <c r="AK736" s="97"/>
      <c r="AL736" s="97"/>
      <c r="AM736" s="97"/>
      <c r="AN736" s="97"/>
      <c r="AO736" s="97"/>
      <c r="AP736" s="97"/>
      <c r="AQ736" s="97"/>
      <c r="AR736" s="97"/>
      <c r="AS736" s="97"/>
      <c r="AT736" s="97"/>
      <c r="AU736" s="97"/>
      <c r="AV736" s="97"/>
      <c r="AW736" s="97"/>
      <c r="AX736" s="97"/>
      <c r="AY736" s="97"/>
      <c r="AZ736" s="97"/>
      <c r="BA736" s="97"/>
      <c r="BB736" s="97"/>
      <c r="BC736" s="97"/>
      <c r="BD736" s="97"/>
      <c r="BE736" s="97"/>
      <c r="BF736" s="97"/>
      <c r="BG736" s="97"/>
      <c r="BH736" s="97"/>
      <c r="BI736" s="97"/>
      <c r="BJ736" s="97"/>
      <c r="BK736" s="97"/>
      <c r="BL736" s="97"/>
      <c r="BM736" s="97"/>
      <c r="BN736" s="97"/>
      <c r="BO736" s="97"/>
      <c r="BP736" s="97"/>
      <c r="BQ736" s="97"/>
      <c r="BR736" s="97"/>
      <c r="BS736" s="97"/>
      <c r="BT736" s="97"/>
      <c r="BU736" s="97"/>
      <c r="BV736" s="97"/>
      <c r="BW736" s="97"/>
      <c r="BX736" s="97"/>
      <c r="BY736" s="97"/>
      <c r="BZ736" s="97"/>
      <c r="CA736" s="97"/>
      <c r="CB736" s="97"/>
      <c r="CC736" s="97"/>
      <c r="CD736" s="97"/>
      <c r="CE736" s="97"/>
      <c r="CF736" s="97"/>
      <c r="CG736" s="97"/>
      <c r="CH736" s="97"/>
      <c r="CI736" s="97"/>
      <c r="CJ736" s="97"/>
      <c r="CK736" s="97"/>
      <c r="CL736" s="97"/>
      <c r="CM736" s="97"/>
      <c r="CN736" s="97"/>
      <c r="CO736" s="97"/>
      <c r="CP736" s="97"/>
      <c r="CQ736" s="97"/>
    </row>
    <row r="737" spans="1:95" ht="14.45" hidden="1">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c r="AA737" s="97"/>
      <c r="AB737" s="97"/>
      <c r="AC737" s="97"/>
      <c r="AD737" s="97"/>
      <c r="AE737" s="97"/>
      <c r="AF737" s="97"/>
      <c r="AG737" s="97"/>
      <c r="AH737" s="97"/>
      <c r="AI737" s="97"/>
      <c r="AJ737" s="97"/>
      <c r="AK737" s="97"/>
      <c r="AL737" s="97"/>
      <c r="AM737" s="97"/>
      <c r="AN737" s="97"/>
      <c r="AO737" s="97"/>
      <c r="AP737" s="97"/>
      <c r="AQ737" s="97"/>
      <c r="AR737" s="97"/>
      <c r="AS737" s="97"/>
      <c r="AT737" s="97"/>
      <c r="AU737" s="97"/>
      <c r="AV737" s="97"/>
      <c r="AW737" s="97"/>
      <c r="AX737" s="97"/>
      <c r="AY737" s="97"/>
      <c r="AZ737" s="97"/>
      <c r="BA737" s="97"/>
      <c r="BB737" s="97"/>
      <c r="BC737" s="97"/>
      <c r="BD737" s="97"/>
      <c r="BE737" s="97"/>
      <c r="BF737" s="97"/>
      <c r="BG737" s="97"/>
      <c r="BH737" s="97"/>
      <c r="BI737" s="97"/>
      <c r="BJ737" s="97"/>
      <c r="BK737" s="97"/>
      <c r="BL737" s="97"/>
      <c r="BM737" s="97"/>
      <c r="BN737" s="97"/>
      <c r="BO737" s="97"/>
      <c r="BP737" s="97"/>
      <c r="BQ737" s="97"/>
      <c r="BR737" s="97"/>
      <c r="BS737" s="97"/>
      <c r="BT737" s="97"/>
      <c r="BU737" s="97"/>
      <c r="BV737" s="97"/>
      <c r="BW737" s="97"/>
      <c r="BX737" s="97"/>
      <c r="BY737" s="97"/>
      <c r="BZ737" s="97"/>
      <c r="CA737" s="97"/>
      <c r="CB737" s="97"/>
      <c r="CC737" s="97"/>
      <c r="CD737" s="97"/>
      <c r="CE737" s="97"/>
      <c r="CF737" s="97"/>
      <c r="CG737" s="97"/>
      <c r="CH737" s="97"/>
      <c r="CI737" s="97"/>
      <c r="CJ737" s="97"/>
      <c r="CK737" s="97"/>
      <c r="CL737" s="97"/>
      <c r="CM737" s="97"/>
      <c r="CN737" s="97"/>
      <c r="CO737" s="97"/>
      <c r="CP737" s="97"/>
      <c r="CQ737" s="97"/>
    </row>
    <row r="738" spans="1:95" ht="14.45" hidden="1">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97"/>
      <c r="AM738" s="97"/>
      <c r="AN738" s="97"/>
      <c r="AO738" s="97"/>
      <c r="AP738" s="97"/>
      <c r="AQ738" s="97"/>
      <c r="AR738" s="97"/>
      <c r="AS738" s="97"/>
      <c r="AT738" s="97"/>
      <c r="AU738" s="97"/>
      <c r="AV738" s="97"/>
      <c r="AW738" s="97"/>
      <c r="AX738" s="97"/>
      <c r="AY738" s="97"/>
      <c r="AZ738" s="97"/>
      <c r="BA738" s="97"/>
      <c r="BB738" s="97"/>
      <c r="BC738" s="97"/>
      <c r="BD738" s="97"/>
      <c r="BE738" s="97"/>
      <c r="BF738" s="97"/>
      <c r="BG738" s="97"/>
      <c r="BH738" s="97"/>
      <c r="BI738" s="97"/>
      <c r="BJ738" s="97"/>
      <c r="BK738" s="97"/>
      <c r="BL738" s="97"/>
      <c r="BM738" s="97"/>
      <c r="BN738" s="97"/>
      <c r="BO738" s="97"/>
      <c r="BP738" s="97"/>
      <c r="BQ738" s="97"/>
      <c r="BR738" s="97"/>
      <c r="BS738" s="97"/>
      <c r="BT738" s="97"/>
      <c r="BU738" s="97"/>
      <c r="BV738" s="97"/>
      <c r="BW738" s="97"/>
      <c r="BX738" s="97"/>
      <c r="BY738" s="97"/>
      <c r="BZ738" s="97"/>
      <c r="CA738" s="97"/>
      <c r="CB738" s="97"/>
      <c r="CC738" s="97"/>
      <c r="CD738" s="97"/>
      <c r="CE738" s="97"/>
      <c r="CF738" s="97"/>
      <c r="CG738" s="97"/>
      <c r="CH738" s="97"/>
      <c r="CI738" s="97"/>
      <c r="CJ738" s="97"/>
      <c r="CK738" s="97"/>
      <c r="CL738" s="97"/>
      <c r="CM738" s="97"/>
      <c r="CN738" s="97"/>
      <c r="CO738" s="97"/>
      <c r="CP738" s="97"/>
      <c r="CQ738" s="97"/>
    </row>
    <row r="739" spans="1:95" ht="14.45" hidden="1">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c r="AA739" s="97"/>
      <c r="AB739" s="97"/>
      <c r="AC739" s="97"/>
      <c r="AD739" s="97"/>
      <c r="AE739" s="97"/>
      <c r="AF739" s="97"/>
      <c r="AG739" s="97"/>
      <c r="AH739" s="97"/>
      <c r="AI739" s="97"/>
      <c r="AJ739" s="97"/>
      <c r="AK739" s="97"/>
      <c r="AL739" s="97"/>
      <c r="AM739" s="97"/>
      <c r="AN739" s="97"/>
      <c r="AO739" s="97"/>
      <c r="AP739" s="97"/>
      <c r="AQ739" s="97"/>
      <c r="AR739" s="97"/>
      <c r="AS739" s="97"/>
      <c r="AT739" s="97"/>
      <c r="AU739" s="97"/>
      <c r="AV739" s="97"/>
      <c r="AW739" s="97"/>
      <c r="AX739" s="97"/>
      <c r="AY739" s="97"/>
      <c r="AZ739" s="97"/>
      <c r="BA739" s="97"/>
      <c r="BB739" s="97"/>
      <c r="BC739" s="97"/>
      <c r="BD739" s="97"/>
      <c r="BE739" s="97"/>
      <c r="BF739" s="97"/>
      <c r="BG739" s="97"/>
      <c r="BH739" s="97"/>
      <c r="BI739" s="97"/>
      <c r="BJ739" s="97"/>
      <c r="BK739" s="97"/>
      <c r="BL739" s="97"/>
      <c r="BM739" s="97"/>
      <c r="BN739" s="97"/>
      <c r="BO739" s="97"/>
      <c r="BP739" s="97"/>
      <c r="BQ739" s="97"/>
      <c r="BR739" s="97"/>
      <c r="BS739" s="97"/>
      <c r="BT739" s="97"/>
      <c r="BU739" s="97"/>
      <c r="BV739" s="97"/>
      <c r="BW739" s="97"/>
      <c r="BX739" s="97"/>
      <c r="BY739" s="97"/>
      <c r="BZ739" s="97"/>
      <c r="CA739" s="97"/>
      <c r="CB739" s="97"/>
      <c r="CC739" s="97"/>
      <c r="CD739" s="97"/>
      <c r="CE739" s="97"/>
      <c r="CF739" s="97"/>
      <c r="CG739" s="97"/>
      <c r="CH739" s="97"/>
      <c r="CI739" s="97"/>
      <c r="CJ739" s="97"/>
      <c r="CK739" s="97"/>
      <c r="CL739" s="97"/>
      <c r="CM739" s="97"/>
      <c r="CN739" s="97"/>
      <c r="CO739" s="97"/>
      <c r="CP739" s="97"/>
      <c r="CQ739" s="97"/>
    </row>
    <row r="740" spans="1:95" ht="14.45" hidden="1">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c r="AU740" s="97"/>
      <c r="AV740" s="97"/>
      <c r="AW740" s="97"/>
      <c r="AX740" s="97"/>
      <c r="AY740" s="97"/>
      <c r="AZ740" s="97"/>
      <c r="BA740" s="97"/>
      <c r="BB740" s="97"/>
      <c r="BC740" s="97"/>
      <c r="BD740" s="97"/>
      <c r="BE740" s="97"/>
      <c r="BF740" s="97"/>
      <c r="BG740" s="97"/>
      <c r="BH740" s="97"/>
      <c r="BI740" s="97"/>
      <c r="BJ740" s="97"/>
      <c r="BK740" s="97"/>
      <c r="BL740" s="97"/>
      <c r="BM740" s="97"/>
      <c r="BN740" s="97"/>
      <c r="BO740" s="97"/>
      <c r="BP740" s="97"/>
      <c r="BQ740" s="97"/>
      <c r="BR740" s="97"/>
      <c r="BS740" s="97"/>
      <c r="BT740" s="97"/>
      <c r="BU740" s="97"/>
      <c r="BV740" s="97"/>
      <c r="BW740" s="97"/>
      <c r="BX740" s="97"/>
      <c r="BY740" s="97"/>
      <c r="BZ740" s="97"/>
      <c r="CA740" s="97"/>
      <c r="CB740" s="97"/>
      <c r="CC740" s="97"/>
      <c r="CD740" s="97"/>
      <c r="CE740" s="97"/>
      <c r="CF740" s="97"/>
      <c r="CG740" s="97"/>
      <c r="CH740" s="97"/>
      <c r="CI740" s="97"/>
      <c r="CJ740" s="97"/>
      <c r="CK740" s="97"/>
      <c r="CL740" s="97"/>
      <c r="CM740" s="97"/>
      <c r="CN740" s="97"/>
      <c r="CO740" s="97"/>
      <c r="CP740" s="97"/>
      <c r="CQ740" s="97"/>
    </row>
    <row r="741" spans="1:95" ht="14.45" hidden="1">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7"/>
      <c r="AY741" s="97"/>
      <c r="AZ741" s="97"/>
      <c r="BA741" s="97"/>
      <c r="BB741" s="97"/>
      <c r="BC741" s="97"/>
      <c r="BD741" s="97"/>
      <c r="BE741" s="97"/>
      <c r="BF741" s="97"/>
      <c r="BG741" s="97"/>
      <c r="BH741" s="97"/>
      <c r="BI741" s="97"/>
      <c r="BJ741" s="97"/>
      <c r="BK741" s="97"/>
      <c r="BL741" s="97"/>
      <c r="BM741" s="97"/>
      <c r="BN741" s="97"/>
      <c r="BO741" s="97"/>
      <c r="BP741" s="97"/>
      <c r="BQ741" s="97"/>
      <c r="BR741" s="97"/>
      <c r="BS741" s="97"/>
      <c r="BT741" s="97"/>
      <c r="BU741" s="97"/>
      <c r="BV741" s="97"/>
      <c r="BW741" s="97"/>
      <c r="BX741" s="97"/>
      <c r="BY741" s="97"/>
      <c r="BZ741" s="97"/>
      <c r="CA741" s="97"/>
      <c r="CB741" s="97"/>
      <c r="CC741" s="97"/>
      <c r="CD741" s="97"/>
      <c r="CE741" s="97"/>
      <c r="CF741" s="97"/>
      <c r="CG741" s="97"/>
      <c r="CH741" s="97"/>
      <c r="CI741" s="97"/>
      <c r="CJ741" s="97"/>
      <c r="CK741" s="97"/>
      <c r="CL741" s="97"/>
      <c r="CM741" s="97"/>
      <c r="CN741" s="97"/>
      <c r="CO741" s="97"/>
      <c r="CP741" s="97"/>
      <c r="CQ741" s="97"/>
    </row>
    <row r="742" spans="1:95" ht="14.45" hidden="1">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7"/>
      <c r="AY742" s="97"/>
      <c r="AZ742" s="97"/>
      <c r="BA742" s="97"/>
      <c r="BB742" s="97"/>
      <c r="BC742" s="97"/>
      <c r="BD742" s="97"/>
      <c r="BE742" s="97"/>
      <c r="BF742" s="97"/>
      <c r="BG742" s="97"/>
      <c r="BH742" s="97"/>
      <c r="BI742" s="97"/>
      <c r="BJ742" s="97"/>
      <c r="BK742" s="97"/>
      <c r="BL742" s="97"/>
      <c r="BM742" s="97"/>
      <c r="BN742" s="97"/>
      <c r="BO742" s="97"/>
      <c r="BP742" s="97"/>
      <c r="BQ742" s="97"/>
      <c r="BR742" s="97"/>
      <c r="BS742" s="97"/>
      <c r="BT742" s="97"/>
      <c r="BU742" s="97"/>
      <c r="BV742" s="97"/>
      <c r="BW742" s="97"/>
      <c r="BX742" s="97"/>
      <c r="BY742" s="97"/>
      <c r="BZ742" s="97"/>
      <c r="CA742" s="97"/>
      <c r="CB742" s="97"/>
      <c r="CC742" s="97"/>
      <c r="CD742" s="97"/>
      <c r="CE742" s="97"/>
      <c r="CF742" s="97"/>
      <c r="CG742" s="97"/>
      <c r="CH742" s="97"/>
      <c r="CI742" s="97"/>
      <c r="CJ742" s="97"/>
      <c r="CK742" s="97"/>
      <c r="CL742" s="97"/>
      <c r="CM742" s="97"/>
      <c r="CN742" s="97"/>
      <c r="CO742" s="97"/>
      <c r="CP742" s="97"/>
      <c r="CQ742" s="97"/>
    </row>
    <row r="743" spans="1:95" ht="14.45" hidden="1">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7"/>
      <c r="AY743" s="97"/>
      <c r="AZ743" s="97"/>
      <c r="BA743" s="97"/>
      <c r="BB743" s="97"/>
      <c r="BC743" s="97"/>
      <c r="BD743" s="97"/>
      <c r="BE743" s="97"/>
      <c r="BF743" s="97"/>
      <c r="BG743" s="97"/>
      <c r="BH743" s="97"/>
      <c r="BI743" s="97"/>
      <c r="BJ743" s="97"/>
      <c r="BK743" s="97"/>
      <c r="BL743" s="97"/>
      <c r="BM743" s="97"/>
      <c r="BN743" s="97"/>
      <c r="BO743" s="97"/>
      <c r="BP743" s="97"/>
      <c r="BQ743" s="97"/>
      <c r="BR743" s="97"/>
      <c r="BS743" s="97"/>
      <c r="BT743" s="97"/>
      <c r="BU743" s="97"/>
      <c r="BV743" s="97"/>
      <c r="BW743" s="97"/>
      <c r="BX743" s="97"/>
      <c r="BY743" s="97"/>
      <c r="BZ743" s="97"/>
      <c r="CA743" s="97"/>
      <c r="CB743" s="97"/>
      <c r="CC743" s="97"/>
      <c r="CD743" s="97"/>
      <c r="CE743" s="97"/>
      <c r="CF743" s="97"/>
      <c r="CG743" s="97"/>
      <c r="CH743" s="97"/>
      <c r="CI743" s="97"/>
      <c r="CJ743" s="97"/>
      <c r="CK743" s="97"/>
      <c r="CL743" s="97"/>
      <c r="CM743" s="97"/>
      <c r="CN743" s="97"/>
      <c r="CO743" s="97"/>
      <c r="CP743" s="97"/>
      <c r="CQ743" s="97"/>
    </row>
    <row r="744" spans="1:95" ht="14.45" hidden="1">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7"/>
      <c r="AY744" s="97"/>
      <c r="AZ744" s="97"/>
      <c r="BA744" s="97"/>
      <c r="BB744" s="97"/>
      <c r="BC744" s="97"/>
      <c r="BD744" s="97"/>
      <c r="BE744" s="97"/>
      <c r="BF744" s="97"/>
      <c r="BG744" s="97"/>
      <c r="BH744" s="97"/>
      <c r="BI744" s="97"/>
      <c r="BJ744" s="97"/>
      <c r="BK744" s="97"/>
      <c r="BL744" s="97"/>
      <c r="BM744" s="97"/>
      <c r="BN744" s="97"/>
      <c r="BO744" s="97"/>
      <c r="BP744" s="97"/>
      <c r="BQ744" s="97"/>
      <c r="BR744" s="97"/>
      <c r="BS744" s="97"/>
      <c r="BT744" s="97"/>
      <c r="BU744" s="97"/>
      <c r="BV744" s="97"/>
      <c r="BW744" s="97"/>
      <c r="BX744" s="97"/>
      <c r="BY744" s="97"/>
      <c r="BZ744" s="97"/>
      <c r="CA744" s="97"/>
      <c r="CB744" s="97"/>
      <c r="CC744" s="97"/>
      <c r="CD744" s="97"/>
      <c r="CE744" s="97"/>
      <c r="CF744" s="97"/>
      <c r="CG744" s="97"/>
      <c r="CH744" s="97"/>
      <c r="CI744" s="97"/>
      <c r="CJ744" s="97"/>
      <c r="CK744" s="97"/>
      <c r="CL744" s="97"/>
      <c r="CM744" s="97"/>
      <c r="CN744" s="97"/>
      <c r="CO744" s="97"/>
      <c r="CP744" s="97"/>
      <c r="CQ744" s="97"/>
    </row>
    <row r="745" spans="1:95" ht="14.45" hidden="1">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7"/>
      <c r="AY745" s="97"/>
      <c r="AZ745" s="97"/>
      <c r="BA745" s="97"/>
      <c r="BB745" s="97"/>
      <c r="BC745" s="97"/>
      <c r="BD745" s="97"/>
      <c r="BE745" s="97"/>
      <c r="BF745" s="97"/>
      <c r="BG745" s="97"/>
      <c r="BH745" s="97"/>
      <c r="BI745" s="97"/>
      <c r="BJ745" s="97"/>
      <c r="BK745" s="97"/>
      <c r="BL745" s="97"/>
      <c r="BM745" s="97"/>
      <c r="BN745" s="97"/>
      <c r="BO745" s="97"/>
      <c r="BP745" s="97"/>
      <c r="BQ745" s="97"/>
      <c r="BR745" s="97"/>
      <c r="BS745" s="97"/>
      <c r="BT745" s="97"/>
      <c r="BU745" s="97"/>
      <c r="BV745" s="97"/>
      <c r="BW745" s="97"/>
      <c r="BX745" s="97"/>
      <c r="BY745" s="97"/>
      <c r="BZ745" s="97"/>
      <c r="CA745" s="97"/>
      <c r="CB745" s="97"/>
      <c r="CC745" s="97"/>
      <c r="CD745" s="97"/>
      <c r="CE745" s="97"/>
      <c r="CF745" s="97"/>
      <c r="CG745" s="97"/>
      <c r="CH745" s="97"/>
      <c r="CI745" s="97"/>
      <c r="CJ745" s="97"/>
      <c r="CK745" s="97"/>
      <c r="CL745" s="97"/>
      <c r="CM745" s="97"/>
      <c r="CN745" s="97"/>
      <c r="CO745" s="97"/>
      <c r="CP745" s="97"/>
      <c r="CQ745" s="97"/>
    </row>
    <row r="746" spans="1:95" ht="14.45" hidden="1">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7"/>
      <c r="AY746" s="97"/>
      <c r="AZ746" s="97"/>
      <c r="BA746" s="97"/>
      <c r="BB746" s="97"/>
      <c r="BC746" s="97"/>
      <c r="BD746" s="97"/>
      <c r="BE746" s="97"/>
      <c r="BF746" s="97"/>
      <c r="BG746" s="97"/>
      <c r="BH746" s="97"/>
      <c r="BI746" s="97"/>
      <c r="BJ746" s="97"/>
      <c r="BK746" s="97"/>
      <c r="BL746" s="97"/>
      <c r="BM746" s="97"/>
      <c r="BN746" s="97"/>
      <c r="BO746" s="97"/>
      <c r="BP746" s="97"/>
      <c r="BQ746" s="97"/>
      <c r="BR746" s="97"/>
      <c r="BS746" s="97"/>
      <c r="BT746" s="97"/>
      <c r="BU746" s="97"/>
      <c r="BV746" s="97"/>
      <c r="BW746" s="97"/>
      <c r="BX746" s="97"/>
      <c r="BY746" s="97"/>
      <c r="BZ746" s="97"/>
      <c r="CA746" s="97"/>
      <c r="CB746" s="97"/>
      <c r="CC746" s="97"/>
      <c r="CD746" s="97"/>
      <c r="CE746" s="97"/>
      <c r="CF746" s="97"/>
      <c r="CG746" s="97"/>
      <c r="CH746" s="97"/>
      <c r="CI746" s="97"/>
      <c r="CJ746" s="97"/>
      <c r="CK746" s="97"/>
      <c r="CL746" s="97"/>
      <c r="CM746" s="97"/>
      <c r="CN746" s="97"/>
      <c r="CO746" s="97"/>
      <c r="CP746" s="97"/>
      <c r="CQ746" s="97"/>
    </row>
    <row r="747" spans="1:95" ht="14.45" hidden="1">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7"/>
      <c r="AY747" s="97"/>
      <c r="AZ747" s="97"/>
      <c r="BA747" s="97"/>
      <c r="BB747" s="97"/>
      <c r="BC747" s="97"/>
      <c r="BD747" s="97"/>
      <c r="BE747" s="97"/>
      <c r="BF747" s="97"/>
      <c r="BG747" s="97"/>
      <c r="BH747" s="97"/>
      <c r="BI747" s="97"/>
      <c r="BJ747" s="97"/>
      <c r="BK747" s="97"/>
      <c r="BL747" s="97"/>
      <c r="BM747" s="97"/>
      <c r="BN747" s="97"/>
      <c r="BO747" s="97"/>
      <c r="BP747" s="97"/>
      <c r="BQ747" s="97"/>
      <c r="BR747" s="97"/>
      <c r="BS747" s="97"/>
      <c r="BT747" s="97"/>
      <c r="BU747" s="97"/>
      <c r="BV747" s="97"/>
      <c r="BW747" s="97"/>
      <c r="BX747" s="97"/>
      <c r="BY747" s="97"/>
      <c r="BZ747" s="97"/>
      <c r="CA747" s="97"/>
      <c r="CB747" s="97"/>
      <c r="CC747" s="97"/>
      <c r="CD747" s="97"/>
      <c r="CE747" s="97"/>
      <c r="CF747" s="97"/>
      <c r="CG747" s="97"/>
      <c r="CH747" s="97"/>
      <c r="CI747" s="97"/>
      <c r="CJ747" s="97"/>
      <c r="CK747" s="97"/>
      <c r="CL747" s="97"/>
      <c r="CM747" s="97"/>
      <c r="CN747" s="97"/>
      <c r="CO747" s="97"/>
      <c r="CP747" s="97"/>
      <c r="CQ747" s="97"/>
    </row>
    <row r="748" spans="1:95" ht="14.45" hidden="1">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7"/>
      <c r="AY748" s="97"/>
      <c r="AZ748" s="97"/>
      <c r="BA748" s="97"/>
      <c r="BB748" s="97"/>
      <c r="BC748" s="97"/>
      <c r="BD748" s="97"/>
      <c r="BE748" s="97"/>
      <c r="BF748" s="97"/>
      <c r="BG748" s="97"/>
      <c r="BH748" s="97"/>
      <c r="BI748" s="97"/>
      <c r="BJ748" s="97"/>
      <c r="BK748" s="97"/>
      <c r="BL748" s="97"/>
      <c r="BM748" s="97"/>
      <c r="BN748" s="97"/>
      <c r="BO748" s="97"/>
      <c r="BP748" s="97"/>
      <c r="BQ748" s="97"/>
      <c r="BR748" s="97"/>
      <c r="BS748" s="97"/>
      <c r="BT748" s="97"/>
      <c r="BU748" s="97"/>
      <c r="BV748" s="97"/>
      <c r="BW748" s="97"/>
      <c r="BX748" s="97"/>
      <c r="BY748" s="97"/>
      <c r="BZ748" s="97"/>
      <c r="CA748" s="97"/>
      <c r="CB748" s="97"/>
      <c r="CC748" s="97"/>
      <c r="CD748" s="97"/>
      <c r="CE748" s="97"/>
      <c r="CF748" s="97"/>
      <c r="CG748" s="97"/>
      <c r="CH748" s="97"/>
      <c r="CI748" s="97"/>
      <c r="CJ748" s="97"/>
      <c r="CK748" s="97"/>
      <c r="CL748" s="97"/>
      <c r="CM748" s="97"/>
      <c r="CN748" s="97"/>
      <c r="CO748" s="97"/>
      <c r="CP748" s="97"/>
      <c r="CQ748" s="97"/>
    </row>
    <row r="749" spans="1:95" ht="14.45" hidden="1">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7"/>
      <c r="AY749" s="97"/>
      <c r="AZ749" s="97"/>
      <c r="BA749" s="97"/>
      <c r="BB749" s="97"/>
      <c r="BC749" s="97"/>
      <c r="BD749" s="97"/>
      <c r="BE749" s="97"/>
      <c r="BF749" s="97"/>
      <c r="BG749" s="97"/>
      <c r="BH749" s="97"/>
      <c r="BI749" s="97"/>
      <c r="BJ749" s="97"/>
      <c r="BK749" s="97"/>
      <c r="BL749" s="97"/>
      <c r="BM749" s="97"/>
      <c r="BN749" s="97"/>
      <c r="BO749" s="97"/>
      <c r="BP749" s="97"/>
      <c r="BQ749" s="97"/>
      <c r="BR749" s="97"/>
      <c r="BS749" s="97"/>
      <c r="BT749" s="97"/>
      <c r="BU749" s="97"/>
      <c r="BV749" s="97"/>
      <c r="BW749" s="97"/>
      <c r="BX749" s="97"/>
      <c r="BY749" s="97"/>
      <c r="BZ749" s="97"/>
      <c r="CA749" s="97"/>
      <c r="CB749" s="97"/>
      <c r="CC749" s="97"/>
      <c r="CD749" s="97"/>
      <c r="CE749" s="97"/>
      <c r="CF749" s="97"/>
      <c r="CG749" s="97"/>
      <c r="CH749" s="97"/>
      <c r="CI749" s="97"/>
      <c r="CJ749" s="97"/>
      <c r="CK749" s="97"/>
      <c r="CL749" s="97"/>
      <c r="CM749" s="97"/>
      <c r="CN749" s="97"/>
      <c r="CO749" s="97"/>
      <c r="CP749" s="97"/>
      <c r="CQ749" s="97"/>
    </row>
    <row r="750" spans="1:95" ht="14.45" hidden="1">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7"/>
      <c r="AY750" s="97"/>
      <c r="AZ750" s="97"/>
      <c r="BA750" s="97"/>
      <c r="BB750" s="97"/>
      <c r="BC750" s="97"/>
      <c r="BD750" s="97"/>
      <c r="BE750" s="97"/>
      <c r="BF750" s="97"/>
      <c r="BG750" s="97"/>
      <c r="BH750" s="97"/>
      <c r="BI750" s="97"/>
      <c r="BJ750" s="97"/>
      <c r="BK750" s="97"/>
      <c r="BL750" s="97"/>
      <c r="BM750" s="97"/>
      <c r="BN750" s="97"/>
      <c r="BO750" s="97"/>
      <c r="BP750" s="97"/>
      <c r="BQ750" s="97"/>
      <c r="BR750" s="97"/>
      <c r="BS750" s="97"/>
      <c r="BT750" s="97"/>
      <c r="BU750" s="97"/>
      <c r="BV750" s="97"/>
      <c r="BW750" s="97"/>
      <c r="BX750" s="97"/>
      <c r="BY750" s="97"/>
      <c r="BZ750" s="97"/>
      <c r="CA750" s="97"/>
      <c r="CB750" s="97"/>
      <c r="CC750" s="97"/>
      <c r="CD750" s="97"/>
      <c r="CE750" s="97"/>
      <c r="CF750" s="97"/>
      <c r="CG750" s="97"/>
      <c r="CH750" s="97"/>
      <c r="CI750" s="97"/>
      <c r="CJ750" s="97"/>
      <c r="CK750" s="97"/>
      <c r="CL750" s="97"/>
      <c r="CM750" s="97"/>
      <c r="CN750" s="97"/>
      <c r="CO750" s="97"/>
      <c r="CP750" s="97"/>
      <c r="CQ750" s="97"/>
    </row>
    <row r="751" spans="1:95" ht="14.45" hidden="1">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7"/>
      <c r="AY751" s="97"/>
      <c r="AZ751" s="97"/>
      <c r="BA751" s="97"/>
      <c r="BB751" s="97"/>
      <c r="BC751" s="97"/>
      <c r="BD751" s="97"/>
      <c r="BE751" s="97"/>
      <c r="BF751" s="97"/>
      <c r="BG751" s="97"/>
      <c r="BH751" s="97"/>
      <c r="BI751" s="97"/>
      <c r="BJ751" s="97"/>
      <c r="BK751" s="97"/>
      <c r="BL751" s="97"/>
      <c r="BM751" s="97"/>
      <c r="BN751" s="97"/>
      <c r="BO751" s="97"/>
      <c r="BP751" s="97"/>
      <c r="BQ751" s="97"/>
      <c r="BR751" s="97"/>
      <c r="BS751" s="97"/>
      <c r="BT751" s="97"/>
      <c r="BU751" s="97"/>
      <c r="BV751" s="97"/>
      <c r="BW751" s="97"/>
      <c r="BX751" s="97"/>
      <c r="BY751" s="97"/>
      <c r="BZ751" s="97"/>
      <c r="CA751" s="97"/>
      <c r="CB751" s="97"/>
      <c r="CC751" s="97"/>
      <c r="CD751" s="97"/>
      <c r="CE751" s="97"/>
      <c r="CF751" s="97"/>
      <c r="CG751" s="97"/>
      <c r="CH751" s="97"/>
      <c r="CI751" s="97"/>
      <c r="CJ751" s="97"/>
      <c r="CK751" s="97"/>
      <c r="CL751" s="97"/>
      <c r="CM751" s="97"/>
      <c r="CN751" s="97"/>
      <c r="CO751" s="97"/>
      <c r="CP751" s="97"/>
      <c r="CQ751" s="97"/>
    </row>
    <row r="752" spans="1:95" ht="14.45" hidden="1">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7"/>
      <c r="AY752" s="97"/>
      <c r="AZ752" s="97"/>
      <c r="BA752" s="97"/>
      <c r="BB752" s="97"/>
      <c r="BC752" s="97"/>
      <c r="BD752" s="97"/>
      <c r="BE752" s="97"/>
      <c r="BF752" s="97"/>
      <c r="BG752" s="97"/>
      <c r="BH752" s="97"/>
      <c r="BI752" s="97"/>
      <c r="BJ752" s="97"/>
      <c r="BK752" s="97"/>
      <c r="BL752" s="97"/>
      <c r="BM752" s="97"/>
      <c r="BN752" s="97"/>
      <c r="BO752" s="97"/>
      <c r="BP752" s="97"/>
      <c r="BQ752" s="97"/>
      <c r="BR752" s="97"/>
      <c r="BS752" s="97"/>
      <c r="BT752" s="97"/>
      <c r="BU752" s="97"/>
      <c r="BV752" s="97"/>
      <c r="BW752" s="97"/>
      <c r="BX752" s="97"/>
      <c r="BY752" s="97"/>
      <c r="BZ752" s="97"/>
      <c r="CA752" s="97"/>
      <c r="CB752" s="97"/>
      <c r="CC752" s="97"/>
      <c r="CD752" s="97"/>
      <c r="CE752" s="97"/>
      <c r="CF752" s="97"/>
      <c r="CG752" s="97"/>
      <c r="CH752" s="97"/>
      <c r="CI752" s="97"/>
      <c r="CJ752" s="97"/>
      <c r="CK752" s="97"/>
      <c r="CL752" s="97"/>
      <c r="CM752" s="97"/>
      <c r="CN752" s="97"/>
      <c r="CO752" s="97"/>
      <c r="CP752" s="97"/>
      <c r="CQ752" s="97"/>
    </row>
    <row r="753" spans="1:95" ht="14.45" hidden="1">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7"/>
      <c r="AY753" s="97"/>
      <c r="AZ753" s="97"/>
      <c r="BA753" s="97"/>
      <c r="BB753" s="97"/>
      <c r="BC753" s="97"/>
      <c r="BD753" s="97"/>
      <c r="BE753" s="97"/>
      <c r="BF753" s="97"/>
      <c r="BG753" s="97"/>
      <c r="BH753" s="97"/>
      <c r="BI753" s="97"/>
      <c r="BJ753" s="97"/>
      <c r="BK753" s="97"/>
      <c r="BL753" s="97"/>
      <c r="BM753" s="97"/>
      <c r="BN753" s="97"/>
      <c r="BO753" s="97"/>
      <c r="BP753" s="97"/>
      <c r="BQ753" s="97"/>
      <c r="BR753" s="97"/>
      <c r="BS753" s="97"/>
      <c r="BT753" s="97"/>
      <c r="BU753" s="97"/>
      <c r="BV753" s="97"/>
      <c r="BW753" s="97"/>
      <c r="BX753" s="97"/>
      <c r="BY753" s="97"/>
      <c r="BZ753" s="97"/>
      <c r="CA753" s="97"/>
      <c r="CB753" s="97"/>
      <c r="CC753" s="97"/>
      <c r="CD753" s="97"/>
      <c r="CE753" s="97"/>
      <c r="CF753" s="97"/>
      <c r="CG753" s="97"/>
      <c r="CH753" s="97"/>
      <c r="CI753" s="97"/>
      <c r="CJ753" s="97"/>
      <c r="CK753" s="97"/>
      <c r="CL753" s="97"/>
      <c r="CM753" s="97"/>
      <c r="CN753" s="97"/>
      <c r="CO753" s="97"/>
      <c r="CP753" s="97"/>
      <c r="CQ753" s="97"/>
    </row>
    <row r="754" spans="1:95" ht="14.45" hidden="1">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7"/>
      <c r="AY754" s="97"/>
      <c r="AZ754" s="97"/>
      <c r="BA754" s="97"/>
      <c r="BB754" s="97"/>
      <c r="BC754" s="97"/>
      <c r="BD754" s="97"/>
      <c r="BE754" s="97"/>
      <c r="BF754" s="97"/>
      <c r="BG754" s="97"/>
      <c r="BH754" s="97"/>
      <c r="BI754" s="97"/>
      <c r="BJ754" s="97"/>
      <c r="BK754" s="97"/>
      <c r="BL754" s="97"/>
      <c r="BM754" s="97"/>
      <c r="BN754" s="97"/>
      <c r="BO754" s="97"/>
      <c r="BP754" s="97"/>
      <c r="BQ754" s="97"/>
      <c r="BR754" s="97"/>
      <c r="BS754" s="97"/>
      <c r="BT754" s="97"/>
      <c r="BU754" s="97"/>
      <c r="BV754" s="97"/>
      <c r="BW754" s="97"/>
      <c r="BX754" s="97"/>
      <c r="BY754" s="97"/>
      <c r="BZ754" s="97"/>
      <c r="CA754" s="97"/>
      <c r="CB754" s="97"/>
      <c r="CC754" s="97"/>
      <c r="CD754" s="97"/>
      <c r="CE754" s="97"/>
      <c r="CF754" s="97"/>
      <c r="CG754" s="97"/>
      <c r="CH754" s="97"/>
      <c r="CI754" s="97"/>
      <c r="CJ754" s="97"/>
      <c r="CK754" s="97"/>
      <c r="CL754" s="97"/>
      <c r="CM754" s="97"/>
      <c r="CN754" s="97"/>
      <c r="CO754" s="97"/>
      <c r="CP754" s="97"/>
      <c r="CQ754" s="97"/>
    </row>
    <row r="755" spans="1:95" ht="14.45" hidden="1">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7"/>
      <c r="AY755" s="97"/>
      <c r="AZ755" s="97"/>
      <c r="BA755" s="97"/>
      <c r="BB755" s="97"/>
      <c r="BC755" s="97"/>
      <c r="BD755" s="97"/>
      <c r="BE755" s="97"/>
      <c r="BF755" s="97"/>
      <c r="BG755" s="97"/>
      <c r="BH755" s="97"/>
      <c r="BI755" s="97"/>
      <c r="BJ755" s="97"/>
      <c r="BK755" s="97"/>
      <c r="BL755" s="97"/>
      <c r="BM755" s="97"/>
      <c r="BN755" s="97"/>
      <c r="BO755" s="97"/>
      <c r="BP755" s="97"/>
      <c r="BQ755" s="97"/>
      <c r="BR755" s="97"/>
      <c r="BS755" s="97"/>
      <c r="BT755" s="97"/>
      <c r="BU755" s="97"/>
      <c r="BV755" s="97"/>
      <c r="BW755" s="97"/>
      <c r="BX755" s="97"/>
      <c r="BY755" s="97"/>
      <c r="BZ755" s="97"/>
      <c r="CA755" s="97"/>
      <c r="CB755" s="97"/>
      <c r="CC755" s="97"/>
      <c r="CD755" s="97"/>
      <c r="CE755" s="97"/>
      <c r="CF755" s="97"/>
      <c r="CG755" s="97"/>
      <c r="CH755" s="97"/>
      <c r="CI755" s="97"/>
      <c r="CJ755" s="97"/>
      <c r="CK755" s="97"/>
      <c r="CL755" s="97"/>
      <c r="CM755" s="97"/>
      <c r="CN755" s="97"/>
      <c r="CO755" s="97"/>
      <c r="CP755" s="97"/>
      <c r="CQ755" s="97"/>
    </row>
    <row r="756" spans="1:95" ht="14.45" hidden="1">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7"/>
      <c r="AY756" s="97"/>
      <c r="AZ756" s="97"/>
      <c r="BA756" s="97"/>
      <c r="BB756" s="97"/>
      <c r="BC756" s="97"/>
      <c r="BD756" s="97"/>
      <c r="BE756" s="97"/>
      <c r="BF756" s="97"/>
      <c r="BG756" s="97"/>
      <c r="BH756" s="97"/>
      <c r="BI756" s="97"/>
      <c r="BJ756" s="97"/>
      <c r="BK756" s="97"/>
      <c r="BL756" s="97"/>
      <c r="BM756" s="97"/>
      <c r="BN756" s="97"/>
      <c r="BO756" s="97"/>
      <c r="BP756" s="97"/>
      <c r="BQ756" s="97"/>
      <c r="BR756" s="97"/>
      <c r="BS756" s="97"/>
      <c r="BT756" s="97"/>
      <c r="BU756" s="97"/>
      <c r="BV756" s="97"/>
      <c r="BW756" s="97"/>
      <c r="BX756" s="97"/>
      <c r="BY756" s="97"/>
      <c r="BZ756" s="97"/>
      <c r="CA756" s="97"/>
      <c r="CB756" s="97"/>
      <c r="CC756" s="97"/>
      <c r="CD756" s="97"/>
      <c r="CE756" s="97"/>
      <c r="CF756" s="97"/>
      <c r="CG756" s="97"/>
      <c r="CH756" s="97"/>
      <c r="CI756" s="97"/>
      <c r="CJ756" s="97"/>
      <c r="CK756" s="97"/>
      <c r="CL756" s="97"/>
      <c r="CM756" s="97"/>
      <c r="CN756" s="97"/>
      <c r="CO756" s="97"/>
      <c r="CP756" s="97"/>
      <c r="CQ756" s="97"/>
    </row>
    <row r="757" spans="1:95" ht="14.45" hidden="1">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7"/>
      <c r="AY757" s="97"/>
      <c r="AZ757" s="97"/>
      <c r="BA757" s="97"/>
      <c r="BB757" s="97"/>
      <c r="BC757" s="97"/>
      <c r="BD757" s="97"/>
      <c r="BE757" s="97"/>
      <c r="BF757" s="97"/>
      <c r="BG757" s="97"/>
      <c r="BH757" s="97"/>
      <c r="BI757" s="97"/>
      <c r="BJ757" s="97"/>
      <c r="BK757" s="97"/>
      <c r="BL757" s="97"/>
      <c r="BM757" s="97"/>
      <c r="BN757" s="97"/>
      <c r="BO757" s="97"/>
      <c r="BP757" s="97"/>
      <c r="BQ757" s="97"/>
      <c r="BR757" s="97"/>
      <c r="BS757" s="97"/>
      <c r="BT757" s="97"/>
      <c r="BU757" s="97"/>
      <c r="BV757" s="97"/>
      <c r="BW757" s="97"/>
      <c r="BX757" s="97"/>
      <c r="BY757" s="97"/>
      <c r="BZ757" s="97"/>
      <c r="CA757" s="97"/>
      <c r="CB757" s="97"/>
      <c r="CC757" s="97"/>
      <c r="CD757" s="97"/>
      <c r="CE757" s="97"/>
      <c r="CF757" s="97"/>
      <c r="CG757" s="97"/>
      <c r="CH757" s="97"/>
      <c r="CI757" s="97"/>
      <c r="CJ757" s="97"/>
      <c r="CK757" s="97"/>
      <c r="CL757" s="97"/>
      <c r="CM757" s="97"/>
      <c r="CN757" s="97"/>
      <c r="CO757" s="97"/>
      <c r="CP757" s="97"/>
      <c r="CQ757" s="97"/>
    </row>
    <row r="758" spans="1:95" ht="14.45" hidden="1">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7"/>
      <c r="AY758" s="97"/>
      <c r="AZ758" s="97"/>
      <c r="BA758" s="97"/>
      <c r="BB758" s="97"/>
      <c r="BC758" s="97"/>
      <c r="BD758" s="97"/>
      <c r="BE758" s="97"/>
      <c r="BF758" s="97"/>
      <c r="BG758" s="97"/>
      <c r="BH758" s="97"/>
      <c r="BI758" s="97"/>
      <c r="BJ758" s="97"/>
      <c r="BK758" s="97"/>
      <c r="BL758" s="97"/>
      <c r="BM758" s="97"/>
      <c r="BN758" s="97"/>
      <c r="BO758" s="97"/>
      <c r="BP758" s="97"/>
      <c r="BQ758" s="97"/>
      <c r="BR758" s="97"/>
      <c r="BS758" s="97"/>
      <c r="BT758" s="97"/>
      <c r="BU758" s="97"/>
      <c r="BV758" s="97"/>
      <c r="BW758" s="97"/>
      <c r="BX758" s="97"/>
      <c r="BY758" s="97"/>
      <c r="BZ758" s="97"/>
      <c r="CA758" s="97"/>
      <c r="CB758" s="97"/>
      <c r="CC758" s="97"/>
      <c r="CD758" s="97"/>
      <c r="CE758" s="97"/>
      <c r="CF758" s="97"/>
      <c r="CG758" s="97"/>
      <c r="CH758" s="97"/>
      <c r="CI758" s="97"/>
      <c r="CJ758" s="97"/>
      <c r="CK758" s="97"/>
      <c r="CL758" s="97"/>
      <c r="CM758" s="97"/>
      <c r="CN758" s="97"/>
      <c r="CO758" s="97"/>
      <c r="CP758" s="97"/>
      <c r="CQ758" s="97"/>
    </row>
    <row r="759" spans="1:95" ht="14.45" hidden="1">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7"/>
      <c r="AY759" s="97"/>
      <c r="AZ759" s="97"/>
      <c r="BA759" s="97"/>
      <c r="BB759" s="97"/>
      <c r="BC759" s="97"/>
      <c r="BD759" s="97"/>
      <c r="BE759" s="97"/>
      <c r="BF759" s="97"/>
      <c r="BG759" s="97"/>
      <c r="BH759" s="97"/>
      <c r="BI759" s="97"/>
      <c r="BJ759" s="97"/>
      <c r="BK759" s="97"/>
      <c r="BL759" s="97"/>
      <c r="BM759" s="97"/>
      <c r="BN759" s="97"/>
      <c r="BO759" s="97"/>
      <c r="BP759" s="97"/>
      <c r="BQ759" s="97"/>
      <c r="BR759" s="97"/>
      <c r="BS759" s="97"/>
      <c r="BT759" s="97"/>
      <c r="BU759" s="97"/>
      <c r="BV759" s="97"/>
      <c r="BW759" s="97"/>
      <c r="BX759" s="97"/>
      <c r="BY759" s="97"/>
      <c r="BZ759" s="97"/>
      <c r="CA759" s="97"/>
      <c r="CB759" s="97"/>
      <c r="CC759" s="97"/>
      <c r="CD759" s="97"/>
      <c r="CE759" s="97"/>
      <c r="CF759" s="97"/>
      <c r="CG759" s="97"/>
      <c r="CH759" s="97"/>
      <c r="CI759" s="97"/>
      <c r="CJ759" s="97"/>
      <c r="CK759" s="97"/>
      <c r="CL759" s="97"/>
      <c r="CM759" s="97"/>
      <c r="CN759" s="97"/>
      <c r="CO759" s="97"/>
      <c r="CP759" s="97"/>
      <c r="CQ759" s="97"/>
    </row>
    <row r="760" spans="1:95" ht="14.45" hidden="1">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7"/>
      <c r="AY760" s="97"/>
      <c r="AZ760" s="97"/>
      <c r="BA760" s="97"/>
      <c r="BB760" s="97"/>
      <c r="BC760" s="97"/>
      <c r="BD760" s="97"/>
      <c r="BE760" s="97"/>
      <c r="BF760" s="97"/>
      <c r="BG760" s="97"/>
      <c r="BH760" s="97"/>
      <c r="BI760" s="97"/>
      <c r="BJ760" s="97"/>
      <c r="BK760" s="97"/>
      <c r="BL760" s="97"/>
      <c r="BM760" s="97"/>
      <c r="BN760" s="97"/>
      <c r="BO760" s="97"/>
      <c r="BP760" s="97"/>
      <c r="BQ760" s="97"/>
      <c r="BR760" s="97"/>
      <c r="BS760" s="97"/>
      <c r="BT760" s="97"/>
      <c r="BU760" s="97"/>
      <c r="BV760" s="97"/>
      <c r="BW760" s="97"/>
      <c r="BX760" s="97"/>
      <c r="BY760" s="97"/>
      <c r="BZ760" s="97"/>
      <c r="CA760" s="97"/>
      <c r="CB760" s="97"/>
      <c r="CC760" s="97"/>
      <c r="CD760" s="97"/>
      <c r="CE760" s="97"/>
      <c r="CF760" s="97"/>
      <c r="CG760" s="97"/>
      <c r="CH760" s="97"/>
      <c r="CI760" s="97"/>
      <c r="CJ760" s="97"/>
      <c r="CK760" s="97"/>
      <c r="CL760" s="97"/>
      <c r="CM760" s="97"/>
      <c r="CN760" s="97"/>
      <c r="CO760" s="97"/>
      <c r="CP760" s="97"/>
      <c r="CQ760" s="97"/>
    </row>
    <row r="761" spans="1:95" ht="14.45" hidden="1">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7"/>
      <c r="AY761" s="97"/>
      <c r="AZ761" s="97"/>
      <c r="BA761" s="97"/>
      <c r="BB761" s="97"/>
      <c r="BC761" s="97"/>
      <c r="BD761" s="97"/>
      <c r="BE761" s="97"/>
      <c r="BF761" s="97"/>
      <c r="BG761" s="97"/>
      <c r="BH761" s="97"/>
      <c r="BI761" s="97"/>
      <c r="BJ761" s="97"/>
      <c r="BK761" s="97"/>
      <c r="BL761" s="97"/>
      <c r="BM761" s="97"/>
      <c r="BN761" s="97"/>
      <c r="BO761" s="97"/>
      <c r="BP761" s="97"/>
      <c r="BQ761" s="97"/>
      <c r="BR761" s="97"/>
      <c r="BS761" s="97"/>
      <c r="BT761" s="97"/>
      <c r="BU761" s="97"/>
      <c r="BV761" s="97"/>
      <c r="BW761" s="97"/>
      <c r="BX761" s="97"/>
      <c r="BY761" s="97"/>
      <c r="BZ761" s="97"/>
      <c r="CA761" s="97"/>
      <c r="CB761" s="97"/>
      <c r="CC761" s="97"/>
      <c r="CD761" s="97"/>
      <c r="CE761" s="97"/>
      <c r="CF761" s="97"/>
      <c r="CG761" s="97"/>
      <c r="CH761" s="97"/>
      <c r="CI761" s="97"/>
      <c r="CJ761" s="97"/>
      <c r="CK761" s="97"/>
      <c r="CL761" s="97"/>
      <c r="CM761" s="97"/>
      <c r="CN761" s="97"/>
      <c r="CO761" s="97"/>
      <c r="CP761" s="97"/>
      <c r="CQ761" s="97"/>
    </row>
    <row r="762" spans="1:95" ht="14.45" hidden="1">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7"/>
      <c r="AY762" s="97"/>
      <c r="AZ762" s="97"/>
      <c r="BA762" s="97"/>
      <c r="BB762" s="97"/>
      <c r="BC762" s="97"/>
      <c r="BD762" s="97"/>
      <c r="BE762" s="97"/>
      <c r="BF762" s="97"/>
      <c r="BG762" s="97"/>
      <c r="BH762" s="97"/>
      <c r="BI762" s="97"/>
      <c r="BJ762" s="97"/>
      <c r="BK762" s="97"/>
      <c r="BL762" s="97"/>
      <c r="BM762" s="97"/>
      <c r="BN762" s="97"/>
      <c r="BO762" s="97"/>
      <c r="BP762" s="97"/>
      <c r="BQ762" s="97"/>
      <c r="BR762" s="97"/>
      <c r="BS762" s="97"/>
      <c r="BT762" s="97"/>
      <c r="BU762" s="97"/>
      <c r="BV762" s="97"/>
      <c r="BW762" s="97"/>
      <c r="BX762" s="97"/>
      <c r="BY762" s="97"/>
      <c r="BZ762" s="97"/>
      <c r="CA762" s="97"/>
      <c r="CB762" s="97"/>
      <c r="CC762" s="97"/>
      <c r="CD762" s="97"/>
      <c r="CE762" s="97"/>
      <c r="CF762" s="97"/>
      <c r="CG762" s="97"/>
      <c r="CH762" s="97"/>
      <c r="CI762" s="97"/>
      <c r="CJ762" s="97"/>
      <c r="CK762" s="97"/>
      <c r="CL762" s="97"/>
      <c r="CM762" s="97"/>
      <c r="CN762" s="97"/>
      <c r="CO762" s="97"/>
      <c r="CP762" s="97"/>
      <c r="CQ762" s="97"/>
    </row>
    <row r="763" spans="1:95" ht="14.45" hidden="1">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7"/>
      <c r="AY763" s="97"/>
      <c r="AZ763" s="97"/>
      <c r="BA763" s="97"/>
      <c r="BB763" s="97"/>
      <c r="BC763" s="97"/>
      <c r="BD763" s="97"/>
      <c r="BE763" s="97"/>
      <c r="BF763" s="97"/>
      <c r="BG763" s="97"/>
      <c r="BH763" s="97"/>
      <c r="BI763" s="97"/>
      <c r="BJ763" s="97"/>
      <c r="BK763" s="97"/>
      <c r="BL763" s="97"/>
      <c r="BM763" s="97"/>
      <c r="BN763" s="97"/>
      <c r="BO763" s="97"/>
      <c r="BP763" s="97"/>
      <c r="BQ763" s="97"/>
      <c r="BR763" s="97"/>
      <c r="BS763" s="97"/>
      <c r="BT763" s="97"/>
      <c r="BU763" s="97"/>
      <c r="BV763" s="97"/>
      <c r="BW763" s="97"/>
      <c r="BX763" s="97"/>
      <c r="BY763" s="97"/>
      <c r="BZ763" s="97"/>
      <c r="CA763" s="97"/>
      <c r="CB763" s="97"/>
      <c r="CC763" s="97"/>
      <c r="CD763" s="97"/>
      <c r="CE763" s="97"/>
      <c r="CF763" s="97"/>
      <c r="CG763" s="97"/>
      <c r="CH763" s="97"/>
      <c r="CI763" s="97"/>
      <c r="CJ763" s="97"/>
      <c r="CK763" s="97"/>
      <c r="CL763" s="97"/>
      <c r="CM763" s="97"/>
      <c r="CN763" s="97"/>
      <c r="CO763" s="97"/>
      <c r="CP763" s="97"/>
      <c r="CQ763" s="97"/>
    </row>
    <row r="764" spans="1:95" ht="14.45" hidden="1">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7"/>
      <c r="AY764" s="97"/>
      <c r="AZ764" s="97"/>
      <c r="BA764" s="97"/>
      <c r="BB764" s="97"/>
      <c r="BC764" s="97"/>
      <c r="BD764" s="97"/>
      <c r="BE764" s="97"/>
      <c r="BF764" s="97"/>
      <c r="BG764" s="97"/>
      <c r="BH764" s="97"/>
      <c r="BI764" s="97"/>
      <c r="BJ764" s="97"/>
      <c r="BK764" s="97"/>
      <c r="BL764" s="97"/>
      <c r="BM764" s="97"/>
      <c r="BN764" s="97"/>
      <c r="BO764" s="97"/>
      <c r="BP764" s="97"/>
      <c r="BQ764" s="97"/>
      <c r="BR764" s="97"/>
      <c r="BS764" s="97"/>
      <c r="BT764" s="97"/>
      <c r="BU764" s="97"/>
      <c r="BV764" s="97"/>
      <c r="BW764" s="97"/>
      <c r="BX764" s="97"/>
      <c r="BY764" s="97"/>
      <c r="BZ764" s="97"/>
      <c r="CA764" s="97"/>
      <c r="CB764" s="97"/>
      <c r="CC764" s="97"/>
      <c r="CD764" s="97"/>
      <c r="CE764" s="97"/>
      <c r="CF764" s="97"/>
      <c r="CG764" s="97"/>
      <c r="CH764" s="97"/>
      <c r="CI764" s="97"/>
      <c r="CJ764" s="97"/>
      <c r="CK764" s="97"/>
      <c r="CL764" s="97"/>
      <c r="CM764" s="97"/>
      <c r="CN764" s="97"/>
      <c r="CO764" s="97"/>
      <c r="CP764" s="97"/>
      <c r="CQ764" s="97"/>
    </row>
    <row r="765" spans="1:95" ht="14.45" hidden="1">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7"/>
      <c r="AY765" s="97"/>
      <c r="AZ765" s="97"/>
      <c r="BA765" s="97"/>
      <c r="BB765" s="97"/>
      <c r="BC765" s="97"/>
      <c r="BD765" s="97"/>
      <c r="BE765" s="97"/>
      <c r="BF765" s="97"/>
      <c r="BG765" s="97"/>
      <c r="BH765" s="97"/>
      <c r="BI765" s="97"/>
      <c r="BJ765" s="97"/>
      <c r="BK765" s="97"/>
      <c r="BL765" s="97"/>
      <c r="BM765" s="97"/>
      <c r="BN765" s="97"/>
      <c r="BO765" s="97"/>
      <c r="BP765" s="97"/>
      <c r="BQ765" s="97"/>
      <c r="BR765" s="97"/>
      <c r="BS765" s="97"/>
      <c r="BT765" s="97"/>
      <c r="BU765" s="97"/>
      <c r="BV765" s="97"/>
      <c r="BW765" s="97"/>
      <c r="BX765" s="97"/>
      <c r="BY765" s="97"/>
      <c r="BZ765" s="97"/>
      <c r="CA765" s="97"/>
      <c r="CB765" s="97"/>
      <c r="CC765" s="97"/>
      <c r="CD765" s="97"/>
      <c r="CE765" s="97"/>
      <c r="CF765" s="97"/>
      <c r="CG765" s="97"/>
      <c r="CH765" s="97"/>
      <c r="CI765" s="97"/>
      <c r="CJ765" s="97"/>
      <c r="CK765" s="97"/>
      <c r="CL765" s="97"/>
      <c r="CM765" s="97"/>
      <c r="CN765" s="97"/>
      <c r="CO765" s="97"/>
      <c r="CP765" s="97"/>
      <c r="CQ765" s="97"/>
    </row>
    <row r="766" spans="1:95" ht="14.45" hidden="1">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7"/>
      <c r="AY766" s="97"/>
      <c r="AZ766" s="97"/>
      <c r="BA766" s="97"/>
      <c r="BB766" s="97"/>
      <c r="BC766" s="97"/>
      <c r="BD766" s="97"/>
      <c r="BE766" s="97"/>
      <c r="BF766" s="97"/>
      <c r="BG766" s="97"/>
      <c r="BH766" s="97"/>
      <c r="BI766" s="97"/>
      <c r="BJ766" s="97"/>
      <c r="BK766" s="97"/>
      <c r="BL766" s="97"/>
      <c r="BM766" s="97"/>
      <c r="BN766" s="97"/>
      <c r="BO766" s="97"/>
      <c r="BP766" s="97"/>
      <c r="BQ766" s="97"/>
      <c r="BR766" s="97"/>
      <c r="BS766" s="97"/>
      <c r="BT766" s="97"/>
      <c r="BU766" s="97"/>
      <c r="BV766" s="97"/>
      <c r="BW766" s="97"/>
      <c r="BX766" s="97"/>
      <c r="BY766" s="97"/>
      <c r="BZ766" s="97"/>
      <c r="CA766" s="97"/>
      <c r="CB766" s="97"/>
      <c r="CC766" s="97"/>
      <c r="CD766" s="97"/>
      <c r="CE766" s="97"/>
      <c r="CF766" s="97"/>
      <c r="CG766" s="97"/>
      <c r="CH766" s="97"/>
      <c r="CI766" s="97"/>
      <c r="CJ766" s="97"/>
      <c r="CK766" s="97"/>
      <c r="CL766" s="97"/>
      <c r="CM766" s="97"/>
      <c r="CN766" s="97"/>
      <c r="CO766" s="97"/>
      <c r="CP766" s="97"/>
      <c r="CQ766" s="97"/>
    </row>
    <row r="767" spans="1:95" ht="14.45" hidden="1">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7"/>
      <c r="AY767" s="97"/>
      <c r="AZ767" s="97"/>
      <c r="BA767" s="97"/>
      <c r="BB767" s="97"/>
      <c r="BC767" s="97"/>
      <c r="BD767" s="97"/>
      <c r="BE767" s="97"/>
      <c r="BF767" s="97"/>
      <c r="BG767" s="97"/>
      <c r="BH767" s="97"/>
      <c r="BI767" s="97"/>
      <c r="BJ767" s="97"/>
      <c r="BK767" s="97"/>
      <c r="BL767" s="97"/>
      <c r="BM767" s="97"/>
      <c r="BN767" s="97"/>
      <c r="BO767" s="97"/>
      <c r="BP767" s="97"/>
      <c r="BQ767" s="97"/>
      <c r="BR767" s="97"/>
      <c r="BS767" s="97"/>
      <c r="BT767" s="97"/>
      <c r="BU767" s="97"/>
      <c r="BV767" s="97"/>
      <c r="BW767" s="97"/>
      <c r="BX767" s="97"/>
      <c r="BY767" s="97"/>
      <c r="BZ767" s="97"/>
      <c r="CA767" s="97"/>
      <c r="CB767" s="97"/>
      <c r="CC767" s="97"/>
      <c r="CD767" s="97"/>
      <c r="CE767" s="97"/>
      <c r="CF767" s="97"/>
      <c r="CG767" s="97"/>
      <c r="CH767" s="97"/>
      <c r="CI767" s="97"/>
      <c r="CJ767" s="97"/>
      <c r="CK767" s="97"/>
      <c r="CL767" s="97"/>
      <c r="CM767" s="97"/>
      <c r="CN767" s="97"/>
      <c r="CO767" s="97"/>
      <c r="CP767" s="97"/>
      <c r="CQ767" s="97"/>
    </row>
    <row r="768" spans="1:95" ht="14.45" hidden="1">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7"/>
      <c r="AY768" s="97"/>
      <c r="AZ768" s="97"/>
      <c r="BA768" s="97"/>
      <c r="BB768" s="97"/>
      <c r="BC768" s="97"/>
      <c r="BD768" s="97"/>
      <c r="BE768" s="97"/>
      <c r="BF768" s="97"/>
      <c r="BG768" s="97"/>
      <c r="BH768" s="97"/>
      <c r="BI768" s="97"/>
      <c r="BJ768" s="97"/>
      <c r="BK768" s="97"/>
      <c r="BL768" s="97"/>
      <c r="BM768" s="97"/>
      <c r="BN768" s="97"/>
      <c r="BO768" s="97"/>
      <c r="BP768" s="97"/>
      <c r="BQ768" s="97"/>
      <c r="BR768" s="97"/>
      <c r="BS768" s="97"/>
      <c r="BT768" s="97"/>
      <c r="BU768" s="97"/>
      <c r="BV768" s="97"/>
      <c r="BW768" s="97"/>
      <c r="BX768" s="97"/>
      <c r="BY768" s="97"/>
      <c r="BZ768" s="97"/>
      <c r="CA768" s="97"/>
      <c r="CB768" s="97"/>
      <c r="CC768" s="97"/>
      <c r="CD768" s="97"/>
      <c r="CE768" s="97"/>
      <c r="CF768" s="97"/>
      <c r="CG768" s="97"/>
      <c r="CH768" s="97"/>
      <c r="CI768" s="97"/>
      <c r="CJ768" s="97"/>
      <c r="CK768" s="97"/>
      <c r="CL768" s="97"/>
      <c r="CM768" s="97"/>
      <c r="CN768" s="97"/>
      <c r="CO768" s="97"/>
      <c r="CP768" s="97"/>
      <c r="CQ768" s="97"/>
    </row>
    <row r="769" spans="1:95" ht="14.45" hidden="1">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7"/>
      <c r="AY769" s="97"/>
      <c r="AZ769" s="97"/>
      <c r="BA769" s="97"/>
      <c r="BB769" s="97"/>
      <c r="BC769" s="97"/>
      <c r="BD769" s="97"/>
      <c r="BE769" s="97"/>
      <c r="BF769" s="97"/>
      <c r="BG769" s="97"/>
      <c r="BH769" s="97"/>
      <c r="BI769" s="97"/>
      <c r="BJ769" s="97"/>
      <c r="BK769" s="97"/>
      <c r="BL769" s="97"/>
      <c r="BM769" s="97"/>
      <c r="BN769" s="97"/>
      <c r="BO769" s="97"/>
      <c r="BP769" s="97"/>
      <c r="BQ769" s="97"/>
      <c r="BR769" s="97"/>
      <c r="BS769" s="97"/>
      <c r="BT769" s="97"/>
      <c r="BU769" s="97"/>
      <c r="BV769" s="97"/>
      <c r="BW769" s="97"/>
      <c r="BX769" s="97"/>
      <c r="BY769" s="97"/>
      <c r="BZ769" s="97"/>
      <c r="CA769" s="97"/>
      <c r="CB769" s="97"/>
      <c r="CC769" s="97"/>
      <c r="CD769" s="97"/>
      <c r="CE769" s="97"/>
      <c r="CF769" s="97"/>
      <c r="CG769" s="97"/>
      <c r="CH769" s="97"/>
      <c r="CI769" s="97"/>
      <c r="CJ769" s="97"/>
      <c r="CK769" s="97"/>
      <c r="CL769" s="97"/>
      <c r="CM769" s="97"/>
      <c r="CN769" s="97"/>
      <c r="CO769" s="97"/>
      <c r="CP769" s="97"/>
      <c r="CQ769" s="97"/>
    </row>
    <row r="770" spans="1:95" ht="14.45" hidden="1">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7"/>
      <c r="AY770" s="97"/>
      <c r="AZ770" s="97"/>
      <c r="BA770" s="97"/>
      <c r="BB770" s="97"/>
      <c r="BC770" s="97"/>
      <c r="BD770" s="97"/>
      <c r="BE770" s="97"/>
      <c r="BF770" s="97"/>
      <c r="BG770" s="97"/>
      <c r="BH770" s="97"/>
      <c r="BI770" s="97"/>
      <c r="BJ770" s="97"/>
      <c r="BK770" s="97"/>
      <c r="BL770" s="97"/>
      <c r="BM770" s="97"/>
      <c r="BN770" s="97"/>
      <c r="BO770" s="97"/>
      <c r="BP770" s="97"/>
      <c r="BQ770" s="97"/>
      <c r="BR770" s="97"/>
      <c r="BS770" s="97"/>
      <c r="BT770" s="97"/>
      <c r="BU770" s="97"/>
      <c r="BV770" s="97"/>
      <c r="BW770" s="97"/>
      <c r="BX770" s="97"/>
      <c r="BY770" s="97"/>
      <c r="BZ770" s="97"/>
      <c r="CA770" s="97"/>
      <c r="CB770" s="97"/>
      <c r="CC770" s="97"/>
      <c r="CD770" s="97"/>
      <c r="CE770" s="97"/>
      <c r="CF770" s="97"/>
      <c r="CG770" s="97"/>
      <c r="CH770" s="97"/>
      <c r="CI770" s="97"/>
      <c r="CJ770" s="97"/>
      <c r="CK770" s="97"/>
      <c r="CL770" s="97"/>
      <c r="CM770" s="97"/>
      <c r="CN770" s="97"/>
      <c r="CO770" s="97"/>
      <c r="CP770" s="97"/>
      <c r="CQ770" s="97"/>
    </row>
    <row r="771" spans="1:95" ht="14.45" hidden="1">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7"/>
      <c r="AY771" s="97"/>
      <c r="AZ771" s="97"/>
      <c r="BA771" s="97"/>
      <c r="BB771" s="97"/>
      <c r="BC771" s="97"/>
      <c r="BD771" s="97"/>
      <c r="BE771" s="97"/>
      <c r="BF771" s="97"/>
      <c r="BG771" s="97"/>
      <c r="BH771" s="97"/>
      <c r="BI771" s="97"/>
      <c r="BJ771" s="97"/>
      <c r="BK771" s="97"/>
      <c r="BL771" s="97"/>
      <c r="BM771" s="97"/>
      <c r="BN771" s="97"/>
      <c r="BO771" s="97"/>
      <c r="BP771" s="97"/>
      <c r="BQ771" s="97"/>
      <c r="BR771" s="97"/>
      <c r="BS771" s="97"/>
      <c r="BT771" s="97"/>
      <c r="BU771" s="97"/>
      <c r="BV771" s="97"/>
      <c r="BW771" s="97"/>
      <c r="BX771" s="97"/>
      <c r="BY771" s="97"/>
      <c r="BZ771" s="97"/>
      <c r="CA771" s="97"/>
      <c r="CB771" s="97"/>
      <c r="CC771" s="97"/>
      <c r="CD771" s="97"/>
      <c r="CE771" s="97"/>
      <c r="CF771" s="97"/>
      <c r="CG771" s="97"/>
      <c r="CH771" s="97"/>
      <c r="CI771" s="97"/>
      <c r="CJ771" s="97"/>
      <c r="CK771" s="97"/>
      <c r="CL771" s="97"/>
      <c r="CM771" s="97"/>
      <c r="CN771" s="97"/>
      <c r="CO771" s="97"/>
      <c r="CP771" s="97"/>
      <c r="CQ771" s="97"/>
    </row>
    <row r="772" spans="1:95" ht="14.45" hidden="1">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7"/>
      <c r="AY772" s="97"/>
      <c r="AZ772" s="97"/>
      <c r="BA772" s="97"/>
      <c r="BB772" s="97"/>
      <c r="BC772" s="97"/>
      <c r="BD772" s="97"/>
      <c r="BE772" s="97"/>
      <c r="BF772" s="97"/>
      <c r="BG772" s="97"/>
      <c r="BH772" s="97"/>
      <c r="BI772" s="97"/>
      <c r="BJ772" s="97"/>
      <c r="BK772" s="97"/>
      <c r="BL772" s="97"/>
      <c r="BM772" s="97"/>
      <c r="BN772" s="97"/>
      <c r="BO772" s="97"/>
      <c r="BP772" s="97"/>
      <c r="BQ772" s="97"/>
      <c r="BR772" s="97"/>
      <c r="BS772" s="97"/>
      <c r="BT772" s="97"/>
      <c r="BU772" s="97"/>
      <c r="BV772" s="97"/>
      <c r="BW772" s="97"/>
      <c r="BX772" s="97"/>
      <c r="BY772" s="97"/>
      <c r="BZ772" s="97"/>
      <c r="CA772" s="97"/>
      <c r="CB772" s="97"/>
      <c r="CC772" s="97"/>
      <c r="CD772" s="97"/>
      <c r="CE772" s="97"/>
      <c r="CF772" s="97"/>
      <c r="CG772" s="97"/>
      <c r="CH772" s="97"/>
      <c r="CI772" s="97"/>
      <c r="CJ772" s="97"/>
      <c r="CK772" s="97"/>
      <c r="CL772" s="97"/>
      <c r="CM772" s="97"/>
      <c r="CN772" s="97"/>
      <c r="CO772" s="97"/>
      <c r="CP772" s="97"/>
      <c r="CQ772" s="97"/>
    </row>
    <row r="773" spans="1:95" ht="14.45" hidden="1">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7"/>
      <c r="AY773" s="97"/>
      <c r="AZ773" s="97"/>
      <c r="BA773" s="97"/>
      <c r="BB773" s="97"/>
      <c r="BC773" s="97"/>
      <c r="BD773" s="97"/>
      <c r="BE773" s="97"/>
      <c r="BF773" s="97"/>
      <c r="BG773" s="97"/>
      <c r="BH773" s="97"/>
      <c r="BI773" s="97"/>
      <c r="BJ773" s="97"/>
      <c r="BK773" s="97"/>
      <c r="BL773" s="97"/>
      <c r="BM773" s="97"/>
      <c r="BN773" s="97"/>
      <c r="BO773" s="97"/>
      <c r="BP773" s="97"/>
      <c r="BQ773" s="97"/>
      <c r="BR773" s="97"/>
      <c r="BS773" s="97"/>
      <c r="BT773" s="97"/>
      <c r="BU773" s="97"/>
      <c r="BV773" s="97"/>
      <c r="BW773" s="97"/>
      <c r="BX773" s="97"/>
      <c r="BY773" s="97"/>
      <c r="BZ773" s="97"/>
      <c r="CA773" s="97"/>
      <c r="CB773" s="97"/>
      <c r="CC773" s="97"/>
      <c r="CD773" s="97"/>
      <c r="CE773" s="97"/>
      <c r="CF773" s="97"/>
      <c r="CG773" s="97"/>
      <c r="CH773" s="97"/>
      <c r="CI773" s="97"/>
      <c r="CJ773" s="97"/>
      <c r="CK773" s="97"/>
      <c r="CL773" s="97"/>
      <c r="CM773" s="97"/>
      <c r="CN773" s="97"/>
      <c r="CO773" s="97"/>
      <c r="CP773" s="97"/>
      <c r="CQ773" s="97"/>
    </row>
    <row r="774" spans="1:95" ht="14.45" hidden="1">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7"/>
      <c r="AY774" s="97"/>
      <c r="AZ774" s="97"/>
      <c r="BA774" s="97"/>
      <c r="BB774" s="97"/>
      <c r="BC774" s="97"/>
      <c r="BD774" s="97"/>
      <c r="BE774" s="97"/>
      <c r="BF774" s="97"/>
      <c r="BG774" s="97"/>
      <c r="BH774" s="97"/>
      <c r="BI774" s="97"/>
      <c r="BJ774" s="97"/>
      <c r="BK774" s="97"/>
      <c r="BL774" s="97"/>
      <c r="BM774" s="97"/>
      <c r="BN774" s="97"/>
      <c r="BO774" s="97"/>
      <c r="BP774" s="97"/>
      <c r="BQ774" s="97"/>
      <c r="BR774" s="97"/>
      <c r="BS774" s="97"/>
      <c r="BT774" s="97"/>
      <c r="BU774" s="97"/>
      <c r="BV774" s="97"/>
      <c r="BW774" s="97"/>
      <c r="BX774" s="97"/>
      <c r="BY774" s="97"/>
      <c r="BZ774" s="97"/>
      <c r="CA774" s="97"/>
      <c r="CB774" s="97"/>
      <c r="CC774" s="97"/>
      <c r="CD774" s="97"/>
      <c r="CE774" s="97"/>
      <c r="CF774" s="97"/>
      <c r="CG774" s="97"/>
      <c r="CH774" s="97"/>
      <c r="CI774" s="97"/>
      <c r="CJ774" s="97"/>
      <c r="CK774" s="97"/>
      <c r="CL774" s="97"/>
      <c r="CM774" s="97"/>
      <c r="CN774" s="97"/>
      <c r="CO774" s="97"/>
      <c r="CP774" s="97"/>
      <c r="CQ774" s="97"/>
    </row>
    <row r="775" spans="1:95" ht="14.45" hidden="1">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7"/>
      <c r="AY775" s="97"/>
      <c r="AZ775" s="97"/>
      <c r="BA775" s="97"/>
      <c r="BB775" s="97"/>
      <c r="BC775" s="97"/>
      <c r="BD775" s="97"/>
      <c r="BE775" s="97"/>
      <c r="BF775" s="97"/>
      <c r="BG775" s="97"/>
      <c r="BH775" s="97"/>
      <c r="BI775" s="97"/>
      <c r="BJ775" s="97"/>
      <c r="BK775" s="97"/>
      <c r="BL775" s="97"/>
      <c r="BM775" s="97"/>
      <c r="BN775" s="97"/>
      <c r="BO775" s="97"/>
      <c r="BP775" s="97"/>
      <c r="BQ775" s="97"/>
      <c r="BR775" s="97"/>
      <c r="BS775" s="97"/>
      <c r="BT775" s="97"/>
      <c r="BU775" s="97"/>
      <c r="BV775" s="97"/>
      <c r="BW775" s="97"/>
      <c r="BX775" s="97"/>
      <c r="BY775" s="97"/>
      <c r="BZ775" s="97"/>
      <c r="CA775" s="97"/>
      <c r="CB775" s="97"/>
      <c r="CC775" s="97"/>
      <c r="CD775" s="97"/>
      <c r="CE775" s="97"/>
      <c r="CF775" s="97"/>
      <c r="CG775" s="97"/>
      <c r="CH775" s="97"/>
      <c r="CI775" s="97"/>
      <c r="CJ775" s="97"/>
      <c r="CK775" s="97"/>
      <c r="CL775" s="97"/>
      <c r="CM775" s="97"/>
      <c r="CN775" s="97"/>
      <c r="CO775" s="97"/>
      <c r="CP775" s="97"/>
      <c r="CQ775" s="97"/>
    </row>
    <row r="776" spans="1:95" ht="14.45" hidden="1">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7"/>
      <c r="AY776" s="97"/>
      <c r="AZ776" s="97"/>
      <c r="BA776" s="97"/>
      <c r="BB776" s="97"/>
      <c r="BC776" s="97"/>
      <c r="BD776" s="97"/>
      <c r="BE776" s="97"/>
      <c r="BF776" s="97"/>
      <c r="BG776" s="97"/>
      <c r="BH776" s="97"/>
      <c r="BI776" s="97"/>
      <c r="BJ776" s="97"/>
      <c r="BK776" s="97"/>
      <c r="BL776" s="97"/>
      <c r="BM776" s="97"/>
      <c r="BN776" s="97"/>
      <c r="BO776" s="97"/>
      <c r="BP776" s="97"/>
      <c r="BQ776" s="97"/>
      <c r="BR776" s="97"/>
      <c r="BS776" s="97"/>
      <c r="BT776" s="97"/>
      <c r="BU776" s="97"/>
      <c r="BV776" s="97"/>
      <c r="BW776" s="97"/>
      <c r="BX776" s="97"/>
      <c r="BY776" s="97"/>
      <c r="BZ776" s="97"/>
      <c r="CA776" s="97"/>
      <c r="CB776" s="97"/>
      <c r="CC776" s="97"/>
      <c r="CD776" s="97"/>
      <c r="CE776" s="97"/>
      <c r="CF776" s="97"/>
      <c r="CG776" s="97"/>
      <c r="CH776" s="97"/>
      <c r="CI776" s="97"/>
      <c r="CJ776" s="97"/>
      <c r="CK776" s="97"/>
      <c r="CL776" s="97"/>
      <c r="CM776" s="97"/>
      <c r="CN776" s="97"/>
      <c r="CO776" s="97"/>
      <c r="CP776" s="97"/>
      <c r="CQ776" s="97"/>
    </row>
    <row r="777" spans="1:95" ht="14.45" hidden="1">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7"/>
      <c r="AY777" s="97"/>
      <c r="AZ777" s="97"/>
      <c r="BA777" s="97"/>
      <c r="BB777" s="97"/>
      <c r="BC777" s="97"/>
      <c r="BD777" s="97"/>
      <c r="BE777" s="97"/>
      <c r="BF777" s="97"/>
      <c r="BG777" s="97"/>
      <c r="BH777" s="97"/>
      <c r="BI777" s="97"/>
      <c r="BJ777" s="97"/>
      <c r="BK777" s="97"/>
      <c r="BL777" s="97"/>
      <c r="BM777" s="97"/>
      <c r="BN777" s="97"/>
      <c r="BO777" s="97"/>
      <c r="BP777" s="97"/>
      <c r="BQ777" s="97"/>
      <c r="BR777" s="97"/>
      <c r="BS777" s="97"/>
      <c r="BT777" s="97"/>
      <c r="BU777" s="97"/>
      <c r="BV777" s="97"/>
      <c r="BW777" s="97"/>
      <c r="BX777" s="97"/>
      <c r="BY777" s="97"/>
      <c r="BZ777" s="97"/>
      <c r="CA777" s="97"/>
      <c r="CB777" s="97"/>
      <c r="CC777" s="97"/>
      <c r="CD777" s="97"/>
      <c r="CE777" s="97"/>
      <c r="CF777" s="97"/>
      <c r="CG777" s="97"/>
      <c r="CH777" s="97"/>
      <c r="CI777" s="97"/>
      <c r="CJ777" s="97"/>
      <c r="CK777" s="97"/>
      <c r="CL777" s="97"/>
      <c r="CM777" s="97"/>
      <c r="CN777" s="97"/>
      <c r="CO777" s="97"/>
      <c r="CP777" s="97"/>
      <c r="CQ777" s="97"/>
    </row>
    <row r="778" spans="1:95" ht="14.45" hidden="1">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7"/>
      <c r="AY778" s="97"/>
      <c r="AZ778" s="97"/>
      <c r="BA778" s="97"/>
      <c r="BB778" s="97"/>
      <c r="BC778" s="97"/>
      <c r="BD778" s="97"/>
      <c r="BE778" s="97"/>
      <c r="BF778" s="97"/>
      <c r="BG778" s="97"/>
      <c r="BH778" s="97"/>
      <c r="BI778" s="97"/>
      <c r="BJ778" s="97"/>
      <c r="BK778" s="97"/>
      <c r="BL778" s="97"/>
      <c r="BM778" s="97"/>
      <c r="BN778" s="97"/>
      <c r="BO778" s="97"/>
      <c r="BP778" s="97"/>
      <c r="BQ778" s="97"/>
      <c r="BR778" s="97"/>
      <c r="BS778" s="97"/>
      <c r="BT778" s="97"/>
      <c r="BU778" s="97"/>
      <c r="BV778" s="97"/>
      <c r="BW778" s="97"/>
      <c r="BX778" s="97"/>
      <c r="BY778" s="97"/>
      <c r="BZ778" s="97"/>
      <c r="CA778" s="97"/>
      <c r="CB778" s="97"/>
      <c r="CC778" s="97"/>
      <c r="CD778" s="97"/>
      <c r="CE778" s="97"/>
      <c r="CF778" s="97"/>
      <c r="CG778" s="97"/>
      <c r="CH778" s="97"/>
      <c r="CI778" s="97"/>
      <c r="CJ778" s="97"/>
      <c r="CK778" s="97"/>
      <c r="CL778" s="97"/>
      <c r="CM778" s="97"/>
      <c r="CN778" s="97"/>
      <c r="CO778" s="97"/>
      <c r="CP778" s="97"/>
      <c r="CQ778" s="97"/>
    </row>
    <row r="779" spans="1:95" ht="14.45" hidden="1">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7"/>
      <c r="AY779" s="97"/>
      <c r="AZ779" s="97"/>
      <c r="BA779" s="97"/>
      <c r="BB779" s="97"/>
      <c r="BC779" s="97"/>
      <c r="BD779" s="97"/>
      <c r="BE779" s="97"/>
      <c r="BF779" s="97"/>
      <c r="BG779" s="97"/>
      <c r="BH779" s="97"/>
      <c r="BI779" s="97"/>
      <c r="BJ779" s="97"/>
      <c r="BK779" s="97"/>
      <c r="BL779" s="97"/>
      <c r="BM779" s="97"/>
      <c r="BN779" s="97"/>
      <c r="BO779" s="97"/>
      <c r="BP779" s="97"/>
      <c r="BQ779" s="97"/>
      <c r="BR779" s="97"/>
      <c r="BS779" s="97"/>
      <c r="BT779" s="97"/>
      <c r="BU779" s="97"/>
      <c r="BV779" s="97"/>
      <c r="BW779" s="97"/>
      <c r="BX779" s="97"/>
      <c r="BY779" s="97"/>
      <c r="BZ779" s="97"/>
      <c r="CA779" s="97"/>
      <c r="CB779" s="97"/>
      <c r="CC779" s="97"/>
      <c r="CD779" s="97"/>
      <c r="CE779" s="97"/>
      <c r="CF779" s="97"/>
      <c r="CG779" s="97"/>
      <c r="CH779" s="97"/>
      <c r="CI779" s="97"/>
      <c r="CJ779" s="97"/>
      <c r="CK779" s="97"/>
      <c r="CL779" s="97"/>
      <c r="CM779" s="97"/>
      <c r="CN779" s="97"/>
      <c r="CO779" s="97"/>
      <c r="CP779" s="97"/>
      <c r="CQ779" s="97"/>
    </row>
    <row r="780" spans="1:95" ht="14.45" hidden="1">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c r="AA780" s="97"/>
      <c r="AB780" s="97"/>
      <c r="AC780" s="97"/>
      <c r="AD780" s="97"/>
      <c r="AE780" s="97"/>
      <c r="AF780" s="97"/>
      <c r="AG780" s="97"/>
      <c r="AH780" s="97"/>
      <c r="AI780" s="97"/>
      <c r="AJ780" s="97"/>
      <c r="AK780" s="97"/>
      <c r="AL780" s="97"/>
      <c r="AM780" s="97"/>
      <c r="AN780" s="97"/>
      <c r="AO780" s="97"/>
      <c r="AP780" s="97"/>
      <c r="AQ780" s="97"/>
      <c r="AR780" s="97"/>
      <c r="AS780" s="97"/>
      <c r="AT780" s="97"/>
      <c r="AU780" s="97"/>
      <c r="AV780" s="97"/>
      <c r="AW780" s="97"/>
      <c r="AX780" s="97"/>
      <c r="AY780" s="97"/>
      <c r="AZ780" s="97"/>
      <c r="BA780" s="97"/>
      <c r="BB780" s="97"/>
      <c r="BC780" s="97"/>
      <c r="BD780" s="97"/>
      <c r="BE780" s="97"/>
      <c r="BF780" s="97"/>
      <c r="BG780" s="97"/>
      <c r="BH780" s="97"/>
      <c r="BI780" s="97"/>
      <c r="BJ780" s="97"/>
      <c r="BK780" s="97"/>
      <c r="BL780" s="97"/>
      <c r="BM780" s="97"/>
      <c r="BN780" s="97"/>
      <c r="BO780" s="97"/>
      <c r="BP780" s="97"/>
      <c r="BQ780" s="97"/>
      <c r="BR780" s="97"/>
      <c r="BS780" s="97"/>
      <c r="BT780" s="97"/>
      <c r="BU780" s="97"/>
      <c r="BV780" s="97"/>
      <c r="BW780" s="97"/>
      <c r="BX780" s="97"/>
      <c r="BY780" s="97"/>
      <c r="BZ780" s="97"/>
      <c r="CA780" s="97"/>
      <c r="CB780" s="97"/>
      <c r="CC780" s="97"/>
      <c r="CD780" s="97"/>
      <c r="CE780" s="97"/>
      <c r="CF780" s="97"/>
      <c r="CG780" s="97"/>
      <c r="CH780" s="97"/>
      <c r="CI780" s="97"/>
      <c r="CJ780" s="97"/>
      <c r="CK780" s="97"/>
      <c r="CL780" s="97"/>
      <c r="CM780" s="97"/>
      <c r="CN780" s="97"/>
      <c r="CO780" s="97"/>
      <c r="CP780" s="97"/>
      <c r="CQ780" s="97"/>
    </row>
    <row r="781" spans="1:95" ht="14.45" hidden="1">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c r="AA781" s="97"/>
      <c r="AB781" s="97"/>
      <c r="AC781" s="97"/>
      <c r="AD781" s="97"/>
      <c r="AE781" s="97"/>
      <c r="AF781" s="97"/>
      <c r="AG781" s="97"/>
      <c r="AH781" s="97"/>
      <c r="AI781" s="97"/>
      <c r="AJ781" s="97"/>
      <c r="AK781" s="97"/>
      <c r="AL781" s="97"/>
      <c r="AM781" s="97"/>
      <c r="AN781" s="97"/>
      <c r="AO781" s="97"/>
      <c r="AP781" s="97"/>
      <c r="AQ781" s="97"/>
      <c r="AR781" s="97"/>
      <c r="AS781" s="97"/>
      <c r="AT781" s="97"/>
      <c r="AU781" s="97"/>
      <c r="AV781" s="97"/>
      <c r="AW781" s="97"/>
      <c r="AX781" s="97"/>
      <c r="AY781" s="97"/>
      <c r="AZ781" s="97"/>
      <c r="BA781" s="97"/>
      <c r="BB781" s="97"/>
      <c r="BC781" s="97"/>
      <c r="BD781" s="97"/>
      <c r="BE781" s="97"/>
      <c r="BF781" s="97"/>
      <c r="BG781" s="97"/>
      <c r="BH781" s="97"/>
      <c r="BI781" s="97"/>
      <c r="BJ781" s="97"/>
      <c r="BK781" s="97"/>
      <c r="BL781" s="97"/>
      <c r="BM781" s="97"/>
      <c r="BN781" s="97"/>
      <c r="BO781" s="97"/>
      <c r="BP781" s="97"/>
      <c r="BQ781" s="97"/>
      <c r="BR781" s="97"/>
      <c r="BS781" s="97"/>
      <c r="BT781" s="97"/>
      <c r="BU781" s="97"/>
      <c r="BV781" s="97"/>
      <c r="BW781" s="97"/>
      <c r="BX781" s="97"/>
      <c r="BY781" s="97"/>
      <c r="BZ781" s="97"/>
      <c r="CA781" s="97"/>
      <c r="CB781" s="97"/>
      <c r="CC781" s="97"/>
      <c r="CD781" s="97"/>
      <c r="CE781" s="97"/>
      <c r="CF781" s="97"/>
      <c r="CG781" s="97"/>
      <c r="CH781" s="97"/>
      <c r="CI781" s="97"/>
      <c r="CJ781" s="97"/>
      <c r="CK781" s="97"/>
      <c r="CL781" s="97"/>
      <c r="CM781" s="97"/>
      <c r="CN781" s="97"/>
      <c r="CO781" s="97"/>
      <c r="CP781" s="97"/>
      <c r="CQ781" s="97"/>
    </row>
    <row r="782" spans="1:95" ht="14.45" hidden="1">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c r="AA782" s="97"/>
      <c r="AB782" s="97"/>
      <c r="AC782" s="97"/>
      <c r="AD782" s="97"/>
      <c r="AE782" s="97"/>
      <c r="AF782" s="97"/>
      <c r="AG782" s="97"/>
      <c r="AH782" s="97"/>
      <c r="AI782" s="97"/>
      <c r="AJ782" s="97"/>
      <c r="AK782" s="97"/>
      <c r="AL782" s="97"/>
      <c r="AM782" s="97"/>
      <c r="AN782" s="97"/>
      <c r="AO782" s="97"/>
      <c r="AP782" s="97"/>
      <c r="AQ782" s="97"/>
      <c r="AR782" s="97"/>
      <c r="AS782" s="97"/>
      <c r="AT782" s="97"/>
      <c r="AU782" s="97"/>
      <c r="AV782" s="97"/>
      <c r="AW782" s="97"/>
      <c r="AX782" s="97"/>
      <c r="AY782" s="97"/>
      <c r="AZ782" s="97"/>
      <c r="BA782" s="97"/>
      <c r="BB782" s="97"/>
      <c r="BC782" s="97"/>
      <c r="BD782" s="97"/>
      <c r="BE782" s="97"/>
      <c r="BF782" s="97"/>
      <c r="BG782" s="97"/>
      <c r="BH782" s="97"/>
      <c r="BI782" s="97"/>
      <c r="BJ782" s="97"/>
      <c r="BK782" s="97"/>
      <c r="BL782" s="97"/>
      <c r="BM782" s="97"/>
      <c r="BN782" s="97"/>
      <c r="BO782" s="97"/>
      <c r="BP782" s="97"/>
      <c r="BQ782" s="97"/>
      <c r="BR782" s="97"/>
      <c r="BS782" s="97"/>
      <c r="BT782" s="97"/>
      <c r="BU782" s="97"/>
      <c r="BV782" s="97"/>
      <c r="BW782" s="97"/>
      <c r="BX782" s="97"/>
      <c r="BY782" s="97"/>
      <c r="BZ782" s="97"/>
      <c r="CA782" s="97"/>
      <c r="CB782" s="97"/>
      <c r="CC782" s="97"/>
      <c r="CD782" s="97"/>
      <c r="CE782" s="97"/>
      <c r="CF782" s="97"/>
      <c r="CG782" s="97"/>
      <c r="CH782" s="97"/>
      <c r="CI782" s="97"/>
      <c r="CJ782" s="97"/>
      <c r="CK782" s="97"/>
      <c r="CL782" s="97"/>
      <c r="CM782" s="97"/>
      <c r="CN782" s="97"/>
      <c r="CO782" s="97"/>
      <c r="CP782" s="97"/>
      <c r="CQ782" s="97"/>
    </row>
    <row r="783" spans="1:95" ht="14.45" hidden="1">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97"/>
      <c r="AH783" s="97"/>
      <c r="AI783" s="97"/>
      <c r="AJ783" s="97"/>
      <c r="AK783" s="97"/>
      <c r="AL783" s="97"/>
      <c r="AM783" s="97"/>
      <c r="AN783" s="97"/>
      <c r="AO783" s="97"/>
      <c r="AP783" s="97"/>
      <c r="AQ783" s="97"/>
      <c r="AR783" s="97"/>
      <c r="AS783" s="97"/>
      <c r="AT783" s="97"/>
      <c r="AU783" s="97"/>
      <c r="AV783" s="97"/>
      <c r="AW783" s="97"/>
      <c r="AX783" s="97"/>
      <c r="AY783" s="97"/>
      <c r="AZ783" s="97"/>
      <c r="BA783" s="97"/>
      <c r="BB783" s="97"/>
      <c r="BC783" s="97"/>
      <c r="BD783" s="97"/>
      <c r="BE783" s="97"/>
      <c r="BF783" s="97"/>
      <c r="BG783" s="97"/>
      <c r="BH783" s="97"/>
      <c r="BI783" s="97"/>
      <c r="BJ783" s="97"/>
      <c r="BK783" s="97"/>
      <c r="BL783" s="97"/>
      <c r="BM783" s="97"/>
      <c r="BN783" s="97"/>
      <c r="BO783" s="97"/>
      <c r="BP783" s="97"/>
      <c r="BQ783" s="97"/>
      <c r="BR783" s="97"/>
      <c r="BS783" s="97"/>
      <c r="BT783" s="97"/>
      <c r="BU783" s="97"/>
      <c r="BV783" s="97"/>
      <c r="BW783" s="97"/>
      <c r="BX783" s="97"/>
      <c r="BY783" s="97"/>
      <c r="BZ783" s="97"/>
      <c r="CA783" s="97"/>
      <c r="CB783" s="97"/>
      <c r="CC783" s="97"/>
      <c r="CD783" s="97"/>
      <c r="CE783" s="97"/>
      <c r="CF783" s="97"/>
      <c r="CG783" s="97"/>
      <c r="CH783" s="97"/>
      <c r="CI783" s="97"/>
      <c r="CJ783" s="97"/>
      <c r="CK783" s="97"/>
      <c r="CL783" s="97"/>
      <c r="CM783" s="97"/>
      <c r="CN783" s="97"/>
      <c r="CO783" s="97"/>
      <c r="CP783" s="97"/>
      <c r="CQ783" s="97"/>
    </row>
    <row r="784" spans="1:95" ht="14.45" hidden="1">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c r="AA784" s="97"/>
      <c r="AB784" s="97"/>
      <c r="AC784" s="97"/>
      <c r="AD784" s="97"/>
      <c r="AE784" s="97"/>
      <c r="AF784" s="97"/>
      <c r="AG784" s="97"/>
      <c r="AH784" s="97"/>
      <c r="AI784" s="97"/>
      <c r="AJ784" s="97"/>
      <c r="AK784" s="97"/>
      <c r="AL784" s="97"/>
      <c r="AM784" s="97"/>
      <c r="AN784" s="97"/>
      <c r="AO784" s="97"/>
      <c r="AP784" s="97"/>
      <c r="AQ784" s="97"/>
      <c r="AR784" s="97"/>
      <c r="AS784" s="97"/>
      <c r="AT784" s="97"/>
      <c r="AU784" s="97"/>
      <c r="AV784" s="97"/>
      <c r="AW784" s="97"/>
      <c r="AX784" s="97"/>
      <c r="AY784" s="97"/>
      <c r="AZ784" s="97"/>
      <c r="BA784" s="97"/>
      <c r="BB784" s="97"/>
      <c r="BC784" s="97"/>
      <c r="BD784" s="97"/>
      <c r="BE784" s="97"/>
      <c r="BF784" s="97"/>
      <c r="BG784" s="97"/>
      <c r="BH784" s="97"/>
      <c r="BI784" s="97"/>
      <c r="BJ784" s="97"/>
      <c r="BK784" s="97"/>
      <c r="BL784" s="97"/>
      <c r="BM784" s="97"/>
      <c r="BN784" s="97"/>
      <c r="BO784" s="97"/>
      <c r="BP784" s="97"/>
      <c r="BQ784" s="97"/>
      <c r="BR784" s="97"/>
      <c r="BS784" s="97"/>
      <c r="BT784" s="97"/>
      <c r="BU784" s="97"/>
      <c r="BV784" s="97"/>
      <c r="BW784" s="97"/>
      <c r="BX784" s="97"/>
      <c r="BY784" s="97"/>
      <c r="BZ784" s="97"/>
      <c r="CA784" s="97"/>
      <c r="CB784" s="97"/>
      <c r="CC784" s="97"/>
      <c r="CD784" s="97"/>
      <c r="CE784" s="97"/>
      <c r="CF784" s="97"/>
      <c r="CG784" s="97"/>
      <c r="CH784" s="97"/>
      <c r="CI784" s="97"/>
      <c r="CJ784" s="97"/>
      <c r="CK784" s="97"/>
      <c r="CL784" s="97"/>
      <c r="CM784" s="97"/>
      <c r="CN784" s="97"/>
      <c r="CO784" s="97"/>
      <c r="CP784" s="97"/>
      <c r="CQ784" s="97"/>
    </row>
    <row r="785" spans="1:95" ht="14.45" hidden="1">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c r="AA785" s="97"/>
      <c r="AB785" s="97"/>
      <c r="AC785" s="97"/>
      <c r="AD785" s="97"/>
      <c r="AE785" s="97"/>
      <c r="AF785" s="97"/>
      <c r="AG785" s="97"/>
      <c r="AH785" s="97"/>
      <c r="AI785" s="97"/>
      <c r="AJ785" s="97"/>
      <c r="AK785" s="97"/>
      <c r="AL785" s="97"/>
      <c r="AM785" s="97"/>
      <c r="AN785" s="97"/>
      <c r="AO785" s="97"/>
      <c r="AP785" s="97"/>
      <c r="AQ785" s="97"/>
      <c r="AR785" s="97"/>
      <c r="AS785" s="97"/>
      <c r="AT785" s="97"/>
      <c r="AU785" s="97"/>
      <c r="AV785" s="97"/>
      <c r="AW785" s="97"/>
      <c r="AX785" s="97"/>
      <c r="AY785" s="97"/>
      <c r="AZ785" s="97"/>
      <c r="BA785" s="97"/>
      <c r="BB785" s="97"/>
      <c r="BC785" s="97"/>
      <c r="BD785" s="97"/>
      <c r="BE785" s="97"/>
      <c r="BF785" s="97"/>
      <c r="BG785" s="97"/>
      <c r="BH785" s="97"/>
      <c r="BI785" s="97"/>
      <c r="BJ785" s="97"/>
      <c r="BK785" s="97"/>
      <c r="BL785" s="97"/>
      <c r="BM785" s="97"/>
      <c r="BN785" s="97"/>
      <c r="BO785" s="97"/>
      <c r="BP785" s="97"/>
      <c r="BQ785" s="97"/>
      <c r="BR785" s="97"/>
      <c r="BS785" s="97"/>
      <c r="BT785" s="97"/>
      <c r="BU785" s="97"/>
      <c r="BV785" s="97"/>
      <c r="BW785" s="97"/>
      <c r="BX785" s="97"/>
      <c r="BY785" s="97"/>
      <c r="BZ785" s="97"/>
      <c r="CA785" s="97"/>
      <c r="CB785" s="97"/>
      <c r="CC785" s="97"/>
      <c r="CD785" s="97"/>
      <c r="CE785" s="97"/>
      <c r="CF785" s="97"/>
      <c r="CG785" s="97"/>
      <c r="CH785" s="97"/>
      <c r="CI785" s="97"/>
      <c r="CJ785" s="97"/>
      <c r="CK785" s="97"/>
      <c r="CL785" s="97"/>
      <c r="CM785" s="97"/>
      <c r="CN785" s="97"/>
      <c r="CO785" s="97"/>
      <c r="CP785" s="97"/>
      <c r="CQ785" s="97"/>
    </row>
    <row r="786" spans="1:95" ht="14.45" hidden="1">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c r="AA786" s="97"/>
      <c r="AB786" s="97"/>
      <c r="AC786" s="97"/>
      <c r="AD786" s="97"/>
      <c r="AE786" s="97"/>
      <c r="AF786" s="97"/>
      <c r="AG786" s="97"/>
      <c r="AH786" s="97"/>
      <c r="AI786" s="97"/>
      <c r="AJ786" s="97"/>
      <c r="AK786" s="97"/>
      <c r="AL786" s="97"/>
      <c r="AM786" s="97"/>
      <c r="AN786" s="97"/>
      <c r="AO786" s="97"/>
      <c r="AP786" s="97"/>
      <c r="AQ786" s="97"/>
      <c r="AR786" s="97"/>
      <c r="AS786" s="97"/>
      <c r="AT786" s="97"/>
      <c r="AU786" s="97"/>
      <c r="AV786" s="97"/>
      <c r="AW786" s="97"/>
      <c r="AX786" s="97"/>
      <c r="AY786" s="97"/>
      <c r="AZ786" s="97"/>
      <c r="BA786" s="97"/>
      <c r="BB786" s="97"/>
      <c r="BC786" s="97"/>
      <c r="BD786" s="97"/>
      <c r="BE786" s="97"/>
      <c r="BF786" s="97"/>
      <c r="BG786" s="97"/>
      <c r="BH786" s="97"/>
      <c r="BI786" s="97"/>
      <c r="BJ786" s="97"/>
      <c r="BK786" s="97"/>
      <c r="BL786" s="97"/>
      <c r="BM786" s="97"/>
      <c r="BN786" s="97"/>
      <c r="BO786" s="97"/>
      <c r="BP786" s="97"/>
      <c r="BQ786" s="97"/>
      <c r="BR786" s="97"/>
      <c r="BS786" s="97"/>
      <c r="BT786" s="97"/>
      <c r="BU786" s="97"/>
      <c r="BV786" s="97"/>
      <c r="BW786" s="97"/>
      <c r="BX786" s="97"/>
      <c r="BY786" s="97"/>
      <c r="BZ786" s="97"/>
      <c r="CA786" s="97"/>
      <c r="CB786" s="97"/>
      <c r="CC786" s="97"/>
      <c r="CD786" s="97"/>
      <c r="CE786" s="97"/>
      <c r="CF786" s="97"/>
      <c r="CG786" s="97"/>
      <c r="CH786" s="97"/>
      <c r="CI786" s="97"/>
      <c r="CJ786" s="97"/>
      <c r="CK786" s="97"/>
      <c r="CL786" s="97"/>
      <c r="CM786" s="97"/>
      <c r="CN786" s="97"/>
      <c r="CO786" s="97"/>
      <c r="CP786" s="97"/>
      <c r="CQ786" s="97"/>
    </row>
    <row r="787" spans="1:95" ht="14.45" hidden="1">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c r="AA787" s="97"/>
      <c r="AB787" s="97"/>
      <c r="AC787" s="97"/>
      <c r="AD787" s="97"/>
      <c r="AE787" s="97"/>
      <c r="AF787" s="97"/>
      <c r="AG787" s="97"/>
      <c r="AH787" s="97"/>
      <c r="AI787" s="97"/>
      <c r="AJ787" s="97"/>
      <c r="AK787" s="97"/>
      <c r="AL787" s="97"/>
      <c r="AM787" s="97"/>
      <c r="AN787" s="97"/>
      <c r="AO787" s="97"/>
      <c r="AP787" s="97"/>
      <c r="AQ787" s="97"/>
      <c r="AR787" s="97"/>
      <c r="AS787" s="97"/>
      <c r="AT787" s="97"/>
      <c r="AU787" s="97"/>
      <c r="AV787" s="97"/>
      <c r="AW787" s="97"/>
      <c r="AX787" s="97"/>
      <c r="AY787" s="97"/>
      <c r="AZ787" s="97"/>
      <c r="BA787" s="97"/>
      <c r="BB787" s="97"/>
      <c r="BC787" s="97"/>
      <c r="BD787" s="97"/>
      <c r="BE787" s="97"/>
      <c r="BF787" s="97"/>
      <c r="BG787" s="97"/>
      <c r="BH787" s="97"/>
      <c r="BI787" s="97"/>
      <c r="BJ787" s="97"/>
      <c r="BK787" s="97"/>
      <c r="BL787" s="97"/>
      <c r="BM787" s="97"/>
      <c r="BN787" s="97"/>
      <c r="BO787" s="97"/>
      <c r="BP787" s="97"/>
      <c r="BQ787" s="97"/>
      <c r="BR787" s="97"/>
      <c r="BS787" s="97"/>
      <c r="BT787" s="97"/>
      <c r="BU787" s="97"/>
      <c r="BV787" s="97"/>
      <c r="BW787" s="97"/>
      <c r="BX787" s="97"/>
      <c r="BY787" s="97"/>
      <c r="BZ787" s="97"/>
      <c r="CA787" s="97"/>
      <c r="CB787" s="97"/>
      <c r="CC787" s="97"/>
      <c r="CD787" s="97"/>
      <c r="CE787" s="97"/>
      <c r="CF787" s="97"/>
      <c r="CG787" s="97"/>
      <c r="CH787" s="97"/>
      <c r="CI787" s="97"/>
      <c r="CJ787" s="97"/>
      <c r="CK787" s="97"/>
      <c r="CL787" s="97"/>
      <c r="CM787" s="97"/>
      <c r="CN787" s="97"/>
      <c r="CO787" s="97"/>
      <c r="CP787" s="97"/>
      <c r="CQ787" s="97"/>
    </row>
    <row r="788" spans="1:95" ht="14.45" hidden="1">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c r="AA788" s="97"/>
      <c r="AB788" s="97"/>
      <c r="AC788" s="97"/>
      <c r="AD788" s="97"/>
      <c r="AE788" s="97"/>
      <c r="AF788" s="97"/>
      <c r="AG788" s="97"/>
      <c r="AH788" s="97"/>
      <c r="AI788" s="97"/>
      <c r="AJ788" s="97"/>
      <c r="AK788" s="97"/>
      <c r="AL788" s="97"/>
      <c r="AM788" s="97"/>
      <c r="AN788" s="97"/>
      <c r="AO788" s="97"/>
      <c r="AP788" s="97"/>
      <c r="AQ788" s="97"/>
      <c r="AR788" s="97"/>
      <c r="AS788" s="97"/>
      <c r="AT788" s="97"/>
      <c r="AU788" s="97"/>
      <c r="AV788" s="97"/>
      <c r="AW788" s="97"/>
      <c r="AX788" s="97"/>
      <c r="AY788" s="97"/>
      <c r="AZ788" s="97"/>
      <c r="BA788" s="97"/>
      <c r="BB788" s="97"/>
      <c r="BC788" s="97"/>
      <c r="BD788" s="97"/>
      <c r="BE788" s="97"/>
      <c r="BF788" s="97"/>
      <c r="BG788" s="97"/>
      <c r="BH788" s="97"/>
      <c r="BI788" s="97"/>
      <c r="BJ788" s="97"/>
      <c r="BK788" s="97"/>
      <c r="BL788" s="97"/>
      <c r="BM788" s="97"/>
      <c r="BN788" s="97"/>
      <c r="BO788" s="97"/>
      <c r="BP788" s="97"/>
      <c r="BQ788" s="97"/>
      <c r="BR788" s="97"/>
      <c r="BS788" s="97"/>
      <c r="BT788" s="97"/>
      <c r="BU788" s="97"/>
      <c r="BV788" s="97"/>
      <c r="BW788" s="97"/>
      <c r="BX788" s="97"/>
      <c r="BY788" s="97"/>
      <c r="BZ788" s="97"/>
      <c r="CA788" s="97"/>
      <c r="CB788" s="97"/>
      <c r="CC788" s="97"/>
      <c r="CD788" s="97"/>
      <c r="CE788" s="97"/>
      <c r="CF788" s="97"/>
      <c r="CG788" s="97"/>
      <c r="CH788" s="97"/>
      <c r="CI788" s="97"/>
      <c r="CJ788" s="97"/>
      <c r="CK788" s="97"/>
      <c r="CL788" s="97"/>
      <c r="CM788" s="97"/>
      <c r="CN788" s="97"/>
      <c r="CO788" s="97"/>
      <c r="CP788" s="97"/>
      <c r="CQ788" s="97"/>
    </row>
    <row r="789" spans="1:95" ht="14.45" hidden="1">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c r="AA789" s="97"/>
      <c r="AB789" s="97"/>
      <c r="AC789" s="97"/>
      <c r="AD789" s="97"/>
      <c r="AE789" s="97"/>
      <c r="AF789" s="97"/>
      <c r="AG789" s="97"/>
      <c r="AH789" s="97"/>
      <c r="AI789" s="97"/>
      <c r="AJ789" s="97"/>
      <c r="AK789" s="97"/>
      <c r="AL789" s="97"/>
      <c r="AM789" s="97"/>
      <c r="AN789" s="97"/>
      <c r="AO789" s="97"/>
      <c r="AP789" s="97"/>
      <c r="AQ789" s="97"/>
      <c r="AR789" s="97"/>
      <c r="AS789" s="97"/>
      <c r="AT789" s="97"/>
      <c r="AU789" s="97"/>
      <c r="AV789" s="97"/>
      <c r="AW789" s="97"/>
      <c r="AX789" s="97"/>
      <c r="AY789" s="97"/>
      <c r="AZ789" s="97"/>
      <c r="BA789" s="97"/>
      <c r="BB789" s="97"/>
      <c r="BC789" s="97"/>
      <c r="BD789" s="97"/>
      <c r="BE789" s="97"/>
      <c r="BF789" s="97"/>
      <c r="BG789" s="97"/>
      <c r="BH789" s="97"/>
      <c r="BI789" s="97"/>
      <c r="BJ789" s="97"/>
      <c r="BK789" s="97"/>
      <c r="BL789" s="97"/>
      <c r="BM789" s="97"/>
      <c r="BN789" s="97"/>
      <c r="BO789" s="97"/>
      <c r="BP789" s="97"/>
      <c r="BQ789" s="97"/>
      <c r="BR789" s="97"/>
      <c r="BS789" s="97"/>
      <c r="BT789" s="97"/>
      <c r="BU789" s="97"/>
      <c r="BV789" s="97"/>
      <c r="BW789" s="97"/>
      <c r="BX789" s="97"/>
      <c r="BY789" s="97"/>
      <c r="BZ789" s="97"/>
      <c r="CA789" s="97"/>
      <c r="CB789" s="97"/>
      <c r="CC789" s="97"/>
      <c r="CD789" s="97"/>
      <c r="CE789" s="97"/>
      <c r="CF789" s="97"/>
      <c r="CG789" s="97"/>
      <c r="CH789" s="97"/>
      <c r="CI789" s="97"/>
      <c r="CJ789" s="97"/>
      <c r="CK789" s="97"/>
      <c r="CL789" s="97"/>
      <c r="CM789" s="97"/>
      <c r="CN789" s="97"/>
      <c r="CO789" s="97"/>
      <c r="CP789" s="97"/>
      <c r="CQ789" s="97"/>
    </row>
    <row r="790" spans="1:95" ht="14.45" hidden="1">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c r="AA790" s="97"/>
      <c r="AB790" s="97"/>
      <c r="AC790" s="97"/>
      <c r="AD790" s="97"/>
      <c r="AE790" s="97"/>
      <c r="AF790" s="97"/>
      <c r="AG790" s="97"/>
      <c r="AH790" s="97"/>
      <c r="AI790" s="97"/>
      <c r="AJ790" s="97"/>
      <c r="AK790" s="97"/>
      <c r="AL790" s="97"/>
      <c r="AM790" s="97"/>
      <c r="AN790" s="97"/>
      <c r="AO790" s="97"/>
      <c r="AP790" s="97"/>
      <c r="AQ790" s="97"/>
      <c r="AR790" s="97"/>
      <c r="AS790" s="97"/>
      <c r="AT790" s="97"/>
      <c r="AU790" s="97"/>
      <c r="AV790" s="97"/>
      <c r="AW790" s="97"/>
      <c r="AX790" s="97"/>
      <c r="AY790" s="97"/>
      <c r="AZ790" s="97"/>
      <c r="BA790" s="97"/>
      <c r="BB790" s="97"/>
      <c r="BC790" s="97"/>
      <c r="BD790" s="97"/>
      <c r="BE790" s="97"/>
      <c r="BF790" s="97"/>
      <c r="BG790" s="97"/>
      <c r="BH790" s="97"/>
      <c r="BI790" s="97"/>
      <c r="BJ790" s="97"/>
      <c r="BK790" s="97"/>
      <c r="BL790" s="97"/>
      <c r="BM790" s="97"/>
      <c r="BN790" s="97"/>
      <c r="BO790" s="97"/>
      <c r="BP790" s="97"/>
      <c r="BQ790" s="97"/>
      <c r="BR790" s="97"/>
      <c r="BS790" s="97"/>
      <c r="BT790" s="97"/>
      <c r="BU790" s="97"/>
      <c r="BV790" s="97"/>
      <c r="BW790" s="97"/>
      <c r="BX790" s="97"/>
      <c r="BY790" s="97"/>
      <c r="BZ790" s="97"/>
      <c r="CA790" s="97"/>
      <c r="CB790" s="97"/>
      <c r="CC790" s="97"/>
      <c r="CD790" s="97"/>
      <c r="CE790" s="97"/>
      <c r="CF790" s="97"/>
      <c r="CG790" s="97"/>
      <c r="CH790" s="97"/>
      <c r="CI790" s="97"/>
      <c r="CJ790" s="97"/>
      <c r="CK790" s="97"/>
      <c r="CL790" s="97"/>
      <c r="CM790" s="97"/>
      <c r="CN790" s="97"/>
      <c r="CO790" s="97"/>
      <c r="CP790" s="97"/>
      <c r="CQ790" s="97"/>
    </row>
    <row r="791" spans="1:95" ht="14.45" hidden="1">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c r="AA791" s="97"/>
      <c r="AB791" s="97"/>
      <c r="AC791" s="97"/>
      <c r="AD791" s="97"/>
      <c r="AE791" s="97"/>
      <c r="AF791" s="97"/>
      <c r="AG791" s="97"/>
      <c r="AH791" s="97"/>
      <c r="AI791" s="97"/>
      <c r="AJ791" s="97"/>
      <c r="AK791" s="97"/>
      <c r="AL791" s="97"/>
      <c r="AM791" s="97"/>
      <c r="AN791" s="97"/>
      <c r="AO791" s="97"/>
      <c r="AP791" s="97"/>
      <c r="AQ791" s="97"/>
      <c r="AR791" s="97"/>
      <c r="AS791" s="97"/>
      <c r="AT791" s="97"/>
      <c r="AU791" s="97"/>
      <c r="AV791" s="97"/>
      <c r="AW791" s="97"/>
      <c r="AX791" s="97"/>
      <c r="AY791" s="97"/>
      <c r="AZ791" s="97"/>
      <c r="BA791" s="97"/>
      <c r="BB791" s="97"/>
      <c r="BC791" s="97"/>
      <c r="BD791" s="97"/>
      <c r="BE791" s="97"/>
      <c r="BF791" s="97"/>
      <c r="BG791" s="97"/>
      <c r="BH791" s="97"/>
      <c r="BI791" s="97"/>
      <c r="BJ791" s="97"/>
      <c r="BK791" s="97"/>
      <c r="BL791" s="97"/>
      <c r="BM791" s="97"/>
      <c r="BN791" s="97"/>
      <c r="BO791" s="97"/>
      <c r="BP791" s="97"/>
      <c r="BQ791" s="97"/>
      <c r="BR791" s="97"/>
      <c r="BS791" s="97"/>
      <c r="BT791" s="97"/>
      <c r="BU791" s="97"/>
      <c r="BV791" s="97"/>
      <c r="BW791" s="97"/>
      <c r="BX791" s="97"/>
      <c r="BY791" s="97"/>
      <c r="BZ791" s="97"/>
      <c r="CA791" s="97"/>
      <c r="CB791" s="97"/>
      <c r="CC791" s="97"/>
      <c r="CD791" s="97"/>
      <c r="CE791" s="97"/>
      <c r="CF791" s="97"/>
      <c r="CG791" s="97"/>
      <c r="CH791" s="97"/>
      <c r="CI791" s="97"/>
      <c r="CJ791" s="97"/>
      <c r="CK791" s="97"/>
      <c r="CL791" s="97"/>
      <c r="CM791" s="97"/>
      <c r="CN791" s="97"/>
      <c r="CO791" s="97"/>
      <c r="CP791" s="97"/>
      <c r="CQ791" s="97"/>
    </row>
    <row r="792" spans="1:95" ht="14.45" hidden="1">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c r="AA792" s="97"/>
      <c r="AB792" s="97"/>
      <c r="AC792" s="97"/>
      <c r="AD792" s="97"/>
      <c r="AE792" s="97"/>
      <c r="AF792" s="97"/>
      <c r="AG792" s="97"/>
      <c r="AH792" s="97"/>
      <c r="AI792" s="97"/>
      <c r="AJ792" s="97"/>
      <c r="AK792" s="97"/>
      <c r="AL792" s="97"/>
      <c r="AM792" s="97"/>
      <c r="AN792" s="97"/>
      <c r="AO792" s="97"/>
      <c r="AP792" s="97"/>
      <c r="AQ792" s="97"/>
      <c r="AR792" s="97"/>
      <c r="AS792" s="97"/>
      <c r="AT792" s="97"/>
      <c r="AU792" s="97"/>
      <c r="AV792" s="97"/>
      <c r="AW792" s="97"/>
      <c r="AX792" s="97"/>
      <c r="AY792" s="97"/>
      <c r="AZ792" s="97"/>
      <c r="BA792" s="97"/>
      <c r="BB792" s="97"/>
      <c r="BC792" s="97"/>
      <c r="BD792" s="97"/>
      <c r="BE792" s="97"/>
      <c r="BF792" s="97"/>
      <c r="BG792" s="97"/>
      <c r="BH792" s="97"/>
      <c r="BI792" s="97"/>
      <c r="BJ792" s="97"/>
      <c r="BK792" s="97"/>
      <c r="BL792" s="97"/>
      <c r="BM792" s="97"/>
      <c r="BN792" s="97"/>
      <c r="BO792" s="97"/>
      <c r="BP792" s="97"/>
      <c r="BQ792" s="97"/>
      <c r="BR792" s="97"/>
      <c r="BS792" s="97"/>
      <c r="BT792" s="97"/>
      <c r="BU792" s="97"/>
      <c r="BV792" s="97"/>
      <c r="BW792" s="97"/>
      <c r="BX792" s="97"/>
      <c r="BY792" s="97"/>
      <c r="BZ792" s="97"/>
      <c r="CA792" s="97"/>
      <c r="CB792" s="97"/>
      <c r="CC792" s="97"/>
      <c r="CD792" s="97"/>
      <c r="CE792" s="97"/>
      <c r="CF792" s="97"/>
      <c r="CG792" s="97"/>
      <c r="CH792" s="97"/>
      <c r="CI792" s="97"/>
      <c r="CJ792" s="97"/>
      <c r="CK792" s="97"/>
      <c r="CL792" s="97"/>
      <c r="CM792" s="97"/>
      <c r="CN792" s="97"/>
      <c r="CO792" s="97"/>
      <c r="CP792" s="97"/>
      <c r="CQ792" s="97"/>
    </row>
    <row r="793" spans="1:95" ht="14.45" hidden="1">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c r="AA793" s="97"/>
      <c r="AB793" s="97"/>
      <c r="AC793" s="97"/>
      <c r="AD793" s="97"/>
      <c r="AE793" s="97"/>
      <c r="AF793" s="97"/>
      <c r="AG793" s="97"/>
      <c r="AH793" s="97"/>
      <c r="AI793" s="97"/>
      <c r="AJ793" s="97"/>
      <c r="AK793" s="97"/>
      <c r="AL793" s="97"/>
      <c r="AM793" s="97"/>
      <c r="AN793" s="97"/>
      <c r="AO793" s="97"/>
      <c r="AP793" s="97"/>
      <c r="AQ793" s="97"/>
      <c r="AR793" s="97"/>
      <c r="AS793" s="97"/>
      <c r="AT793" s="97"/>
      <c r="AU793" s="97"/>
      <c r="AV793" s="97"/>
      <c r="AW793" s="97"/>
      <c r="AX793" s="97"/>
      <c r="AY793" s="97"/>
      <c r="AZ793" s="97"/>
      <c r="BA793" s="97"/>
      <c r="BB793" s="97"/>
      <c r="BC793" s="97"/>
      <c r="BD793" s="97"/>
      <c r="BE793" s="97"/>
      <c r="BF793" s="97"/>
      <c r="BG793" s="97"/>
      <c r="BH793" s="97"/>
      <c r="BI793" s="97"/>
      <c r="BJ793" s="97"/>
      <c r="BK793" s="97"/>
      <c r="BL793" s="97"/>
      <c r="BM793" s="97"/>
      <c r="BN793" s="97"/>
      <c r="BO793" s="97"/>
      <c r="BP793" s="97"/>
      <c r="BQ793" s="97"/>
      <c r="BR793" s="97"/>
      <c r="BS793" s="97"/>
      <c r="BT793" s="97"/>
      <c r="BU793" s="97"/>
      <c r="BV793" s="97"/>
      <c r="BW793" s="97"/>
      <c r="BX793" s="97"/>
      <c r="BY793" s="97"/>
      <c r="BZ793" s="97"/>
      <c r="CA793" s="97"/>
      <c r="CB793" s="97"/>
      <c r="CC793" s="97"/>
      <c r="CD793" s="97"/>
      <c r="CE793" s="97"/>
      <c r="CF793" s="97"/>
      <c r="CG793" s="97"/>
      <c r="CH793" s="97"/>
      <c r="CI793" s="97"/>
      <c r="CJ793" s="97"/>
      <c r="CK793" s="97"/>
      <c r="CL793" s="97"/>
      <c r="CM793" s="97"/>
      <c r="CN793" s="97"/>
      <c r="CO793" s="97"/>
      <c r="CP793" s="97"/>
      <c r="CQ793" s="97"/>
    </row>
    <row r="794" spans="1:95" ht="14.45" hidden="1">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c r="AA794" s="97"/>
      <c r="AB794" s="97"/>
      <c r="AC794" s="97"/>
      <c r="AD794" s="97"/>
      <c r="AE794" s="97"/>
      <c r="AF794" s="97"/>
      <c r="AG794" s="97"/>
      <c r="AH794" s="97"/>
      <c r="AI794" s="97"/>
      <c r="AJ794" s="97"/>
      <c r="AK794" s="97"/>
      <c r="AL794" s="97"/>
      <c r="AM794" s="97"/>
      <c r="AN794" s="97"/>
      <c r="AO794" s="97"/>
      <c r="AP794" s="97"/>
      <c r="AQ794" s="97"/>
      <c r="AR794" s="97"/>
      <c r="AS794" s="97"/>
      <c r="AT794" s="97"/>
      <c r="AU794" s="97"/>
      <c r="AV794" s="97"/>
      <c r="AW794" s="97"/>
      <c r="AX794" s="97"/>
      <c r="AY794" s="97"/>
      <c r="AZ794" s="97"/>
      <c r="BA794" s="97"/>
      <c r="BB794" s="97"/>
      <c r="BC794" s="97"/>
      <c r="BD794" s="97"/>
      <c r="BE794" s="97"/>
      <c r="BF794" s="97"/>
      <c r="BG794" s="97"/>
      <c r="BH794" s="97"/>
      <c r="BI794" s="97"/>
      <c r="BJ794" s="97"/>
      <c r="BK794" s="97"/>
      <c r="BL794" s="97"/>
      <c r="BM794" s="97"/>
      <c r="BN794" s="97"/>
      <c r="BO794" s="97"/>
      <c r="BP794" s="97"/>
      <c r="BQ794" s="97"/>
      <c r="BR794" s="97"/>
      <c r="BS794" s="97"/>
      <c r="BT794" s="97"/>
      <c r="BU794" s="97"/>
      <c r="BV794" s="97"/>
      <c r="BW794" s="97"/>
      <c r="BX794" s="97"/>
      <c r="BY794" s="97"/>
      <c r="BZ794" s="97"/>
      <c r="CA794" s="97"/>
      <c r="CB794" s="97"/>
      <c r="CC794" s="97"/>
      <c r="CD794" s="97"/>
      <c r="CE794" s="97"/>
      <c r="CF794" s="97"/>
      <c r="CG794" s="97"/>
      <c r="CH794" s="97"/>
      <c r="CI794" s="97"/>
      <c r="CJ794" s="97"/>
      <c r="CK794" s="97"/>
      <c r="CL794" s="97"/>
      <c r="CM794" s="97"/>
      <c r="CN794" s="97"/>
      <c r="CO794" s="97"/>
      <c r="CP794" s="97"/>
      <c r="CQ794" s="97"/>
    </row>
    <row r="795" spans="1:95" ht="14.45" hidden="1">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c r="AA795" s="97"/>
      <c r="AB795" s="97"/>
      <c r="AC795" s="97"/>
      <c r="AD795" s="97"/>
      <c r="AE795" s="97"/>
      <c r="AF795" s="97"/>
      <c r="AG795" s="97"/>
      <c r="AH795" s="97"/>
      <c r="AI795" s="97"/>
      <c r="AJ795" s="97"/>
      <c r="AK795" s="97"/>
      <c r="AL795" s="97"/>
      <c r="AM795" s="97"/>
      <c r="AN795" s="97"/>
      <c r="AO795" s="97"/>
      <c r="AP795" s="97"/>
      <c r="AQ795" s="97"/>
      <c r="AR795" s="97"/>
      <c r="AS795" s="97"/>
      <c r="AT795" s="97"/>
      <c r="AU795" s="97"/>
      <c r="AV795" s="97"/>
      <c r="AW795" s="97"/>
      <c r="AX795" s="97"/>
      <c r="AY795" s="97"/>
      <c r="AZ795" s="97"/>
      <c r="BA795" s="97"/>
      <c r="BB795" s="97"/>
      <c r="BC795" s="97"/>
      <c r="BD795" s="97"/>
      <c r="BE795" s="97"/>
      <c r="BF795" s="97"/>
      <c r="BG795" s="97"/>
      <c r="BH795" s="97"/>
      <c r="BI795" s="97"/>
      <c r="BJ795" s="97"/>
      <c r="BK795" s="97"/>
      <c r="BL795" s="97"/>
      <c r="BM795" s="97"/>
      <c r="BN795" s="97"/>
      <c r="BO795" s="97"/>
      <c r="BP795" s="97"/>
      <c r="BQ795" s="97"/>
      <c r="BR795" s="97"/>
      <c r="BS795" s="97"/>
      <c r="BT795" s="97"/>
      <c r="BU795" s="97"/>
      <c r="BV795" s="97"/>
      <c r="BW795" s="97"/>
      <c r="BX795" s="97"/>
      <c r="BY795" s="97"/>
      <c r="BZ795" s="97"/>
      <c r="CA795" s="97"/>
      <c r="CB795" s="97"/>
      <c r="CC795" s="97"/>
      <c r="CD795" s="97"/>
      <c r="CE795" s="97"/>
      <c r="CF795" s="97"/>
      <c r="CG795" s="97"/>
      <c r="CH795" s="97"/>
      <c r="CI795" s="97"/>
      <c r="CJ795" s="97"/>
      <c r="CK795" s="97"/>
      <c r="CL795" s="97"/>
      <c r="CM795" s="97"/>
      <c r="CN795" s="97"/>
      <c r="CO795" s="97"/>
      <c r="CP795" s="97"/>
      <c r="CQ795" s="97"/>
    </row>
    <row r="796" spans="1:95" ht="14.45" hidden="1">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c r="AA796" s="97"/>
      <c r="AB796" s="97"/>
      <c r="AC796" s="97"/>
      <c r="AD796" s="97"/>
      <c r="AE796" s="97"/>
      <c r="AF796" s="97"/>
      <c r="AG796" s="97"/>
      <c r="AH796" s="97"/>
      <c r="AI796" s="97"/>
      <c r="AJ796" s="97"/>
      <c r="AK796" s="97"/>
      <c r="AL796" s="97"/>
      <c r="AM796" s="97"/>
      <c r="AN796" s="97"/>
      <c r="AO796" s="97"/>
      <c r="AP796" s="97"/>
      <c r="AQ796" s="97"/>
      <c r="AR796" s="97"/>
      <c r="AS796" s="97"/>
      <c r="AT796" s="97"/>
      <c r="AU796" s="97"/>
      <c r="AV796" s="97"/>
      <c r="AW796" s="97"/>
      <c r="AX796" s="97"/>
      <c r="AY796" s="97"/>
      <c r="AZ796" s="97"/>
      <c r="BA796" s="97"/>
      <c r="BB796" s="97"/>
      <c r="BC796" s="97"/>
      <c r="BD796" s="97"/>
      <c r="BE796" s="97"/>
      <c r="BF796" s="97"/>
      <c r="BG796" s="97"/>
      <c r="BH796" s="97"/>
      <c r="BI796" s="97"/>
      <c r="BJ796" s="97"/>
      <c r="BK796" s="97"/>
      <c r="BL796" s="97"/>
      <c r="BM796" s="97"/>
      <c r="BN796" s="97"/>
      <c r="BO796" s="97"/>
      <c r="BP796" s="97"/>
      <c r="BQ796" s="97"/>
      <c r="BR796" s="97"/>
      <c r="BS796" s="97"/>
      <c r="BT796" s="97"/>
      <c r="BU796" s="97"/>
      <c r="BV796" s="97"/>
      <c r="BW796" s="97"/>
      <c r="BX796" s="97"/>
      <c r="BY796" s="97"/>
      <c r="BZ796" s="97"/>
      <c r="CA796" s="97"/>
      <c r="CB796" s="97"/>
      <c r="CC796" s="97"/>
      <c r="CD796" s="97"/>
      <c r="CE796" s="97"/>
      <c r="CF796" s="97"/>
      <c r="CG796" s="97"/>
      <c r="CH796" s="97"/>
      <c r="CI796" s="97"/>
      <c r="CJ796" s="97"/>
      <c r="CK796" s="97"/>
      <c r="CL796" s="97"/>
      <c r="CM796" s="97"/>
      <c r="CN796" s="97"/>
      <c r="CO796" s="97"/>
      <c r="CP796" s="97"/>
      <c r="CQ796" s="97"/>
    </row>
    <row r="797" spans="1:95" ht="14.45" hidden="1">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c r="AA797" s="97"/>
      <c r="AB797" s="97"/>
      <c r="AC797" s="97"/>
      <c r="AD797" s="97"/>
      <c r="AE797" s="97"/>
      <c r="AF797" s="97"/>
      <c r="AG797" s="97"/>
      <c r="AH797" s="97"/>
      <c r="AI797" s="97"/>
      <c r="AJ797" s="97"/>
      <c r="AK797" s="97"/>
      <c r="AL797" s="97"/>
      <c r="AM797" s="97"/>
      <c r="AN797" s="97"/>
      <c r="AO797" s="97"/>
      <c r="AP797" s="97"/>
      <c r="AQ797" s="97"/>
      <c r="AR797" s="97"/>
      <c r="AS797" s="97"/>
      <c r="AT797" s="97"/>
      <c r="AU797" s="97"/>
      <c r="AV797" s="97"/>
      <c r="AW797" s="97"/>
      <c r="AX797" s="97"/>
      <c r="AY797" s="97"/>
      <c r="AZ797" s="97"/>
      <c r="BA797" s="97"/>
      <c r="BB797" s="97"/>
      <c r="BC797" s="97"/>
      <c r="BD797" s="97"/>
      <c r="BE797" s="97"/>
      <c r="BF797" s="97"/>
      <c r="BG797" s="97"/>
      <c r="BH797" s="97"/>
      <c r="BI797" s="97"/>
      <c r="BJ797" s="97"/>
      <c r="BK797" s="97"/>
      <c r="BL797" s="97"/>
      <c r="BM797" s="97"/>
      <c r="BN797" s="97"/>
      <c r="BO797" s="97"/>
      <c r="BP797" s="97"/>
      <c r="BQ797" s="97"/>
      <c r="BR797" s="97"/>
      <c r="BS797" s="97"/>
      <c r="BT797" s="97"/>
      <c r="BU797" s="97"/>
      <c r="BV797" s="97"/>
      <c r="BW797" s="97"/>
      <c r="BX797" s="97"/>
      <c r="BY797" s="97"/>
      <c r="BZ797" s="97"/>
      <c r="CA797" s="97"/>
      <c r="CB797" s="97"/>
      <c r="CC797" s="97"/>
      <c r="CD797" s="97"/>
      <c r="CE797" s="97"/>
      <c r="CF797" s="97"/>
      <c r="CG797" s="97"/>
      <c r="CH797" s="97"/>
      <c r="CI797" s="97"/>
      <c r="CJ797" s="97"/>
      <c r="CK797" s="97"/>
      <c r="CL797" s="97"/>
      <c r="CM797" s="97"/>
      <c r="CN797" s="97"/>
      <c r="CO797" s="97"/>
      <c r="CP797" s="97"/>
      <c r="CQ797" s="97"/>
    </row>
    <row r="798" spans="1:95" ht="14.45" hidden="1">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c r="AA798" s="97"/>
      <c r="AB798" s="97"/>
      <c r="AC798" s="97"/>
      <c r="AD798" s="97"/>
      <c r="AE798" s="97"/>
      <c r="AF798" s="97"/>
      <c r="AG798" s="97"/>
      <c r="AH798" s="97"/>
      <c r="AI798" s="97"/>
      <c r="AJ798" s="97"/>
      <c r="AK798" s="97"/>
      <c r="AL798" s="97"/>
      <c r="AM798" s="97"/>
      <c r="AN798" s="97"/>
      <c r="AO798" s="97"/>
      <c r="AP798" s="97"/>
      <c r="AQ798" s="97"/>
      <c r="AR798" s="97"/>
      <c r="AS798" s="97"/>
      <c r="AT798" s="97"/>
      <c r="AU798" s="97"/>
      <c r="AV798" s="97"/>
      <c r="AW798" s="97"/>
      <c r="AX798" s="97"/>
      <c r="AY798" s="97"/>
      <c r="AZ798" s="97"/>
      <c r="BA798" s="97"/>
      <c r="BB798" s="97"/>
      <c r="BC798" s="97"/>
      <c r="BD798" s="97"/>
      <c r="BE798" s="97"/>
      <c r="BF798" s="97"/>
      <c r="BG798" s="97"/>
      <c r="BH798" s="97"/>
      <c r="BI798" s="97"/>
      <c r="BJ798" s="97"/>
      <c r="BK798" s="97"/>
      <c r="BL798" s="97"/>
      <c r="BM798" s="97"/>
      <c r="BN798" s="97"/>
      <c r="BO798" s="97"/>
      <c r="BP798" s="97"/>
      <c r="BQ798" s="97"/>
      <c r="BR798" s="97"/>
      <c r="BS798" s="97"/>
      <c r="BT798" s="97"/>
      <c r="BU798" s="97"/>
      <c r="BV798" s="97"/>
      <c r="BW798" s="97"/>
      <c r="BX798" s="97"/>
      <c r="BY798" s="97"/>
      <c r="BZ798" s="97"/>
      <c r="CA798" s="97"/>
      <c r="CB798" s="97"/>
      <c r="CC798" s="97"/>
      <c r="CD798" s="97"/>
      <c r="CE798" s="97"/>
      <c r="CF798" s="97"/>
      <c r="CG798" s="97"/>
      <c r="CH798" s="97"/>
      <c r="CI798" s="97"/>
      <c r="CJ798" s="97"/>
      <c r="CK798" s="97"/>
      <c r="CL798" s="97"/>
      <c r="CM798" s="97"/>
      <c r="CN798" s="97"/>
      <c r="CO798" s="97"/>
      <c r="CP798" s="97"/>
      <c r="CQ798" s="97"/>
    </row>
    <row r="799" spans="1:95" ht="14.45" hidden="1">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c r="AA799" s="97"/>
      <c r="AB799" s="97"/>
      <c r="AC799" s="97"/>
      <c r="AD799" s="97"/>
      <c r="AE799" s="97"/>
      <c r="AF799" s="97"/>
      <c r="AG799" s="97"/>
      <c r="AH799" s="97"/>
      <c r="AI799" s="97"/>
      <c r="AJ799" s="97"/>
      <c r="AK799" s="97"/>
      <c r="AL799" s="97"/>
      <c r="AM799" s="97"/>
      <c r="AN799" s="97"/>
      <c r="AO799" s="97"/>
      <c r="AP799" s="97"/>
      <c r="AQ799" s="97"/>
      <c r="AR799" s="97"/>
      <c r="AS799" s="97"/>
      <c r="AT799" s="97"/>
      <c r="AU799" s="97"/>
      <c r="AV799" s="97"/>
      <c r="AW799" s="97"/>
      <c r="AX799" s="97"/>
      <c r="AY799" s="97"/>
      <c r="AZ799" s="97"/>
      <c r="BA799" s="97"/>
      <c r="BB799" s="97"/>
      <c r="BC799" s="97"/>
      <c r="BD799" s="97"/>
      <c r="BE799" s="97"/>
      <c r="BF799" s="97"/>
      <c r="BG799" s="97"/>
      <c r="BH799" s="97"/>
      <c r="BI799" s="97"/>
      <c r="BJ799" s="97"/>
      <c r="BK799" s="97"/>
      <c r="BL799" s="97"/>
      <c r="BM799" s="97"/>
      <c r="BN799" s="97"/>
      <c r="BO799" s="97"/>
      <c r="BP799" s="97"/>
      <c r="BQ799" s="97"/>
      <c r="BR799" s="97"/>
      <c r="BS799" s="97"/>
      <c r="BT799" s="97"/>
      <c r="BU799" s="97"/>
      <c r="BV799" s="97"/>
      <c r="BW799" s="97"/>
      <c r="BX799" s="97"/>
      <c r="BY799" s="97"/>
      <c r="BZ799" s="97"/>
      <c r="CA799" s="97"/>
      <c r="CB799" s="97"/>
      <c r="CC799" s="97"/>
      <c r="CD799" s="97"/>
      <c r="CE799" s="97"/>
      <c r="CF799" s="97"/>
      <c r="CG799" s="97"/>
      <c r="CH799" s="97"/>
      <c r="CI799" s="97"/>
      <c r="CJ799" s="97"/>
      <c r="CK799" s="97"/>
      <c r="CL799" s="97"/>
      <c r="CM799" s="97"/>
      <c r="CN799" s="97"/>
      <c r="CO799" s="97"/>
      <c r="CP799" s="97"/>
      <c r="CQ799" s="97"/>
    </row>
    <row r="800" spans="1:95" ht="14.45" hidden="1">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c r="AA800" s="97"/>
      <c r="AB800" s="97"/>
      <c r="AC800" s="97"/>
      <c r="AD800" s="97"/>
      <c r="AE800" s="97"/>
      <c r="AF800" s="97"/>
      <c r="AG800" s="97"/>
      <c r="AH800" s="97"/>
      <c r="AI800" s="97"/>
      <c r="AJ800" s="97"/>
      <c r="AK800" s="97"/>
      <c r="AL800" s="97"/>
      <c r="AM800" s="97"/>
      <c r="AN800" s="97"/>
      <c r="AO800" s="97"/>
      <c r="AP800" s="97"/>
      <c r="AQ800" s="97"/>
      <c r="AR800" s="97"/>
      <c r="AS800" s="97"/>
      <c r="AT800" s="97"/>
      <c r="AU800" s="97"/>
      <c r="AV800" s="97"/>
      <c r="AW800" s="97"/>
      <c r="AX800" s="97"/>
      <c r="AY800" s="97"/>
      <c r="AZ800" s="97"/>
      <c r="BA800" s="97"/>
      <c r="BB800" s="97"/>
      <c r="BC800" s="97"/>
      <c r="BD800" s="97"/>
      <c r="BE800" s="97"/>
      <c r="BF800" s="97"/>
      <c r="BG800" s="97"/>
      <c r="BH800" s="97"/>
      <c r="BI800" s="97"/>
      <c r="BJ800" s="97"/>
      <c r="BK800" s="97"/>
      <c r="BL800" s="97"/>
      <c r="BM800" s="97"/>
      <c r="BN800" s="97"/>
      <c r="BO800" s="97"/>
      <c r="BP800" s="97"/>
      <c r="BQ800" s="97"/>
      <c r="BR800" s="97"/>
      <c r="BS800" s="97"/>
      <c r="BT800" s="97"/>
      <c r="BU800" s="97"/>
      <c r="BV800" s="97"/>
      <c r="BW800" s="97"/>
      <c r="BX800" s="97"/>
      <c r="BY800" s="97"/>
      <c r="BZ800" s="97"/>
      <c r="CA800" s="97"/>
      <c r="CB800" s="97"/>
      <c r="CC800" s="97"/>
      <c r="CD800" s="97"/>
      <c r="CE800" s="97"/>
      <c r="CF800" s="97"/>
      <c r="CG800" s="97"/>
      <c r="CH800" s="97"/>
      <c r="CI800" s="97"/>
      <c r="CJ800" s="97"/>
      <c r="CK800" s="97"/>
      <c r="CL800" s="97"/>
      <c r="CM800" s="97"/>
      <c r="CN800" s="97"/>
      <c r="CO800" s="97"/>
      <c r="CP800" s="97"/>
      <c r="CQ800" s="97"/>
    </row>
    <row r="801" spans="1:95" ht="14.45" hidden="1">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c r="AA801" s="97"/>
      <c r="AB801" s="97"/>
      <c r="AC801" s="97"/>
      <c r="AD801" s="97"/>
      <c r="AE801" s="97"/>
      <c r="AF801" s="97"/>
      <c r="AG801" s="97"/>
      <c r="AH801" s="97"/>
      <c r="AI801" s="97"/>
      <c r="AJ801" s="97"/>
      <c r="AK801" s="97"/>
      <c r="AL801" s="97"/>
      <c r="AM801" s="97"/>
      <c r="AN801" s="97"/>
      <c r="AO801" s="97"/>
      <c r="AP801" s="97"/>
      <c r="AQ801" s="97"/>
      <c r="AR801" s="97"/>
      <c r="AS801" s="97"/>
      <c r="AT801" s="97"/>
      <c r="AU801" s="97"/>
      <c r="AV801" s="97"/>
      <c r="AW801" s="97"/>
      <c r="AX801" s="97"/>
      <c r="AY801" s="97"/>
      <c r="AZ801" s="97"/>
      <c r="BA801" s="97"/>
      <c r="BB801" s="97"/>
      <c r="BC801" s="97"/>
      <c r="BD801" s="97"/>
      <c r="BE801" s="97"/>
      <c r="BF801" s="97"/>
      <c r="BG801" s="97"/>
      <c r="BH801" s="97"/>
      <c r="BI801" s="97"/>
      <c r="BJ801" s="97"/>
      <c r="BK801" s="97"/>
      <c r="BL801" s="97"/>
      <c r="BM801" s="97"/>
      <c r="BN801" s="97"/>
      <c r="BO801" s="97"/>
      <c r="BP801" s="97"/>
      <c r="BQ801" s="97"/>
      <c r="BR801" s="97"/>
      <c r="BS801" s="97"/>
      <c r="BT801" s="97"/>
      <c r="BU801" s="97"/>
      <c r="BV801" s="97"/>
      <c r="BW801" s="97"/>
      <c r="BX801" s="97"/>
      <c r="BY801" s="97"/>
      <c r="BZ801" s="97"/>
      <c r="CA801" s="97"/>
      <c r="CB801" s="97"/>
      <c r="CC801" s="97"/>
      <c r="CD801" s="97"/>
      <c r="CE801" s="97"/>
      <c r="CF801" s="97"/>
      <c r="CG801" s="97"/>
      <c r="CH801" s="97"/>
      <c r="CI801" s="97"/>
      <c r="CJ801" s="97"/>
      <c r="CK801" s="97"/>
      <c r="CL801" s="97"/>
      <c r="CM801" s="97"/>
      <c r="CN801" s="97"/>
      <c r="CO801" s="97"/>
      <c r="CP801" s="97"/>
      <c r="CQ801" s="97"/>
    </row>
    <row r="802" spans="1:95" ht="14.45" hidden="1">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c r="AA802" s="97"/>
      <c r="AB802" s="97"/>
      <c r="AC802" s="97"/>
      <c r="AD802" s="97"/>
      <c r="AE802" s="97"/>
      <c r="AF802" s="97"/>
      <c r="AG802" s="97"/>
      <c r="AH802" s="97"/>
      <c r="AI802" s="97"/>
      <c r="AJ802" s="97"/>
      <c r="AK802" s="97"/>
      <c r="AL802" s="97"/>
      <c r="AM802" s="97"/>
      <c r="AN802" s="97"/>
      <c r="AO802" s="97"/>
      <c r="AP802" s="97"/>
      <c r="AQ802" s="97"/>
      <c r="AR802" s="97"/>
      <c r="AS802" s="97"/>
      <c r="AT802" s="97"/>
      <c r="AU802" s="97"/>
      <c r="AV802" s="97"/>
      <c r="AW802" s="97"/>
      <c r="AX802" s="97"/>
      <c r="AY802" s="97"/>
      <c r="AZ802" s="97"/>
      <c r="BA802" s="97"/>
      <c r="BB802" s="97"/>
      <c r="BC802" s="97"/>
      <c r="BD802" s="97"/>
      <c r="BE802" s="97"/>
      <c r="BF802" s="97"/>
      <c r="BG802" s="97"/>
      <c r="BH802" s="97"/>
      <c r="BI802" s="97"/>
      <c r="BJ802" s="97"/>
      <c r="BK802" s="97"/>
      <c r="BL802" s="97"/>
      <c r="BM802" s="97"/>
      <c r="BN802" s="97"/>
      <c r="BO802" s="97"/>
      <c r="BP802" s="97"/>
      <c r="BQ802" s="97"/>
      <c r="BR802" s="97"/>
      <c r="BS802" s="97"/>
      <c r="BT802" s="97"/>
      <c r="BU802" s="97"/>
      <c r="BV802" s="97"/>
      <c r="BW802" s="97"/>
      <c r="BX802" s="97"/>
      <c r="BY802" s="97"/>
      <c r="BZ802" s="97"/>
      <c r="CA802" s="97"/>
      <c r="CB802" s="97"/>
      <c r="CC802" s="97"/>
      <c r="CD802" s="97"/>
      <c r="CE802" s="97"/>
      <c r="CF802" s="97"/>
      <c r="CG802" s="97"/>
      <c r="CH802" s="97"/>
      <c r="CI802" s="97"/>
      <c r="CJ802" s="97"/>
      <c r="CK802" s="97"/>
      <c r="CL802" s="97"/>
      <c r="CM802" s="97"/>
      <c r="CN802" s="97"/>
      <c r="CO802" s="97"/>
      <c r="CP802" s="97"/>
      <c r="CQ802" s="97"/>
    </row>
    <row r="803" spans="1:95" ht="14.45" hidden="1">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c r="AA803" s="97"/>
      <c r="AB803" s="97"/>
      <c r="AC803" s="97"/>
      <c r="AD803" s="97"/>
      <c r="AE803" s="97"/>
      <c r="AF803" s="97"/>
      <c r="AG803" s="97"/>
      <c r="AH803" s="97"/>
      <c r="AI803" s="97"/>
      <c r="AJ803" s="97"/>
      <c r="AK803" s="97"/>
      <c r="AL803" s="97"/>
      <c r="AM803" s="97"/>
      <c r="AN803" s="97"/>
      <c r="AO803" s="97"/>
      <c r="AP803" s="97"/>
      <c r="AQ803" s="97"/>
      <c r="AR803" s="97"/>
      <c r="AS803" s="97"/>
      <c r="AT803" s="97"/>
      <c r="AU803" s="97"/>
      <c r="AV803" s="97"/>
      <c r="AW803" s="97"/>
      <c r="AX803" s="97"/>
      <c r="AY803" s="97"/>
      <c r="AZ803" s="97"/>
      <c r="BA803" s="97"/>
      <c r="BB803" s="97"/>
      <c r="BC803" s="97"/>
      <c r="BD803" s="97"/>
      <c r="BE803" s="97"/>
      <c r="BF803" s="97"/>
      <c r="BG803" s="97"/>
      <c r="BH803" s="97"/>
      <c r="BI803" s="97"/>
      <c r="BJ803" s="97"/>
      <c r="BK803" s="97"/>
      <c r="BL803" s="97"/>
      <c r="BM803" s="97"/>
      <c r="BN803" s="97"/>
      <c r="BO803" s="97"/>
      <c r="BP803" s="97"/>
      <c r="BQ803" s="97"/>
      <c r="BR803" s="97"/>
      <c r="BS803" s="97"/>
      <c r="BT803" s="97"/>
      <c r="BU803" s="97"/>
      <c r="BV803" s="97"/>
      <c r="BW803" s="97"/>
      <c r="BX803" s="97"/>
      <c r="BY803" s="97"/>
      <c r="BZ803" s="97"/>
      <c r="CA803" s="97"/>
      <c r="CB803" s="97"/>
      <c r="CC803" s="97"/>
      <c r="CD803" s="97"/>
      <c r="CE803" s="97"/>
      <c r="CF803" s="97"/>
      <c r="CG803" s="97"/>
      <c r="CH803" s="97"/>
      <c r="CI803" s="97"/>
      <c r="CJ803" s="97"/>
      <c r="CK803" s="97"/>
      <c r="CL803" s="97"/>
      <c r="CM803" s="97"/>
      <c r="CN803" s="97"/>
      <c r="CO803" s="97"/>
      <c r="CP803" s="97"/>
      <c r="CQ803" s="97"/>
    </row>
    <row r="804" spans="1:95" ht="14.45" hidden="1">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c r="AA804" s="97"/>
      <c r="AB804" s="97"/>
      <c r="AC804" s="97"/>
      <c r="AD804" s="97"/>
      <c r="AE804" s="97"/>
      <c r="AF804" s="97"/>
      <c r="AG804" s="97"/>
      <c r="AH804" s="97"/>
      <c r="AI804" s="97"/>
      <c r="AJ804" s="97"/>
      <c r="AK804" s="97"/>
      <c r="AL804" s="97"/>
      <c r="AM804" s="97"/>
      <c r="AN804" s="97"/>
      <c r="AO804" s="97"/>
      <c r="AP804" s="97"/>
      <c r="AQ804" s="97"/>
      <c r="AR804" s="97"/>
      <c r="AS804" s="97"/>
      <c r="AT804" s="97"/>
      <c r="AU804" s="97"/>
      <c r="AV804" s="97"/>
      <c r="AW804" s="97"/>
      <c r="AX804" s="97"/>
      <c r="AY804" s="97"/>
      <c r="AZ804" s="97"/>
      <c r="BA804" s="97"/>
      <c r="BB804" s="97"/>
      <c r="BC804" s="97"/>
      <c r="BD804" s="97"/>
      <c r="BE804" s="97"/>
      <c r="BF804" s="97"/>
      <c r="BG804" s="97"/>
      <c r="BH804" s="97"/>
      <c r="BI804" s="97"/>
      <c r="BJ804" s="97"/>
      <c r="BK804" s="97"/>
      <c r="BL804" s="97"/>
      <c r="BM804" s="97"/>
      <c r="BN804" s="97"/>
      <c r="BO804" s="97"/>
      <c r="BP804" s="97"/>
      <c r="BQ804" s="97"/>
      <c r="BR804" s="97"/>
      <c r="BS804" s="97"/>
      <c r="BT804" s="97"/>
      <c r="BU804" s="97"/>
      <c r="BV804" s="97"/>
      <c r="BW804" s="97"/>
      <c r="BX804" s="97"/>
      <c r="BY804" s="97"/>
      <c r="BZ804" s="97"/>
      <c r="CA804" s="97"/>
      <c r="CB804" s="97"/>
      <c r="CC804" s="97"/>
      <c r="CD804" s="97"/>
      <c r="CE804" s="97"/>
      <c r="CF804" s="97"/>
      <c r="CG804" s="97"/>
      <c r="CH804" s="97"/>
      <c r="CI804" s="97"/>
      <c r="CJ804" s="97"/>
      <c r="CK804" s="97"/>
      <c r="CL804" s="97"/>
      <c r="CM804" s="97"/>
      <c r="CN804" s="97"/>
      <c r="CO804" s="97"/>
      <c r="CP804" s="97"/>
      <c r="CQ804" s="97"/>
    </row>
    <row r="805" spans="1:95" ht="14.45" hidden="1">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7"/>
      <c r="AW805" s="97"/>
      <c r="AX805" s="97"/>
      <c r="AY805" s="97"/>
      <c r="AZ805" s="97"/>
      <c r="BA805" s="97"/>
      <c r="BB805" s="97"/>
      <c r="BC805" s="97"/>
      <c r="BD805" s="97"/>
      <c r="BE805" s="97"/>
      <c r="BF805" s="97"/>
      <c r="BG805" s="97"/>
      <c r="BH805" s="97"/>
      <c r="BI805" s="97"/>
      <c r="BJ805" s="97"/>
      <c r="BK805" s="97"/>
      <c r="BL805" s="97"/>
      <c r="BM805" s="97"/>
      <c r="BN805" s="97"/>
      <c r="BO805" s="97"/>
      <c r="BP805" s="97"/>
      <c r="BQ805" s="97"/>
      <c r="BR805" s="97"/>
      <c r="BS805" s="97"/>
      <c r="BT805" s="97"/>
      <c r="BU805" s="97"/>
      <c r="BV805" s="97"/>
      <c r="BW805" s="97"/>
      <c r="BX805" s="97"/>
      <c r="BY805" s="97"/>
      <c r="BZ805" s="97"/>
      <c r="CA805" s="97"/>
      <c r="CB805" s="97"/>
      <c r="CC805" s="97"/>
      <c r="CD805" s="97"/>
      <c r="CE805" s="97"/>
      <c r="CF805" s="97"/>
      <c r="CG805" s="97"/>
      <c r="CH805" s="97"/>
      <c r="CI805" s="97"/>
      <c r="CJ805" s="97"/>
      <c r="CK805" s="97"/>
      <c r="CL805" s="97"/>
      <c r="CM805" s="97"/>
      <c r="CN805" s="97"/>
      <c r="CO805" s="97"/>
      <c r="CP805" s="97"/>
      <c r="CQ805" s="97"/>
    </row>
    <row r="806" spans="1:95" ht="14.45" hidden="1">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c r="AO806" s="97"/>
      <c r="AP806" s="97"/>
      <c r="AQ806" s="97"/>
      <c r="AR806" s="97"/>
      <c r="AS806" s="97"/>
      <c r="AT806" s="97"/>
      <c r="AU806" s="97"/>
      <c r="AV806" s="97"/>
      <c r="AW806" s="97"/>
      <c r="AX806" s="97"/>
      <c r="AY806" s="97"/>
      <c r="AZ806" s="97"/>
      <c r="BA806" s="97"/>
      <c r="BB806" s="97"/>
      <c r="BC806" s="97"/>
      <c r="BD806" s="97"/>
      <c r="BE806" s="97"/>
      <c r="BF806" s="97"/>
      <c r="BG806" s="97"/>
      <c r="BH806" s="97"/>
      <c r="BI806" s="97"/>
      <c r="BJ806" s="97"/>
      <c r="BK806" s="97"/>
      <c r="BL806" s="97"/>
      <c r="BM806" s="97"/>
      <c r="BN806" s="97"/>
      <c r="BO806" s="97"/>
      <c r="BP806" s="97"/>
      <c r="BQ806" s="97"/>
      <c r="BR806" s="97"/>
      <c r="BS806" s="97"/>
      <c r="BT806" s="97"/>
      <c r="BU806" s="97"/>
      <c r="BV806" s="97"/>
      <c r="BW806" s="97"/>
      <c r="BX806" s="97"/>
      <c r="BY806" s="97"/>
      <c r="BZ806" s="97"/>
      <c r="CA806" s="97"/>
      <c r="CB806" s="97"/>
      <c r="CC806" s="97"/>
      <c r="CD806" s="97"/>
      <c r="CE806" s="97"/>
      <c r="CF806" s="97"/>
      <c r="CG806" s="97"/>
      <c r="CH806" s="97"/>
      <c r="CI806" s="97"/>
      <c r="CJ806" s="97"/>
      <c r="CK806" s="97"/>
      <c r="CL806" s="97"/>
      <c r="CM806" s="97"/>
      <c r="CN806" s="97"/>
      <c r="CO806" s="97"/>
      <c r="CP806" s="97"/>
      <c r="CQ806" s="97"/>
    </row>
    <row r="807" spans="1:95" ht="14.45" hidden="1">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c r="AU807" s="97"/>
      <c r="AV807" s="97"/>
      <c r="AW807" s="97"/>
      <c r="AX807" s="97"/>
      <c r="AY807" s="97"/>
      <c r="AZ807" s="97"/>
      <c r="BA807" s="97"/>
      <c r="BB807" s="97"/>
      <c r="BC807" s="97"/>
      <c r="BD807" s="97"/>
      <c r="BE807" s="97"/>
      <c r="BF807" s="97"/>
      <c r="BG807" s="97"/>
      <c r="BH807" s="97"/>
      <c r="BI807" s="97"/>
      <c r="BJ807" s="97"/>
      <c r="BK807" s="97"/>
      <c r="BL807" s="97"/>
      <c r="BM807" s="97"/>
      <c r="BN807" s="97"/>
      <c r="BO807" s="97"/>
      <c r="BP807" s="97"/>
      <c r="BQ807" s="97"/>
      <c r="BR807" s="97"/>
      <c r="BS807" s="97"/>
      <c r="BT807" s="97"/>
      <c r="BU807" s="97"/>
      <c r="BV807" s="97"/>
      <c r="BW807" s="97"/>
      <c r="BX807" s="97"/>
      <c r="BY807" s="97"/>
      <c r="BZ807" s="97"/>
      <c r="CA807" s="97"/>
      <c r="CB807" s="97"/>
      <c r="CC807" s="97"/>
      <c r="CD807" s="97"/>
      <c r="CE807" s="97"/>
      <c r="CF807" s="97"/>
      <c r="CG807" s="97"/>
      <c r="CH807" s="97"/>
      <c r="CI807" s="97"/>
      <c r="CJ807" s="97"/>
      <c r="CK807" s="97"/>
      <c r="CL807" s="97"/>
      <c r="CM807" s="97"/>
      <c r="CN807" s="97"/>
      <c r="CO807" s="97"/>
      <c r="CP807" s="97"/>
      <c r="CQ807" s="97"/>
    </row>
    <row r="808" spans="1:95" ht="14.45" hidden="1">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7"/>
      <c r="BU808" s="97"/>
      <c r="BV808" s="97"/>
      <c r="BW808" s="97"/>
      <c r="BX808" s="97"/>
      <c r="BY808" s="97"/>
      <c r="BZ808" s="97"/>
      <c r="CA808" s="97"/>
      <c r="CB808" s="97"/>
      <c r="CC808" s="97"/>
      <c r="CD808" s="97"/>
      <c r="CE808" s="97"/>
      <c r="CF808" s="97"/>
      <c r="CG808" s="97"/>
      <c r="CH808" s="97"/>
      <c r="CI808" s="97"/>
      <c r="CJ808" s="97"/>
      <c r="CK808" s="97"/>
      <c r="CL808" s="97"/>
      <c r="CM808" s="97"/>
      <c r="CN808" s="97"/>
      <c r="CO808" s="97"/>
      <c r="CP808" s="97"/>
      <c r="CQ808" s="97"/>
    </row>
    <row r="809" spans="1:95" ht="14.45" hidden="1">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c r="AA809" s="97"/>
      <c r="AB809" s="97"/>
      <c r="AC809" s="97"/>
      <c r="AD809" s="97"/>
      <c r="AE809" s="97"/>
      <c r="AF809" s="97"/>
      <c r="AG809" s="97"/>
      <c r="AH809" s="97"/>
      <c r="AI809" s="97"/>
      <c r="AJ809" s="97"/>
      <c r="AK809" s="97"/>
      <c r="AL809" s="97"/>
      <c r="AM809" s="97"/>
      <c r="AN809" s="97"/>
      <c r="AO809" s="97"/>
      <c r="AP809" s="97"/>
      <c r="AQ809" s="97"/>
      <c r="AR809" s="97"/>
      <c r="AS809" s="97"/>
      <c r="AT809" s="97"/>
      <c r="AU809" s="97"/>
      <c r="AV809" s="97"/>
      <c r="AW809" s="97"/>
      <c r="AX809" s="97"/>
      <c r="AY809" s="97"/>
      <c r="AZ809" s="97"/>
      <c r="BA809" s="97"/>
      <c r="BB809" s="97"/>
      <c r="BC809" s="97"/>
      <c r="BD809" s="97"/>
      <c r="BE809" s="97"/>
      <c r="BF809" s="97"/>
      <c r="BG809" s="97"/>
      <c r="BH809" s="97"/>
      <c r="BI809" s="97"/>
      <c r="BJ809" s="97"/>
      <c r="BK809" s="97"/>
      <c r="BL809" s="97"/>
      <c r="BM809" s="97"/>
      <c r="BN809" s="97"/>
      <c r="BO809" s="97"/>
      <c r="BP809" s="97"/>
      <c r="BQ809" s="97"/>
      <c r="BR809" s="97"/>
      <c r="BS809" s="97"/>
      <c r="BT809" s="97"/>
      <c r="BU809" s="97"/>
      <c r="BV809" s="97"/>
      <c r="BW809" s="97"/>
      <c r="BX809" s="97"/>
      <c r="BY809" s="97"/>
      <c r="BZ809" s="97"/>
      <c r="CA809" s="97"/>
      <c r="CB809" s="97"/>
      <c r="CC809" s="97"/>
      <c r="CD809" s="97"/>
      <c r="CE809" s="97"/>
      <c r="CF809" s="97"/>
      <c r="CG809" s="97"/>
      <c r="CH809" s="97"/>
      <c r="CI809" s="97"/>
      <c r="CJ809" s="97"/>
      <c r="CK809" s="97"/>
      <c r="CL809" s="97"/>
      <c r="CM809" s="97"/>
      <c r="CN809" s="97"/>
      <c r="CO809" s="97"/>
      <c r="CP809" s="97"/>
      <c r="CQ809" s="97"/>
    </row>
    <row r="810" spans="1:95" ht="14.45" hidden="1">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c r="AA810" s="97"/>
      <c r="AB810" s="97"/>
      <c r="AC810" s="97"/>
      <c r="AD810" s="97"/>
      <c r="AE810" s="97"/>
      <c r="AF810" s="97"/>
      <c r="AG810" s="97"/>
      <c r="AH810" s="97"/>
      <c r="AI810" s="97"/>
      <c r="AJ810" s="97"/>
      <c r="AK810" s="97"/>
      <c r="AL810" s="97"/>
      <c r="AM810" s="97"/>
      <c r="AN810" s="97"/>
      <c r="AO810" s="97"/>
      <c r="AP810" s="97"/>
      <c r="AQ810" s="97"/>
      <c r="AR810" s="97"/>
      <c r="AS810" s="97"/>
      <c r="AT810" s="97"/>
      <c r="AU810" s="97"/>
      <c r="AV810" s="97"/>
      <c r="AW810" s="97"/>
      <c r="AX810" s="97"/>
      <c r="AY810" s="97"/>
      <c r="AZ810" s="97"/>
      <c r="BA810" s="97"/>
      <c r="BB810" s="97"/>
      <c r="BC810" s="97"/>
      <c r="BD810" s="97"/>
      <c r="BE810" s="97"/>
      <c r="BF810" s="97"/>
      <c r="BG810" s="97"/>
      <c r="BH810" s="97"/>
      <c r="BI810" s="97"/>
      <c r="BJ810" s="97"/>
      <c r="BK810" s="97"/>
      <c r="BL810" s="97"/>
      <c r="BM810" s="97"/>
      <c r="BN810" s="97"/>
      <c r="BO810" s="97"/>
      <c r="BP810" s="97"/>
      <c r="BQ810" s="97"/>
      <c r="BR810" s="97"/>
      <c r="BS810" s="97"/>
      <c r="BT810" s="97"/>
      <c r="BU810" s="97"/>
      <c r="BV810" s="97"/>
      <c r="BW810" s="97"/>
      <c r="BX810" s="97"/>
      <c r="BY810" s="97"/>
      <c r="BZ810" s="97"/>
      <c r="CA810" s="97"/>
      <c r="CB810" s="97"/>
      <c r="CC810" s="97"/>
      <c r="CD810" s="97"/>
      <c r="CE810" s="97"/>
      <c r="CF810" s="97"/>
      <c r="CG810" s="97"/>
      <c r="CH810" s="97"/>
      <c r="CI810" s="97"/>
      <c r="CJ810" s="97"/>
      <c r="CK810" s="97"/>
      <c r="CL810" s="97"/>
      <c r="CM810" s="97"/>
      <c r="CN810" s="97"/>
      <c r="CO810" s="97"/>
      <c r="CP810" s="97"/>
      <c r="CQ810" s="97"/>
    </row>
    <row r="811" spans="1:95" ht="14.45" hidden="1">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c r="AA811" s="97"/>
      <c r="AB811" s="97"/>
      <c r="AC811" s="97"/>
      <c r="AD811" s="97"/>
      <c r="AE811" s="97"/>
      <c r="AF811" s="97"/>
      <c r="AG811" s="97"/>
      <c r="AH811" s="97"/>
      <c r="AI811" s="97"/>
      <c r="AJ811" s="97"/>
      <c r="AK811" s="97"/>
      <c r="AL811" s="97"/>
      <c r="AM811" s="97"/>
      <c r="AN811" s="97"/>
      <c r="AO811" s="97"/>
      <c r="AP811" s="97"/>
      <c r="AQ811" s="97"/>
      <c r="AR811" s="97"/>
      <c r="AS811" s="97"/>
      <c r="AT811" s="97"/>
      <c r="AU811" s="97"/>
      <c r="AV811" s="97"/>
      <c r="AW811" s="97"/>
      <c r="AX811" s="97"/>
      <c r="AY811" s="97"/>
      <c r="AZ811" s="97"/>
      <c r="BA811" s="97"/>
      <c r="BB811" s="97"/>
      <c r="BC811" s="97"/>
      <c r="BD811" s="97"/>
      <c r="BE811" s="97"/>
      <c r="BF811" s="97"/>
      <c r="BG811" s="97"/>
      <c r="BH811" s="97"/>
      <c r="BI811" s="97"/>
      <c r="BJ811" s="97"/>
      <c r="BK811" s="97"/>
      <c r="BL811" s="97"/>
      <c r="BM811" s="97"/>
      <c r="BN811" s="97"/>
      <c r="BO811" s="97"/>
      <c r="BP811" s="97"/>
      <c r="BQ811" s="97"/>
      <c r="BR811" s="97"/>
      <c r="BS811" s="97"/>
      <c r="BT811" s="97"/>
      <c r="BU811" s="97"/>
      <c r="BV811" s="97"/>
      <c r="BW811" s="97"/>
      <c r="BX811" s="97"/>
      <c r="BY811" s="97"/>
      <c r="BZ811" s="97"/>
      <c r="CA811" s="97"/>
      <c r="CB811" s="97"/>
      <c r="CC811" s="97"/>
      <c r="CD811" s="97"/>
      <c r="CE811" s="97"/>
      <c r="CF811" s="97"/>
      <c r="CG811" s="97"/>
      <c r="CH811" s="97"/>
      <c r="CI811" s="97"/>
      <c r="CJ811" s="97"/>
      <c r="CK811" s="97"/>
      <c r="CL811" s="97"/>
      <c r="CM811" s="97"/>
      <c r="CN811" s="97"/>
      <c r="CO811" s="97"/>
      <c r="CP811" s="97"/>
      <c r="CQ811" s="97"/>
    </row>
    <row r="812" spans="1:95" ht="14.45" hidden="1">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c r="AA812" s="97"/>
      <c r="AB812" s="97"/>
      <c r="AC812" s="97"/>
      <c r="AD812" s="97"/>
      <c r="AE812" s="97"/>
      <c r="AF812" s="97"/>
      <c r="AG812" s="97"/>
      <c r="AH812" s="97"/>
      <c r="AI812" s="97"/>
      <c r="AJ812" s="97"/>
      <c r="AK812" s="97"/>
      <c r="AL812" s="97"/>
      <c r="AM812" s="97"/>
      <c r="AN812" s="97"/>
      <c r="AO812" s="97"/>
      <c r="AP812" s="97"/>
      <c r="AQ812" s="97"/>
      <c r="AR812" s="97"/>
      <c r="AS812" s="97"/>
      <c r="AT812" s="97"/>
      <c r="AU812" s="97"/>
      <c r="AV812" s="97"/>
      <c r="AW812" s="97"/>
      <c r="AX812" s="97"/>
      <c r="AY812" s="97"/>
      <c r="AZ812" s="97"/>
      <c r="BA812" s="97"/>
      <c r="BB812" s="97"/>
      <c r="BC812" s="97"/>
      <c r="BD812" s="97"/>
      <c r="BE812" s="97"/>
      <c r="BF812" s="97"/>
      <c r="BG812" s="97"/>
      <c r="BH812" s="97"/>
      <c r="BI812" s="97"/>
      <c r="BJ812" s="97"/>
      <c r="BK812" s="97"/>
      <c r="BL812" s="97"/>
      <c r="BM812" s="97"/>
      <c r="BN812" s="97"/>
      <c r="BO812" s="97"/>
      <c r="BP812" s="97"/>
      <c r="BQ812" s="97"/>
      <c r="BR812" s="97"/>
      <c r="BS812" s="97"/>
      <c r="BT812" s="97"/>
      <c r="BU812" s="97"/>
      <c r="BV812" s="97"/>
      <c r="BW812" s="97"/>
      <c r="BX812" s="97"/>
      <c r="BY812" s="97"/>
      <c r="BZ812" s="97"/>
      <c r="CA812" s="97"/>
      <c r="CB812" s="97"/>
      <c r="CC812" s="97"/>
      <c r="CD812" s="97"/>
      <c r="CE812" s="97"/>
      <c r="CF812" s="97"/>
      <c r="CG812" s="97"/>
      <c r="CH812" s="97"/>
      <c r="CI812" s="97"/>
      <c r="CJ812" s="97"/>
      <c r="CK812" s="97"/>
      <c r="CL812" s="97"/>
      <c r="CM812" s="97"/>
      <c r="CN812" s="97"/>
      <c r="CO812" s="97"/>
      <c r="CP812" s="97"/>
      <c r="CQ812" s="97"/>
    </row>
    <row r="813" spans="1:95" ht="14.45" hidden="1">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97"/>
      <c r="AM813" s="97"/>
      <c r="AN813" s="97"/>
      <c r="AO813" s="97"/>
      <c r="AP813" s="97"/>
      <c r="AQ813" s="97"/>
      <c r="AR813" s="97"/>
      <c r="AS813" s="97"/>
      <c r="AT813" s="97"/>
      <c r="AU813" s="97"/>
      <c r="AV813" s="97"/>
      <c r="AW813" s="97"/>
      <c r="AX813" s="97"/>
      <c r="AY813" s="97"/>
      <c r="AZ813" s="97"/>
      <c r="BA813" s="97"/>
      <c r="BB813" s="97"/>
      <c r="BC813" s="97"/>
      <c r="BD813" s="97"/>
      <c r="BE813" s="97"/>
      <c r="BF813" s="97"/>
      <c r="BG813" s="97"/>
      <c r="BH813" s="97"/>
      <c r="BI813" s="97"/>
      <c r="BJ813" s="97"/>
      <c r="BK813" s="97"/>
      <c r="BL813" s="97"/>
      <c r="BM813" s="97"/>
      <c r="BN813" s="97"/>
      <c r="BO813" s="97"/>
      <c r="BP813" s="97"/>
      <c r="BQ813" s="97"/>
      <c r="BR813" s="97"/>
      <c r="BS813" s="97"/>
      <c r="BT813" s="97"/>
      <c r="BU813" s="97"/>
      <c r="BV813" s="97"/>
      <c r="BW813" s="97"/>
      <c r="BX813" s="97"/>
      <c r="BY813" s="97"/>
      <c r="BZ813" s="97"/>
      <c r="CA813" s="97"/>
      <c r="CB813" s="97"/>
      <c r="CC813" s="97"/>
      <c r="CD813" s="97"/>
      <c r="CE813" s="97"/>
      <c r="CF813" s="97"/>
      <c r="CG813" s="97"/>
      <c r="CH813" s="97"/>
      <c r="CI813" s="97"/>
      <c r="CJ813" s="97"/>
      <c r="CK813" s="97"/>
      <c r="CL813" s="97"/>
      <c r="CM813" s="97"/>
      <c r="CN813" s="97"/>
      <c r="CO813" s="97"/>
      <c r="CP813" s="97"/>
      <c r="CQ813" s="97"/>
    </row>
    <row r="814" spans="1:95" ht="14.45" hidden="1">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c r="AA814" s="97"/>
      <c r="AB814" s="97"/>
      <c r="AC814" s="97"/>
      <c r="AD814" s="97"/>
      <c r="AE814" s="97"/>
      <c r="AF814" s="97"/>
      <c r="AG814" s="97"/>
      <c r="AH814" s="97"/>
      <c r="AI814" s="97"/>
      <c r="AJ814" s="97"/>
      <c r="AK814" s="97"/>
      <c r="AL814" s="97"/>
      <c r="AM814" s="97"/>
      <c r="AN814" s="97"/>
      <c r="AO814" s="97"/>
      <c r="AP814" s="97"/>
      <c r="AQ814" s="97"/>
      <c r="AR814" s="97"/>
      <c r="AS814" s="97"/>
      <c r="AT814" s="97"/>
      <c r="AU814" s="97"/>
      <c r="AV814" s="97"/>
      <c r="AW814" s="97"/>
      <c r="AX814" s="97"/>
      <c r="AY814" s="97"/>
      <c r="AZ814" s="97"/>
      <c r="BA814" s="97"/>
      <c r="BB814" s="97"/>
      <c r="BC814" s="97"/>
      <c r="BD814" s="97"/>
      <c r="BE814" s="97"/>
      <c r="BF814" s="97"/>
      <c r="BG814" s="97"/>
      <c r="BH814" s="97"/>
      <c r="BI814" s="97"/>
      <c r="BJ814" s="97"/>
      <c r="BK814" s="97"/>
      <c r="BL814" s="97"/>
      <c r="BM814" s="97"/>
      <c r="BN814" s="97"/>
      <c r="BO814" s="97"/>
      <c r="BP814" s="97"/>
      <c r="BQ814" s="97"/>
      <c r="BR814" s="97"/>
      <c r="BS814" s="97"/>
      <c r="BT814" s="97"/>
      <c r="BU814" s="97"/>
      <c r="BV814" s="97"/>
      <c r="BW814" s="97"/>
      <c r="BX814" s="97"/>
      <c r="BY814" s="97"/>
      <c r="BZ814" s="97"/>
      <c r="CA814" s="97"/>
      <c r="CB814" s="97"/>
      <c r="CC814" s="97"/>
      <c r="CD814" s="97"/>
      <c r="CE814" s="97"/>
      <c r="CF814" s="97"/>
      <c r="CG814" s="97"/>
      <c r="CH814" s="97"/>
      <c r="CI814" s="97"/>
      <c r="CJ814" s="97"/>
      <c r="CK814" s="97"/>
      <c r="CL814" s="97"/>
      <c r="CM814" s="97"/>
      <c r="CN814" s="97"/>
      <c r="CO814" s="97"/>
      <c r="CP814" s="97"/>
      <c r="CQ814" s="97"/>
    </row>
    <row r="815" spans="1:95" ht="14.45" hidden="1">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c r="AA815" s="97"/>
      <c r="AB815" s="97"/>
      <c r="AC815" s="97"/>
      <c r="AD815" s="97"/>
      <c r="AE815" s="97"/>
      <c r="AF815" s="97"/>
      <c r="AG815" s="97"/>
      <c r="AH815" s="97"/>
      <c r="AI815" s="97"/>
      <c r="AJ815" s="97"/>
      <c r="AK815" s="97"/>
      <c r="AL815" s="97"/>
      <c r="AM815" s="97"/>
      <c r="AN815" s="97"/>
      <c r="AO815" s="97"/>
      <c r="AP815" s="97"/>
      <c r="AQ815" s="97"/>
      <c r="AR815" s="97"/>
      <c r="AS815" s="97"/>
      <c r="AT815" s="97"/>
      <c r="AU815" s="97"/>
      <c r="AV815" s="97"/>
      <c r="AW815" s="97"/>
      <c r="AX815" s="97"/>
      <c r="AY815" s="97"/>
      <c r="AZ815" s="97"/>
      <c r="BA815" s="97"/>
      <c r="BB815" s="97"/>
      <c r="BC815" s="97"/>
      <c r="BD815" s="97"/>
      <c r="BE815" s="97"/>
      <c r="BF815" s="97"/>
      <c r="BG815" s="97"/>
      <c r="BH815" s="97"/>
      <c r="BI815" s="97"/>
      <c r="BJ815" s="97"/>
      <c r="BK815" s="97"/>
      <c r="BL815" s="97"/>
      <c r="BM815" s="97"/>
      <c r="BN815" s="97"/>
      <c r="BO815" s="97"/>
      <c r="BP815" s="97"/>
      <c r="BQ815" s="97"/>
      <c r="BR815" s="97"/>
      <c r="BS815" s="97"/>
      <c r="BT815" s="97"/>
      <c r="BU815" s="97"/>
      <c r="BV815" s="97"/>
      <c r="BW815" s="97"/>
      <c r="BX815" s="97"/>
      <c r="BY815" s="97"/>
      <c r="BZ815" s="97"/>
      <c r="CA815" s="97"/>
      <c r="CB815" s="97"/>
      <c r="CC815" s="97"/>
      <c r="CD815" s="97"/>
      <c r="CE815" s="97"/>
      <c r="CF815" s="97"/>
      <c r="CG815" s="97"/>
      <c r="CH815" s="97"/>
      <c r="CI815" s="97"/>
      <c r="CJ815" s="97"/>
      <c r="CK815" s="97"/>
      <c r="CL815" s="97"/>
      <c r="CM815" s="97"/>
      <c r="CN815" s="97"/>
      <c r="CO815" s="97"/>
      <c r="CP815" s="97"/>
      <c r="CQ815" s="97"/>
    </row>
    <row r="816" spans="1:95" ht="14.45" hidden="1">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7"/>
      <c r="AW816" s="97"/>
      <c r="AX816" s="97"/>
      <c r="AY816" s="97"/>
      <c r="AZ816" s="97"/>
      <c r="BA816" s="97"/>
      <c r="BB816" s="97"/>
      <c r="BC816" s="97"/>
      <c r="BD816" s="97"/>
      <c r="BE816" s="97"/>
      <c r="BF816" s="97"/>
      <c r="BG816" s="97"/>
      <c r="BH816" s="97"/>
      <c r="BI816" s="97"/>
      <c r="BJ816" s="97"/>
      <c r="BK816" s="97"/>
      <c r="BL816" s="97"/>
      <c r="BM816" s="97"/>
      <c r="BN816" s="97"/>
      <c r="BO816" s="97"/>
      <c r="BP816" s="97"/>
      <c r="BQ816" s="97"/>
      <c r="BR816" s="97"/>
      <c r="BS816" s="97"/>
      <c r="BT816" s="97"/>
      <c r="BU816" s="97"/>
      <c r="BV816" s="97"/>
      <c r="BW816" s="97"/>
      <c r="BX816" s="97"/>
      <c r="BY816" s="97"/>
      <c r="BZ816" s="97"/>
      <c r="CA816" s="97"/>
      <c r="CB816" s="97"/>
      <c r="CC816" s="97"/>
      <c r="CD816" s="97"/>
      <c r="CE816" s="97"/>
      <c r="CF816" s="97"/>
      <c r="CG816" s="97"/>
      <c r="CH816" s="97"/>
      <c r="CI816" s="97"/>
      <c r="CJ816" s="97"/>
      <c r="CK816" s="97"/>
      <c r="CL816" s="97"/>
      <c r="CM816" s="97"/>
      <c r="CN816" s="97"/>
      <c r="CO816" s="97"/>
      <c r="CP816" s="97"/>
      <c r="CQ816" s="97"/>
    </row>
    <row r="817" spans="1:95" ht="14.45" hidden="1">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97"/>
      <c r="AH817" s="97"/>
      <c r="AI817" s="97"/>
      <c r="AJ817" s="97"/>
      <c r="AK817" s="97"/>
      <c r="AL817" s="97"/>
      <c r="AM817" s="97"/>
      <c r="AN817" s="97"/>
      <c r="AO817" s="97"/>
      <c r="AP817" s="97"/>
      <c r="AQ817" s="97"/>
      <c r="AR817" s="97"/>
      <c r="AS817" s="97"/>
      <c r="AT817" s="97"/>
      <c r="AU817" s="97"/>
      <c r="AV817" s="97"/>
      <c r="AW817" s="97"/>
      <c r="AX817" s="97"/>
      <c r="AY817" s="97"/>
      <c r="AZ817" s="97"/>
      <c r="BA817" s="97"/>
      <c r="BB817" s="97"/>
      <c r="BC817" s="97"/>
      <c r="BD817" s="97"/>
      <c r="BE817" s="97"/>
      <c r="BF817" s="97"/>
      <c r="BG817" s="97"/>
      <c r="BH817" s="97"/>
      <c r="BI817" s="97"/>
      <c r="BJ817" s="97"/>
      <c r="BK817" s="97"/>
      <c r="BL817" s="97"/>
      <c r="BM817" s="97"/>
      <c r="BN817" s="97"/>
      <c r="BO817" s="97"/>
      <c r="BP817" s="97"/>
      <c r="BQ817" s="97"/>
      <c r="BR817" s="97"/>
      <c r="BS817" s="97"/>
      <c r="BT817" s="97"/>
      <c r="BU817" s="97"/>
      <c r="BV817" s="97"/>
      <c r="BW817" s="97"/>
      <c r="BX817" s="97"/>
      <c r="BY817" s="97"/>
      <c r="BZ817" s="97"/>
      <c r="CA817" s="97"/>
      <c r="CB817" s="97"/>
      <c r="CC817" s="97"/>
      <c r="CD817" s="97"/>
      <c r="CE817" s="97"/>
      <c r="CF817" s="97"/>
      <c r="CG817" s="97"/>
      <c r="CH817" s="97"/>
      <c r="CI817" s="97"/>
      <c r="CJ817" s="97"/>
      <c r="CK817" s="97"/>
      <c r="CL817" s="97"/>
      <c r="CM817" s="97"/>
      <c r="CN817" s="97"/>
      <c r="CO817" s="97"/>
      <c r="CP817" s="97"/>
      <c r="CQ817" s="97"/>
    </row>
    <row r="818" spans="1:95" ht="14.45" hidden="1">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97"/>
      <c r="AH818" s="97"/>
      <c r="AI818" s="97"/>
      <c r="AJ818" s="97"/>
      <c r="AK818" s="97"/>
      <c r="AL818" s="97"/>
      <c r="AM818" s="97"/>
      <c r="AN818" s="97"/>
      <c r="AO818" s="97"/>
      <c r="AP818" s="97"/>
      <c r="AQ818" s="97"/>
      <c r="AR818" s="97"/>
      <c r="AS818" s="97"/>
      <c r="AT818" s="97"/>
      <c r="AU818" s="97"/>
      <c r="AV818" s="97"/>
      <c r="AW818" s="97"/>
      <c r="AX818" s="97"/>
      <c r="AY818" s="97"/>
      <c r="AZ818" s="97"/>
      <c r="BA818" s="97"/>
      <c r="BB818" s="97"/>
      <c r="BC818" s="97"/>
      <c r="BD818" s="97"/>
      <c r="BE818" s="97"/>
      <c r="BF818" s="97"/>
      <c r="BG818" s="97"/>
      <c r="BH818" s="97"/>
      <c r="BI818" s="97"/>
      <c r="BJ818" s="97"/>
      <c r="BK818" s="97"/>
      <c r="BL818" s="97"/>
      <c r="BM818" s="97"/>
      <c r="BN818" s="97"/>
      <c r="BO818" s="97"/>
      <c r="BP818" s="97"/>
      <c r="BQ818" s="97"/>
      <c r="BR818" s="97"/>
      <c r="BS818" s="97"/>
      <c r="BT818" s="97"/>
      <c r="BU818" s="97"/>
      <c r="BV818" s="97"/>
      <c r="BW818" s="97"/>
      <c r="BX818" s="97"/>
      <c r="BY818" s="97"/>
      <c r="BZ818" s="97"/>
      <c r="CA818" s="97"/>
      <c r="CB818" s="97"/>
      <c r="CC818" s="97"/>
      <c r="CD818" s="97"/>
      <c r="CE818" s="97"/>
      <c r="CF818" s="97"/>
      <c r="CG818" s="97"/>
      <c r="CH818" s="97"/>
      <c r="CI818" s="97"/>
      <c r="CJ818" s="97"/>
      <c r="CK818" s="97"/>
      <c r="CL818" s="97"/>
      <c r="CM818" s="97"/>
      <c r="CN818" s="97"/>
      <c r="CO818" s="97"/>
      <c r="CP818" s="97"/>
      <c r="CQ818" s="97"/>
    </row>
    <row r="819" spans="1:95" ht="14.45" hidden="1">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c r="AA819" s="97"/>
      <c r="AB819" s="97"/>
      <c r="AC819" s="97"/>
      <c r="AD819" s="97"/>
      <c r="AE819" s="97"/>
      <c r="AF819" s="97"/>
      <c r="AG819" s="97"/>
      <c r="AH819" s="97"/>
      <c r="AI819" s="97"/>
      <c r="AJ819" s="97"/>
      <c r="AK819" s="97"/>
      <c r="AL819" s="97"/>
      <c r="AM819" s="97"/>
      <c r="AN819" s="97"/>
      <c r="AO819" s="97"/>
      <c r="AP819" s="97"/>
      <c r="AQ819" s="97"/>
      <c r="AR819" s="97"/>
      <c r="AS819" s="97"/>
      <c r="AT819" s="97"/>
      <c r="AU819" s="97"/>
      <c r="AV819" s="97"/>
      <c r="AW819" s="97"/>
      <c r="AX819" s="97"/>
      <c r="AY819" s="97"/>
      <c r="AZ819" s="97"/>
      <c r="BA819" s="97"/>
      <c r="BB819" s="97"/>
      <c r="BC819" s="97"/>
      <c r="BD819" s="97"/>
      <c r="BE819" s="97"/>
      <c r="BF819" s="97"/>
      <c r="BG819" s="97"/>
      <c r="BH819" s="97"/>
      <c r="BI819" s="97"/>
      <c r="BJ819" s="97"/>
      <c r="BK819" s="97"/>
      <c r="BL819" s="97"/>
      <c r="BM819" s="97"/>
      <c r="BN819" s="97"/>
      <c r="BO819" s="97"/>
      <c r="BP819" s="97"/>
      <c r="BQ819" s="97"/>
      <c r="BR819" s="97"/>
      <c r="BS819" s="97"/>
      <c r="BT819" s="97"/>
      <c r="BU819" s="97"/>
      <c r="BV819" s="97"/>
      <c r="BW819" s="97"/>
      <c r="BX819" s="97"/>
      <c r="BY819" s="97"/>
      <c r="BZ819" s="97"/>
      <c r="CA819" s="97"/>
      <c r="CB819" s="97"/>
      <c r="CC819" s="97"/>
      <c r="CD819" s="97"/>
      <c r="CE819" s="97"/>
      <c r="CF819" s="97"/>
      <c r="CG819" s="97"/>
      <c r="CH819" s="97"/>
      <c r="CI819" s="97"/>
      <c r="CJ819" s="97"/>
      <c r="CK819" s="97"/>
      <c r="CL819" s="97"/>
      <c r="CM819" s="97"/>
      <c r="CN819" s="97"/>
      <c r="CO819" s="97"/>
      <c r="CP819" s="97"/>
      <c r="CQ819" s="97"/>
    </row>
    <row r="820" spans="1:95" ht="14.45" hidden="1">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c r="AA820" s="97"/>
      <c r="AB820" s="97"/>
      <c r="AC820" s="97"/>
      <c r="AD820" s="97"/>
      <c r="AE820" s="97"/>
      <c r="AF820" s="97"/>
      <c r="AG820" s="97"/>
      <c r="AH820" s="97"/>
      <c r="AI820" s="97"/>
      <c r="AJ820" s="97"/>
      <c r="AK820" s="97"/>
      <c r="AL820" s="97"/>
      <c r="AM820" s="97"/>
      <c r="AN820" s="97"/>
      <c r="AO820" s="97"/>
      <c r="AP820" s="97"/>
      <c r="AQ820" s="97"/>
      <c r="AR820" s="97"/>
      <c r="AS820" s="97"/>
      <c r="AT820" s="97"/>
      <c r="AU820" s="97"/>
      <c r="AV820" s="97"/>
      <c r="AW820" s="97"/>
      <c r="AX820" s="97"/>
      <c r="AY820" s="97"/>
      <c r="AZ820" s="97"/>
      <c r="BA820" s="97"/>
      <c r="BB820" s="97"/>
      <c r="BC820" s="97"/>
      <c r="BD820" s="97"/>
      <c r="BE820" s="97"/>
      <c r="BF820" s="97"/>
      <c r="BG820" s="97"/>
      <c r="BH820" s="97"/>
      <c r="BI820" s="97"/>
      <c r="BJ820" s="97"/>
      <c r="BK820" s="97"/>
      <c r="BL820" s="97"/>
      <c r="BM820" s="97"/>
      <c r="BN820" s="97"/>
      <c r="BO820" s="97"/>
      <c r="BP820" s="97"/>
      <c r="BQ820" s="97"/>
      <c r="BR820" s="97"/>
      <c r="BS820" s="97"/>
      <c r="BT820" s="97"/>
      <c r="BU820" s="97"/>
      <c r="BV820" s="97"/>
      <c r="BW820" s="97"/>
      <c r="BX820" s="97"/>
      <c r="BY820" s="97"/>
      <c r="BZ820" s="97"/>
      <c r="CA820" s="97"/>
      <c r="CB820" s="97"/>
      <c r="CC820" s="97"/>
      <c r="CD820" s="97"/>
      <c r="CE820" s="97"/>
      <c r="CF820" s="97"/>
      <c r="CG820" s="97"/>
      <c r="CH820" s="97"/>
      <c r="CI820" s="97"/>
      <c r="CJ820" s="97"/>
      <c r="CK820" s="97"/>
      <c r="CL820" s="97"/>
      <c r="CM820" s="97"/>
      <c r="CN820" s="97"/>
      <c r="CO820" s="97"/>
      <c r="CP820" s="97"/>
      <c r="CQ820" s="97"/>
    </row>
    <row r="821" spans="1:95" ht="14.45" hidden="1">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c r="AA821" s="97"/>
      <c r="AB821" s="97"/>
      <c r="AC821" s="97"/>
      <c r="AD821" s="97"/>
      <c r="AE821" s="97"/>
      <c r="AF821" s="97"/>
      <c r="AG821" s="97"/>
      <c r="AH821" s="97"/>
      <c r="AI821" s="97"/>
      <c r="AJ821" s="97"/>
      <c r="AK821" s="97"/>
      <c r="AL821" s="97"/>
      <c r="AM821" s="97"/>
      <c r="AN821" s="97"/>
      <c r="AO821" s="97"/>
      <c r="AP821" s="97"/>
      <c r="AQ821" s="97"/>
      <c r="AR821" s="97"/>
      <c r="AS821" s="97"/>
      <c r="AT821" s="97"/>
      <c r="AU821" s="97"/>
      <c r="AV821" s="97"/>
      <c r="AW821" s="97"/>
      <c r="AX821" s="97"/>
      <c r="AY821" s="97"/>
      <c r="AZ821" s="97"/>
      <c r="BA821" s="97"/>
      <c r="BB821" s="97"/>
      <c r="BC821" s="97"/>
      <c r="BD821" s="97"/>
      <c r="BE821" s="97"/>
      <c r="BF821" s="97"/>
      <c r="BG821" s="97"/>
      <c r="BH821" s="97"/>
      <c r="BI821" s="97"/>
      <c r="BJ821" s="97"/>
      <c r="BK821" s="97"/>
      <c r="BL821" s="97"/>
      <c r="BM821" s="97"/>
      <c r="BN821" s="97"/>
      <c r="BO821" s="97"/>
      <c r="BP821" s="97"/>
      <c r="BQ821" s="97"/>
      <c r="BR821" s="97"/>
      <c r="BS821" s="97"/>
      <c r="BT821" s="97"/>
      <c r="BU821" s="97"/>
      <c r="BV821" s="97"/>
      <c r="BW821" s="97"/>
      <c r="BX821" s="97"/>
      <c r="BY821" s="97"/>
      <c r="BZ821" s="97"/>
      <c r="CA821" s="97"/>
      <c r="CB821" s="97"/>
      <c r="CC821" s="97"/>
      <c r="CD821" s="97"/>
      <c r="CE821" s="97"/>
      <c r="CF821" s="97"/>
      <c r="CG821" s="97"/>
      <c r="CH821" s="97"/>
      <c r="CI821" s="97"/>
      <c r="CJ821" s="97"/>
      <c r="CK821" s="97"/>
      <c r="CL821" s="97"/>
      <c r="CM821" s="97"/>
      <c r="CN821" s="97"/>
      <c r="CO821" s="97"/>
      <c r="CP821" s="97"/>
      <c r="CQ821" s="97"/>
    </row>
    <row r="822" spans="1:95" ht="14.45" hidden="1">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c r="AA822" s="97"/>
      <c r="AB822" s="97"/>
      <c r="AC822" s="97"/>
      <c r="AD822" s="97"/>
      <c r="AE822" s="97"/>
      <c r="AF822" s="97"/>
      <c r="AG822" s="97"/>
      <c r="AH822" s="97"/>
      <c r="AI822" s="97"/>
      <c r="AJ822" s="97"/>
      <c r="AK822" s="97"/>
      <c r="AL822" s="97"/>
      <c r="AM822" s="97"/>
      <c r="AN822" s="97"/>
      <c r="AO822" s="97"/>
      <c r="AP822" s="97"/>
      <c r="AQ822" s="97"/>
      <c r="AR822" s="97"/>
      <c r="AS822" s="97"/>
      <c r="AT822" s="97"/>
      <c r="AU822" s="97"/>
      <c r="AV822" s="97"/>
      <c r="AW822" s="97"/>
      <c r="AX822" s="97"/>
      <c r="AY822" s="97"/>
      <c r="AZ822" s="97"/>
      <c r="BA822" s="97"/>
      <c r="BB822" s="97"/>
      <c r="BC822" s="97"/>
      <c r="BD822" s="97"/>
      <c r="BE822" s="97"/>
      <c r="BF822" s="97"/>
      <c r="BG822" s="97"/>
      <c r="BH822" s="97"/>
      <c r="BI822" s="97"/>
      <c r="BJ822" s="97"/>
      <c r="BK822" s="97"/>
      <c r="BL822" s="97"/>
      <c r="BM822" s="97"/>
      <c r="BN822" s="97"/>
      <c r="BO822" s="97"/>
      <c r="BP822" s="97"/>
      <c r="BQ822" s="97"/>
      <c r="BR822" s="97"/>
      <c r="BS822" s="97"/>
      <c r="BT822" s="97"/>
      <c r="BU822" s="97"/>
      <c r="BV822" s="97"/>
      <c r="BW822" s="97"/>
      <c r="BX822" s="97"/>
      <c r="BY822" s="97"/>
      <c r="BZ822" s="97"/>
      <c r="CA822" s="97"/>
      <c r="CB822" s="97"/>
      <c r="CC822" s="97"/>
      <c r="CD822" s="97"/>
      <c r="CE822" s="97"/>
      <c r="CF822" s="97"/>
      <c r="CG822" s="97"/>
      <c r="CH822" s="97"/>
      <c r="CI822" s="97"/>
      <c r="CJ822" s="97"/>
      <c r="CK822" s="97"/>
      <c r="CL822" s="97"/>
      <c r="CM822" s="97"/>
      <c r="CN822" s="97"/>
      <c r="CO822" s="97"/>
      <c r="CP822" s="97"/>
      <c r="CQ822" s="97"/>
    </row>
    <row r="823" spans="1:95" ht="14.45" hidden="1">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c r="AA823" s="97"/>
      <c r="AB823" s="97"/>
      <c r="AC823" s="97"/>
      <c r="AD823" s="97"/>
      <c r="AE823" s="97"/>
      <c r="AF823" s="97"/>
      <c r="AG823" s="97"/>
      <c r="AH823" s="97"/>
      <c r="AI823" s="97"/>
      <c r="AJ823" s="97"/>
      <c r="AK823" s="97"/>
      <c r="AL823" s="97"/>
      <c r="AM823" s="97"/>
      <c r="AN823" s="97"/>
      <c r="AO823" s="97"/>
      <c r="AP823" s="97"/>
      <c r="AQ823" s="97"/>
      <c r="AR823" s="97"/>
      <c r="AS823" s="97"/>
      <c r="AT823" s="97"/>
      <c r="AU823" s="97"/>
      <c r="AV823" s="97"/>
      <c r="AW823" s="97"/>
      <c r="AX823" s="97"/>
      <c r="AY823" s="97"/>
      <c r="AZ823" s="97"/>
      <c r="BA823" s="97"/>
      <c r="BB823" s="97"/>
      <c r="BC823" s="97"/>
      <c r="BD823" s="97"/>
      <c r="BE823" s="97"/>
      <c r="BF823" s="97"/>
      <c r="BG823" s="97"/>
      <c r="BH823" s="97"/>
      <c r="BI823" s="97"/>
      <c r="BJ823" s="97"/>
      <c r="BK823" s="97"/>
      <c r="BL823" s="97"/>
      <c r="BM823" s="97"/>
      <c r="BN823" s="97"/>
      <c r="BO823" s="97"/>
      <c r="BP823" s="97"/>
      <c r="BQ823" s="97"/>
      <c r="BR823" s="97"/>
      <c r="BS823" s="97"/>
      <c r="BT823" s="97"/>
      <c r="BU823" s="97"/>
      <c r="BV823" s="97"/>
      <c r="BW823" s="97"/>
      <c r="BX823" s="97"/>
      <c r="BY823" s="97"/>
      <c r="BZ823" s="97"/>
      <c r="CA823" s="97"/>
      <c r="CB823" s="97"/>
      <c r="CC823" s="97"/>
      <c r="CD823" s="97"/>
      <c r="CE823" s="97"/>
      <c r="CF823" s="97"/>
      <c r="CG823" s="97"/>
      <c r="CH823" s="97"/>
      <c r="CI823" s="97"/>
      <c r="CJ823" s="97"/>
      <c r="CK823" s="97"/>
      <c r="CL823" s="97"/>
      <c r="CM823" s="97"/>
      <c r="CN823" s="97"/>
      <c r="CO823" s="97"/>
      <c r="CP823" s="97"/>
      <c r="CQ823" s="97"/>
    </row>
    <row r="824" spans="1:95" ht="14.45" hidden="1">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c r="AA824" s="97"/>
      <c r="AB824" s="97"/>
      <c r="AC824" s="97"/>
      <c r="AD824" s="97"/>
      <c r="AE824" s="97"/>
      <c r="AF824" s="97"/>
      <c r="AG824" s="97"/>
      <c r="AH824" s="97"/>
      <c r="AI824" s="97"/>
      <c r="AJ824" s="97"/>
      <c r="AK824" s="97"/>
      <c r="AL824" s="97"/>
      <c r="AM824" s="97"/>
      <c r="AN824" s="97"/>
      <c r="AO824" s="97"/>
      <c r="AP824" s="97"/>
      <c r="AQ824" s="97"/>
      <c r="AR824" s="97"/>
      <c r="AS824" s="97"/>
      <c r="AT824" s="97"/>
      <c r="AU824" s="97"/>
      <c r="AV824" s="97"/>
      <c r="AW824" s="97"/>
      <c r="AX824" s="97"/>
      <c r="AY824" s="97"/>
      <c r="AZ824" s="97"/>
      <c r="BA824" s="97"/>
      <c r="BB824" s="97"/>
      <c r="BC824" s="97"/>
      <c r="BD824" s="97"/>
      <c r="BE824" s="97"/>
      <c r="BF824" s="97"/>
      <c r="BG824" s="97"/>
      <c r="BH824" s="97"/>
      <c r="BI824" s="97"/>
      <c r="BJ824" s="97"/>
      <c r="BK824" s="97"/>
      <c r="BL824" s="97"/>
      <c r="BM824" s="97"/>
      <c r="BN824" s="97"/>
      <c r="BO824" s="97"/>
      <c r="BP824" s="97"/>
      <c r="BQ824" s="97"/>
      <c r="BR824" s="97"/>
      <c r="BS824" s="97"/>
      <c r="BT824" s="97"/>
      <c r="BU824" s="97"/>
      <c r="BV824" s="97"/>
      <c r="BW824" s="97"/>
      <c r="BX824" s="97"/>
      <c r="BY824" s="97"/>
      <c r="BZ824" s="97"/>
      <c r="CA824" s="97"/>
      <c r="CB824" s="97"/>
      <c r="CC824" s="97"/>
      <c r="CD824" s="97"/>
      <c r="CE824" s="97"/>
      <c r="CF824" s="97"/>
      <c r="CG824" s="97"/>
      <c r="CH824" s="97"/>
      <c r="CI824" s="97"/>
      <c r="CJ824" s="97"/>
      <c r="CK824" s="97"/>
      <c r="CL824" s="97"/>
      <c r="CM824" s="97"/>
      <c r="CN824" s="97"/>
      <c r="CO824" s="97"/>
      <c r="CP824" s="97"/>
      <c r="CQ824" s="97"/>
    </row>
    <row r="825" spans="1:95" ht="14.45" hidden="1">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c r="AA825" s="97"/>
      <c r="AB825" s="97"/>
      <c r="AC825" s="97"/>
      <c r="AD825" s="97"/>
      <c r="AE825" s="97"/>
      <c r="AF825" s="97"/>
      <c r="AG825" s="97"/>
      <c r="AH825" s="97"/>
      <c r="AI825" s="97"/>
      <c r="AJ825" s="97"/>
      <c r="AK825" s="97"/>
      <c r="AL825" s="97"/>
      <c r="AM825" s="97"/>
      <c r="AN825" s="97"/>
      <c r="AO825" s="97"/>
      <c r="AP825" s="97"/>
      <c r="AQ825" s="97"/>
      <c r="AR825" s="97"/>
      <c r="AS825" s="97"/>
      <c r="AT825" s="97"/>
      <c r="AU825" s="97"/>
      <c r="AV825" s="97"/>
      <c r="AW825" s="97"/>
      <c r="AX825" s="97"/>
      <c r="AY825" s="97"/>
      <c r="AZ825" s="97"/>
      <c r="BA825" s="97"/>
      <c r="BB825" s="97"/>
      <c r="BC825" s="97"/>
      <c r="BD825" s="97"/>
      <c r="BE825" s="97"/>
      <c r="BF825" s="97"/>
      <c r="BG825" s="97"/>
      <c r="BH825" s="97"/>
      <c r="BI825" s="97"/>
      <c r="BJ825" s="97"/>
      <c r="BK825" s="97"/>
      <c r="BL825" s="97"/>
      <c r="BM825" s="97"/>
      <c r="BN825" s="97"/>
      <c r="BO825" s="97"/>
      <c r="BP825" s="97"/>
      <c r="BQ825" s="97"/>
      <c r="BR825" s="97"/>
      <c r="BS825" s="97"/>
      <c r="BT825" s="97"/>
      <c r="BU825" s="97"/>
      <c r="BV825" s="97"/>
      <c r="BW825" s="97"/>
      <c r="BX825" s="97"/>
      <c r="BY825" s="97"/>
      <c r="BZ825" s="97"/>
      <c r="CA825" s="97"/>
      <c r="CB825" s="97"/>
      <c r="CC825" s="97"/>
      <c r="CD825" s="97"/>
      <c r="CE825" s="97"/>
      <c r="CF825" s="97"/>
      <c r="CG825" s="97"/>
      <c r="CH825" s="97"/>
      <c r="CI825" s="97"/>
      <c r="CJ825" s="97"/>
      <c r="CK825" s="97"/>
      <c r="CL825" s="97"/>
      <c r="CM825" s="97"/>
      <c r="CN825" s="97"/>
      <c r="CO825" s="97"/>
      <c r="CP825" s="97"/>
      <c r="CQ825" s="97"/>
    </row>
    <row r="826" spans="1:95" ht="14.45" hidden="1">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c r="AA826" s="97"/>
      <c r="AB826" s="97"/>
      <c r="AC826" s="97"/>
      <c r="AD826" s="97"/>
      <c r="AE826" s="97"/>
      <c r="AF826" s="97"/>
      <c r="AG826" s="97"/>
      <c r="AH826" s="97"/>
      <c r="AI826" s="97"/>
      <c r="AJ826" s="97"/>
      <c r="AK826" s="97"/>
      <c r="AL826" s="97"/>
      <c r="AM826" s="97"/>
      <c r="AN826" s="97"/>
      <c r="AO826" s="97"/>
      <c r="AP826" s="97"/>
      <c r="AQ826" s="97"/>
      <c r="AR826" s="97"/>
      <c r="AS826" s="97"/>
      <c r="AT826" s="97"/>
      <c r="AU826" s="97"/>
      <c r="AV826" s="97"/>
      <c r="AW826" s="97"/>
      <c r="AX826" s="97"/>
      <c r="AY826" s="97"/>
      <c r="AZ826" s="97"/>
      <c r="BA826" s="97"/>
      <c r="BB826" s="97"/>
      <c r="BC826" s="97"/>
      <c r="BD826" s="97"/>
      <c r="BE826" s="97"/>
      <c r="BF826" s="97"/>
      <c r="BG826" s="97"/>
      <c r="BH826" s="97"/>
      <c r="BI826" s="97"/>
      <c r="BJ826" s="97"/>
      <c r="BK826" s="97"/>
      <c r="BL826" s="97"/>
      <c r="BM826" s="97"/>
      <c r="BN826" s="97"/>
      <c r="BO826" s="97"/>
      <c r="BP826" s="97"/>
      <c r="BQ826" s="97"/>
      <c r="BR826" s="97"/>
      <c r="BS826" s="97"/>
      <c r="BT826" s="97"/>
      <c r="BU826" s="97"/>
      <c r="BV826" s="97"/>
      <c r="BW826" s="97"/>
      <c r="BX826" s="97"/>
      <c r="BY826" s="97"/>
      <c r="BZ826" s="97"/>
      <c r="CA826" s="97"/>
      <c r="CB826" s="97"/>
      <c r="CC826" s="97"/>
      <c r="CD826" s="97"/>
      <c r="CE826" s="97"/>
      <c r="CF826" s="97"/>
      <c r="CG826" s="97"/>
      <c r="CH826" s="97"/>
      <c r="CI826" s="97"/>
      <c r="CJ826" s="97"/>
      <c r="CK826" s="97"/>
      <c r="CL826" s="97"/>
      <c r="CM826" s="97"/>
      <c r="CN826" s="97"/>
      <c r="CO826" s="97"/>
      <c r="CP826" s="97"/>
      <c r="CQ826" s="97"/>
    </row>
    <row r="827" spans="1:95" ht="14.45" hidden="1">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c r="AA827" s="97"/>
      <c r="AB827" s="97"/>
      <c r="AC827" s="97"/>
      <c r="AD827" s="97"/>
      <c r="AE827" s="97"/>
      <c r="AF827" s="97"/>
      <c r="AG827" s="97"/>
      <c r="AH827" s="97"/>
      <c r="AI827" s="97"/>
      <c r="AJ827" s="97"/>
      <c r="AK827" s="97"/>
      <c r="AL827" s="97"/>
      <c r="AM827" s="97"/>
      <c r="AN827" s="97"/>
      <c r="AO827" s="97"/>
      <c r="AP827" s="97"/>
      <c r="AQ827" s="97"/>
      <c r="AR827" s="97"/>
      <c r="AS827" s="97"/>
      <c r="AT827" s="97"/>
      <c r="AU827" s="97"/>
      <c r="AV827" s="97"/>
      <c r="AW827" s="97"/>
      <c r="AX827" s="97"/>
      <c r="AY827" s="97"/>
      <c r="AZ827" s="97"/>
      <c r="BA827" s="97"/>
      <c r="BB827" s="97"/>
      <c r="BC827" s="97"/>
      <c r="BD827" s="97"/>
      <c r="BE827" s="97"/>
      <c r="BF827" s="97"/>
      <c r="BG827" s="97"/>
      <c r="BH827" s="97"/>
      <c r="BI827" s="97"/>
      <c r="BJ827" s="97"/>
      <c r="BK827" s="97"/>
      <c r="BL827" s="97"/>
      <c r="BM827" s="97"/>
      <c r="BN827" s="97"/>
      <c r="BO827" s="97"/>
      <c r="BP827" s="97"/>
      <c r="BQ827" s="97"/>
      <c r="BR827" s="97"/>
      <c r="BS827" s="97"/>
      <c r="BT827" s="97"/>
      <c r="BU827" s="97"/>
      <c r="BV827" s="97"/>
      <c r="BW827" s="97"/>
      <c r="BX827" s="97"/>
      <c r="BY827" s="97"/>
      <c r="BZ827" s="97"/>
      <c r="CA827" s="97"/>
      <c r="CB827" s="97"/>
      <c r="CC827" s="97"/>
      <c r="CD827" s="97"/>
      <c r="CE827" s="97"/>
      <c r="CF827" s="97"/>
      <c r="CG827" s="97"/>
      <c r="CH827" s="97"/>
      <c r="CI827" s="97"/>
      <c r="CJ827" s="97"/>
      <c r="CK827" s="97"/>
      <c r="CL827" s="97"/>
      <c r="CM827" s="97"/>
      <c r="CN827" s="97"/>
      <c r="CO827" s="97"/>
      <c r="CP827" s="97"/>
      <c r="CQ827" s="97"/>
    </row>
    <row r="828" spans="1:95" ht="14.45" hidden="1">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c r="AA828" s="97"/>
      <c r="AB828" s="97"/>
      <c r="AC828" s="97"/>
      <c r="AD828" s="97"/>
      <c r="AE828" s="97"/>
      <c r="AF828" s="97"/>
      <c r="AG828" s="97"/>
      <c r="AH828" s="97"/>
      <c r="AI828" s="97"/>
      <c r="AJ828" s="97"/>
      <c r="AK828" s="97"/>
      <c r="AL828" s="97"/>
      <c r="AM828" s="97"/>
      <c r="AN828" s="97"/>
      <c r="AO828" s="97"/>
      <c r="AP828" s="97"/>
      <c r="AQ828" s="97"/>
      <c r="AR828" s="97"/>
      <c r="AS828" s="97"/>
      <c r="AT828" s="97"/>
      <c r="AU828" s="97"/>
      <c r="AV828" s="97"/>
      <c r="AW828" s="97"/>
      <c r="AX828" s="97"/>
      <c r="AY828" s="97"/>
      <c r="AZ828" s="97"/>
      <c r="BA828" s="97"/>
      <c r="BB828" s="97"/>
      <c r="BC828" s="97"/>
      <c r="BD828" s="97"/>
      <c r="BE828" s="97"/>
      <c r="BF828" s="97"/>
      <c r="BG828" s="97"/>
      <c r="BH828" s="97"/>
      <c r="BI828" s="97"/>
      <c r="BJ828" s="97"/>
      <c r="BK828" s="97"/>
      <c r="BL828" s="97"/>
      <c r="BM828" s="97"/>
      <c r="BN828" s="97"/>
      <c r="BO828" s="97"/>
      <c r="BP828" s="97"/>
      <c r="BQ828" s="97"/>
      <c r="BR828" s="97"/>
      <c r="BS828" s="97"/>
      <c r="BT828" s="97"/>
      <c r="BU828" s="97"/>
      <c r="BV828" s="97"/>
      <c r="BW828" s="97"/>
      <c r="BX828" s="97"/>
      <c r="BY828" s="97"/>
      <c r="BZ828" s="97"/>
      <c r="CA828" s="97"/>
      <c r="CB828" s="97"/>
      <c r="CC828" s="97"/>
      <c r="CD828" s="97"/>
      <c r="CE828" s="97"/>
      <c r="CF828" s="97"/>
      <c r="CG828" s="97"/>
      <c r="CH828" s="97"/>
      <c r="CI828" s="97"/>
      <c r="CJ828" s="97"/>
      <c r="CK828" s="97"/>
      <c r="CL828" s="97"/>
      <c r="CM828" s="97"/>
      <c r="CN828" s="97"/>
      <c r="CO828" s="97"/>
      <c r="CP828" s="97"/>
      <c r="CQ828" s="97"/>
    </row>
    <row r="829" spans="1:95" ht="14.45" hidden="1">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c r="AA829" s="97"/>
      <c r="AB829" s="97"/>
      <c r="AC829" s="97"/>
      <c r="AD829" s="97"/>
      <c r="AE829" s="97"/>
      <c r="AF829" s="97"/>
      <c r="AG829" s="97"/>
      <c r="AH829" s="97"/>
      <c r="AI829" s="97"/>
      <c r="AJ829" s="97"/>
      <c r="AK829" s="97"/>
      <c r="AL829" s="97"/>
      <c r="AM829" s="97"/>
      <c r="AN829" s="97"/>
      <c r="AO829" s="97"/>
      <c r="AP829" s="97"/>
      <c r="AQ829" s="97"/>
      <c r="AR829" s="97"/>
      <c r="AS829" s="97"/>
      <c r="AT829" s="97"/>
      <c r="AU829" s="97"/>
      <c r="AV829" s="97"/>
      <c r="AW829" s="97"/>
      <c r="AX829" s="97"/>
      <c r="AY829" s="97"/>
      <c r="AZ829" s="97"/>
      <c r="BA829" s="97"/>
      <c r="BB829" s="97"/>
      <c r="BC829" s="97"/>
      <c r="BD829" s="97"/>
      <c r="BE829" s="97"/>
      <c r="BF829" s="97"/>
      <c r="BG829" s="97"/>
      <c r="BH829" s="97"/>
      <c r="BI829" s="97"/>
      <c r="BJ829" s="97"/>
      <c r="BK829" s="97"/>
      <c r="BL829" s="97"/>
      <c r="BM829" s="97"/>
      <c r="BN829" s="97"/>
      <c r="BO829" s="97"/>
      <c r="BP829" s="97"/>
      <c r="BQ829" s="97"/>
      <c r="BR829" s="97"/>
      <c r="BS829" s="97"/>
      <c r="BT829" s="97"/>
      <c r="BU829" s="97"/>
      <c r="BV829" s="97"/>
      <c r="BW829" s="97"/>
      <c r="BX829" s="97"/>
      <c r="BY829" s="97"/>
      <c r="BZ829" s="97"/>
      <c r="CA829" s="97"/>
      <c r="CB829" s="97"/>
      <c r="CC829" s="97"/>
      <c r="CD829" s="97"/>
      <c r="CE829" s="97"/>
      <c r="CF829" s="97"/>
      <c r="CG829" s="97"/>
      <c r="CH829" s="97"/>
      <c r="CI829" s="97"/>
      <c r="CJ829" s="97"/>
      <c r="CK829" s="97"/>
      <c r="CL829" s="97"/>
      <c r="CM829" s="97"/>
      <c r="CN829" s="97"/>
      <c r="CO829" s="97"/>
      <c r="CP829" s="97"/>
      <c r="CQ829" s="97"/>
    </row>
    <row r="830" spans="1:95" ht="14.45" hidden="1">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c r="AA830" s="97"/>
      <c r="AB830" s="97"/>
      <c r="AC830" s="97"/>
      <c r="AD830" s="97"/>
      <c r="AE830" s="97"/>
      <c r="AF830" s="97"/>
      <c r="AG830" s="97"/>
      <c r="AH830" s="97"/>
      <c r="AI830" s="97"/>
      <c r="AJ830" s="97"/>
      <c r="AK830" s="97"/>
      <c r="AL830" s="97"/>
      <c r="AM830" s="97"/>
      <c r="AN830" s="97"/>
      <c r="AO830" s="97"/>
      <c r="AP830" s="97"/>
      <c r="AQ830" s="97"/>
      <c r="AR830" s="97"/>
      <c r="AS830" s="97"/>
      <c r="AT830" s="97"/>
      <c r="AU830" s="97"/>
      <c r="AV830" s="97"/>
      <c r="AW830" s="97"/>
      <c r="AX830" s="97"/>
      <c r="AY830" s="97"/>
      <c r="AZ830" s="97"/>
      <c r="BA830" s="97"/>
      <c r="BB830" s="97"/>
      <c r="BC830" s="97"/>
      <c r="BD830" s="97"/>
      <c r="BE830" s="97"/>
      <c r="BF830" s="97"/>
      <c r="BG830" s="97"/>
      <c r="BH830" s="97"/>
      <c r="BI830" s="97"/>
      <c r="BJ830" s="97"/>
      <c r="BK830" s="97"/>
      <c r="BL830" s="97"/>
      <c r="BM830" s="97"/>
      <c r="BN830" s="97"/>
      <c r="BO830" s="97"/>
      <c r="BP830" s="97"/>
      <c r="BQ830" s="97"/>
      <c r="BR830" s="97"/>
      <c r="BS830" s="97"/>
      <c r="BT830" s="97"/>
      <c r="BU830" s="97"/>
      <c r="BV830" s="97"/>
      <c r="BW830" s="97"/>
      <c r="BX830" s="97"/>
      <c r="BY830" s="97"/>
      <c r="BZ830" s="97"/>
      <c r="CA830" s="97"/>
      <c r="CB830" s="97"/>
      <c r="CC830" s="97"/>
      <c r="CD830" s="97"/>
      <c r="CE830" s="97"/>
      <c r="CF830" s="97"/>
      <c r="CG830" s="97"/>
      <c r="CH830" s="97"/>
      <c r="CI830" s="97"/>
      <c r="CJ830" s="97"/>
      <c r="CK830" s="97"/>
      <c r="CL830" s="97"/>
      <c r="CM830" s="97"/>
      <c r="CN830" s="97"/>
      <c r="CO830" s="97"/>
      <c r="CP830" s="97"/>
      <c r="CQ830" s="97"/>
    </row>
    <row r="831" spans="1:95" ht="14.45" hidden="1">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c r="AA831" s="97"/>
      <c r="AB831" s="97"/>
      <c r="AC831" s="97"/>
      <c r="AD831" s="97"/>
      <c r="AE831" s="97"/>
      <c r="AF831" s="97"/>
      <c r="AG831" s="97"/>
      <c r="AH831" s="97"/>
      <c r="AI831" s="97"/>
      <c r="AJ831" s="97"/>
      <c r="AK831" s="97"/>
      <c r="AL831" s="97"/>
      <c r="AM831" s="97"/>
      <c r="AN831" s="97"/>
      <c r="AO831" s="97"/>
      <c r="AP831" s="97"/>
      <c r="AQ831" s="97"/>
      <c r="AR831" s="97"/>
      <c r="AS831" s="97"/>
      <c r="AT831" s="97"/>
      <c r="AU831" s="97"/>
      <c r="AV831" s="97"/>
      <c r="AW831" s="97"/>
      <c r="AX831" s="97"/>
      <c r="AY831" s="97"/>
      <c r="AZ831" s="97"/>
      <c r="BA831" s="97"/>
      <c r="BB831" s="97"/>
      <c r="BC831" s="97"/>
      <c r="BD831" s="97"/>
      <c r="BE831" s="97"/>
      <c r="BF831" s="97"/>
      <c r="BG831" s="97"/>
      <c r="BH831" s="97"/>
      <c r="BI831" s="97"/>
      <c r="BJ831" s="97"/>
      <c r="BK831" s="97"/>
      <c r="BL831" s="97"/>
      <c r="BM831" s="97"/>
      <c r="BN831" s="97"/>
      <c r="BO831" s="97"/>
      <c r="BP831" s="97"/>
      <c r="BQ831" s="97"/>
      <c r="BR831" s="97"/>
      <c r="BS831" s="97"/>
      <c r="BT831" s="97"/>
      <c r="BU831" s="97"/>
      <c r="BV831" s="97"/>
      <c r="BW831" s="97"/>
      <c r="BX831" s="97"/>
      <c r="BY831" s="97"/>
      <c r="BZ831" s="97"/>
      <c r="CA831" s="97"/>
      <c r="CB831" s="97"/>
      <c r="CC831" s="97"/>
      <c r="CD831" s="97"/>
      <c r="CE831" s="97"/>
      <c r="CF831" s="97"/>
      <c r="CG831" s="97"/>
      <c r="CH831" s="97"/>
      <c r="CI831" s="97"/>
      <c r="CJ831" s="97"/>
      <c r="CK831" s="97"/>
      <c r="CL831" s="97"/>
      <c r="CM831" s="97"/>
      <c r="CN831" s="97"/>
      <c r="CO831" s="97"/>
      <c r="CP831" s="97"/>
      <c r="CQ831" s="97"/>
    </row>
    <row r="832" spans="1:95" ht="14.45" hidden="1">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c r="AA832" s="97"/>
      <c r="AB832" s="97"/>
      <c r="AC832" s="97"/>
      <c r="AD832" s="97"/>
      <c r="AE832" s="97"/>
      <c r="AF832" s="97"/>
      <c r="AG832" s="97"/>
      <c r="AH832" s="97"/>
      <c r="AI832" s="97"/>
      <c r="AJ832" s="97"/>
      <c r="AK832" s="97"/>
      <c r="AL832" s="97"/>
      <c r="AM832" s="97"/>
      <c r="AN832" s="97"/>
      <c r="AO832" s="97"/>
      <c r="AP832" s="97"/>
      <c r="AQ832" s="97"/>
      <c r="AR832" s="97"/>
      <c r="AS832" s="97"/>
      <c r="AT832" s="97"/>
      <c r="AU832" s="97"/>
      <c r="AV832" s="97"/>
      <c r="AW832" s="97"/>
      <c r="AX832" s="97"/>
      <c r="AY832" s="97"/>
      <c r="AZ832" s="97"/>
      <c r="BA832" s="97"/>
      <c r="BB832" s="97"/>
      <c r="BC832" s="97"/>
      <c r="BD832" s="97"/>
      <c r="BE832" s="97"/>
      <c r="BF832" s="97"/>
      <c r="BG832" s="97"/>
      <c r="BH832" s="97"/>
      <c r="BI832" s="97"/>
      <c r="BJ832" s="97"/>
      <c r="BK832" s="97"/>
      <c r="BL832" s="97"/>
      <c r="BM832" s="97"/>
      <c r="BN832" s="97"/>
      <c r="BO832" s="97"/>
      <c r="BP832" s="97"/>
      <c r="BQ832" s="97"/>
      <c r="BR832" s="97"/>
      <c r="BS832" s="97"/>
      <c r="BT832" s="97"/>
      <c r="BU832" s="97"/>
      <c r="BV832" s="97"/>
      <c r="BW832" s="97"/>
      <c r="BX832" s="97"/>
      <c r="BY832" s="97"/>
      <c r="BZ832" s="97"/>
      <c r="CA832" s="97"/>
      <c r="CB832" s="97"/>
      <c r="CC832" s="97"/>
      <c r="CD832" s="97"/>
      <c r="CE832" s="97"/>
      <c r="CF832" s="97"/>
      <c r="CG832" s="97"/>
      <c r="CH832" s="97"/>
      <c r="CI832" s="97"/>
      <c r="CJ832" s="97"/>
      <c r="CK832" s="97"/>
      <c r="CL832" s="97"/>
      <c r="CM832" s="97"/>
      <c r="CN832" s="97"/>
      <c r="CO832" s="97"/>
      <c r="CP832" s="97"/>
      <c r="CQ832" s="97"/>
    </row>
    <row r="833" spans="1:95" ht="14.45" hidden="1">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c r="AA833" s="97"/>
      <c r="AB833" s="97"/>
      <c r="AC833" s="97"/>
      <c r="AD833" s="97"/>
      <c r="AE833" s="97"/>
      <c r="AF833" s="97"/>
      <c r="AG833" s="97"/>
      <c r="AH833" s="97"/>
      <c r="AI833" s="97"/>
      <c r="AJ833" s="97"/>
      <c r="AK833" s="97"/>
      <c r="AL833" s="97"/>
      <c r="AM833" s="97"/>
      <c r="AN833" s="97"/>
      <c r="AO833" s="97"/>
      <c r="AP833" s="97"/>
      <c r="AQ833" s="97"/>
      <c r="AR833" s="97"/>
      <c r="AS833" s="97"/>
      <c r="AT833" s="97"/>
      <c r="AU833" s="97"/>
      <c r="AV833" s="97"/>
      <c r="AW833" s="97"/>
      <c r="AX833" s="97"/>
      <c r="AY833" s="97"/>
      <c r="AZ833" s="97"/>
      <c r="BA833" s="97"/>
      <c r="BB833" s="97"/>
      <c r="BC833" s="97"/>
      <c r="BD833" s="97"/>
      <c r="BE833" s="97"/>
      <c r="BF833" s="97"/>
      <c r="BG833" s="97"/>
      <c r="BH833" s="97"/>
      <c r="BI833" s="97"/>
      <c r="BJ833" s="97"/>
      <c r="BK833" s="97"/>
      <c r="BL833" s="97"/>
      <c r="BM833" s="97"/>
      <c r="BN833" s="97"/>
      <c r="BO833" s="97"/>
      <c r="BP833" s="97"/>
      <c r="BQ833" s="97"/>
      <c r="BR833" s="97"/>
      <c r="BS833" s="97"/>
      <c r="BT833" s="97"/>
      <c r="BU833" s="97"/>
      <c r="BV833" s="97"/>
      <c r="BW833" s="97"/>
      <c r="BX833" s="97"/>
      <c r="BY833" s="97"/>
      <c r="BZ833" s="97"/>
      <c r="CA833" s="97"/>
      <c r="CB833" s="97"/>
      <c r="CC833" s="97"/>
      <c r="CD833" s="97"/>
      <c r="CE833" s="97"/>
      <c r="CF833" s="97"/>
      <c r="CG833" s="97"/>
      <c r="CH833" s="97"/>
      <c r="CI833" s="97"/>
      <c r="CJ833" s="97"/>
      <c r="CK833" s="97"/>
      <c r="CL833" s="97"/>
      <c r="CM833" s="97"/>
      <c r="CN833" s="97"/>
      <c r="CO833" s="97"/>
      <c r="CP833" s="97"/>
      <c r="CQ833" s="97"/>
    </row>
    <row r="834" spans="1:95" ht="14.45" hidden="1">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c r="AA834" s="97"/>
      <c r="AB834" s="97"/>
      <c r="AC834" s="97"/>
      <c r="AD834" s="97"/>
      <c r="AE834" s="97"/>
      <c r="AF834" s="97"/>
      <c r="AG834" s="97"/>
      <c r="AH834" s="97"/>
      <c r="AI834" s="97"/>
      <c r="AJ834" s="97"/>
      <c r="AK834" s="97"/>
      <c r="AL834" s="97"/>
      <c r="AM834" s="97"/>
      <c r="AN834" s="97"/>
      <c r="AO834" s="97"/>
      <c r="AP834" s="97"/>
      <c r="AQ834" s="97"/>
      <c r="AR834" s="97"/>
      <c r="AS834" s="97"/>
      <c r="AT834" s="97"/>
      <c r="AU834" s="97"/>
      <c r="AV834" s="97"/>
      <c r="AW834" s="97"/>
      <c r="AX834" s="97"/>
      <c r="AY834" s="97"/>
      <c r="AZ834" s="97"/>
      <c r="BA834" s="97"/>
      <c r="BB834" s="97"/>
      <c r="BC834" s="97"/>
      <c r="BD834" s="97"/>
      <c r="BE834" s="97"/>
      <c r="BF834" s="97"/>
      <c r="BG834" s="97"/>
      <c r="BH834" s="97"/>
      <c r="BI834" s="97"/>
      <c r="BJ834" s="97"/>
      <c r="BK834" s="97"/>
      <c r="BL834" s="97"/>
      <c r="BM834" s="97"/>
      <c r="BN834" s="97"/>
      <c r="BO834" s="97"/>
      <c r="BP834" s="97"/>
      <c r="BQ834" s="97"/>
      <c r="BR834" s="97"/>
      <c r="BS834" s="97"/>
      <c r="BT834" s="97"/>
      <c r="BU834" s="97"/>
      <c r="BV834" s="97"/>
      <c r="BW834" s="97"/>
      <c r="BX834" s="97"/>
      <c r="BY834" s="97"/>
      <c r="BZ834" s="97"/>
      <c r="CA834" s="97"/>
      <c r="CB834" s="97"/>
      <c r="CC834" s="97"/>
      <c r="CD834" s="97"/>
      <c r="CE834" s="97"/>
      <c r="CF834" s="97"/>
      <c r="CG834" s="97"/>
      <c r="CH834" s="97"/>
      <c r="CI834" s="97"/>
      <c r="CJ834" s="97"/>
      <c r="CK834" s="97"/>
      <c r="CL834" s="97"/>
      <c r="CM834" s="97"/>
      <c r="CN834" s="97"/>
      <c r="CO834" s="97"/>
      <c r="CP834" s="97"/>
      <c r="CQ834" s="97"/>
    </row>
    <row r="835" spans="1:95" ht="14.45" hidden="1">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c r="AA835" s="97"/>
      <c r="AB835" s="97"/>
      <c r="AC835" s="97"/>
      <c r="AD835" s="97"/>
      <c r="AE835" s="97"/>
      <c r="AF835" s="97"/>
      <c r="AG835" s="97"/>
      <c r="AH835" s="97"/>
      <c r="AI835" s="97"/>
      <c r="AJ835" s="97"/>
      <c r="AK835" s="97"/>
      <c r="AL835" s="97"/>
      <c r="AM835" s="97"/>
      <c r="AN835" s="97"/>
      <c r="AO835" s="97"/>
      <c r="AP835" s="97"/>
      <c r="AQ835" s="97"/>
      <c r="AR835" s="97"/>
      <c r="AS835" s="97"/>
      <c r="AT835" s="97"/>
      <c r="AU835" s="97"/>
      <c r="AV835" s="97"/>
      <c r="AW835" s="97"/>
      <c r="AX835" s="97"/>
      <c r="AY835" s="97"/>
      <c r="AZ835" s="97"/>
      <c r="BA835" s="97"/>
      <c r="BB835" s="97"/>
      <c r="BC835" s="97"/>
      <c r="BD835" s="97"/>
      <c r="BE835" s="97"/>
      <c r="BF835" s="97"/>
      <c r="BG835" s="97"/>
      <c r="BH835" s="97"/>
      <c r="BI835" s="97"/>
      <c r="BJ835" s="97"/>
      <c r="BK835" s="97"/>
      <c r="BL835" s="97"/>
      <c r="BM835" s="97"/>
      <c r="BN835" s="97"/>
      <c r="BO835" s="97"/>
      <c r="BP835" s="97"/>
      <c r="BQ835" s="97"/>
      <c r="BR835" s="97"/>
      <c r="BS835" s="97"/>
      <c r="BT835" s="97"/>
      <c r="BU835" s="97"/>
      <c r="BV835" s="97"/>
      <c r="BW835" s="97"/>
      <c r="BX835" s="97"/>
      <c r="BY835" s="97"/>
      <c r="BZ835" s="97"/>
      <c r="CA835" s="97"/>
      <c r="CB835" s="97"/>
      <c r="CC835" s="97"/>
      <c r="CD835" s="97"/>
      <c r="CE835" s="97"/>
      <c r="CF835" s="97"/>
      <c r="CG835" s="97"/>
      <c r="CH835" s="97"/>
      <c r="CI835" s="97"/>
      <c r="CJ835" s="97"/>
      <c r="CK835" s="97"/>
      <c r="CL835" s="97"/>
      <c r="CM835" s="97"/>
      <c r="CN835" s="97"/>
      <c r="CO835" s="97"/>
      <c r="CP835" s="97"/>
      <c r="CQ835" s="97"/>
    </row>
    <row r="836" spans="1:95" ht="14.45" hidden="1">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c r="AA836" s="97"/>
      <c r="AB836" s="97"/>
      <c r="AC836" s="97"/>
      <c r="AD836" s="97"/>
      <c r="AE836" s="97"/>
      <c r="AF836" s="97"/>
      <c r="AG836" s="97"/>
      <c r="AH836" s="97"/>
      <c r="AI836" s="97"/>
      <c r="AJ836" s="97"/>
      <c r="AK836" s="97"/>
      <c r="AL836" s="97"/>
      <c r="AM836" s="97"/>
      <c r="AN836" s="97"/>
      <c r="AO836" s="97"/>
      <c r="AP836" s="97"/>
      <c r="AQ836" s="97"/>
      <c r="AR836" s="97"/>
      <c r="AS836" s="97"/>
      <c r="AT836" s="97"/>
      <c r="AU836" s="97"/>
      <c r="AV836" s="97"/>
      <c r="AW836" s="97"/>
      <c r="AX836" s="97"/>
      <c r="AY836" s="97"/>
      <c r="AZ836" s="97"/>
      <c r="BA836" s="97"/>
      <c r="BB836" s="97"/>
      <c r="BC836" s="97"/>
      <c r="BD836" s="97"/>
      <c r="BE836" s="97"/>
      <c r="BF836" s="97"/>
      <c r="BG836" s="97"/>
      <c r="BH836" s="97"/>
      <c r="BI836" s="97"/>
      <c r="BJ836" s="97"/>
      <c r="BK836" s="97"/>
      <c r="BL836" s="97"/>
      <c r="BM836" s="97"/>
      <c r="BN836" s="97"/>
      <c r="BO836" s="97"/>
      <c r="BP836" s="97"/>
      <c r="BQ836" s="97"/>
      <c r="BR836" s="97"/>
      <c r="BS836" s="97"/>
      <c r="BT836" s="97"/>
      <c r="BU836" s="97"/>
      <c r="BV836" s="97"/>
      <c r="BW836" s="97"/>
      <c r="BX836" s="97"/>
      <c r="BY836" s="97"/>
      <c r="BZ836" s="97"/>
      <c r="CA836" s="97"/>
      <c r="CB836" s="97"/>
      <c r="CC836" s="97"/>
      <c r="CD836" s="97"/>
      <c r="CE836" s="97"/>
      <c r="CF836" s="97"/>
      <c r="CG836" s="97"/>
      <c r="CH836" s="97"/>
      <c r="CI836" s="97"/>
      <c r="CJ836" s="97"/>
      <c r="CK836" s="97"/>
      <c r="CL836" s="97"/>
      <c r="CM836" s="97"/>
      <c r="CN836" s="97"/>
      <c r="CO836" s="97"/>
      <c r="CP836" s="97"/>
      <c r="CQ836" s="97"/>
    </row>
    <row r="837" spans="1:95" ht="14.45" hidden="1">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c r="AA837" s="97"/>
      <c r="AB837" s="97"/>
      <c r="AC837" s="97"/>
      <c r="AD837" s="97"/>
      <c r="AE837" s="97"/>
      <c r="AF837" s="97"/>
      <c r="AG837" s="97"/>
      <c r="AH837" s="97"/>
      <c r="AI837" s="97"/>
      <c r="AJ837" s="97"/>
      <c r="AK837" s="97"/>
      <c r="AL837" s="97"/>
      <c r="AM837" s="97"/>
      <c r="AN837" s="97"/>
      <c r="AO837" s="97"/>
      <c r="AP837" s="97"/>
      <c r="AQ837" s="97"/>
      <c r="AR837" s="97"/>
      <c r="AS837" s="97"/>
      <c r="AT837" s="97"/>
      <c r="AU837" s="97"/>
      <c r="AV837" s="97"/>
      <c r="AW837" s="97"/>
      <c r="AX837" s="97"/>
      <c r="AY837" s="97"/>
      <c r="AZ837" s="97"/>
      <c r="BA837" s="97"/>
      <c r="BB837" s="97"/>
      <c r="BC837" s="97"/>
      <c r="BD837" s="97"/>
      <c r="BE837" s="97"/>
      <c r="BF837" s="97"/>
      <c r="BG837" s="97"/>
      <c r="BH837" s="97"/>
      <c r="BI837" s="97"/>
      <c r="BJ837" s="97"/>
      <c r="BK837" s="97"/>
      <c r="BL837" s="97"/>
      <c r="BM837" s="97"/>
      <c r="BN837" s="97"/>
      <c r="BO837" s="97"/>
      <c r="BP837" s="97"/>
      <c r="BQ837" s="97"/>
      <c r="BR837" s="97"/>
      <c r="BS837" s="97"/>
      <c r="BT837" s="97"/>
      <c r="BU837" s="97"/>
      <c r="BV837" s="97"/>
      <c r="BW837" s="97"/>
      <c r="BX837" s="97"/>
      <c r="BY837" s="97"/>
      <c r="BZ837" s="97"/>
      <c r="CA837" s="97"/>
      <c r="CB837" s="97"/>
      <c r="CC837" s="97"/>
      <c r="CD837" s="97"/>
      <c r="CE837" s="97"/>
      <c r="CF837" s="97"/>
      <c r="CG837" s="97"/>
      <c r="CH837" s="97"/>
      <c r="CI837" s="97"/>
      <c r="CJ837" s="97"/>
      <c r="CK837" s="97"/>
      <c r="CL837" s="97"/>
      <c r="CM837" s="97"/>
      <c r="CN837" s="97"/>
      <c r="CO837" s="97"/>
      <c r="CP837" s="97"/>
      <c r="CQ837" s="97"/>
    </row>
    <row r="838" spans="1:95" ht="14.45" hidden="1">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97"/>
      <c r="AM838" s="97"/>
      <c r="AN838" s="97"/>
      <c r="AO838" s="97"/>
      <c r="AP838" s="97"/>
      <c r="AQ838" s="97"/>
      <c r="AR838" s="97"/>
      <c r="AS838" s="97"/>
      <c r="AT838" s="97"/>
      <c r="AU838" s="97"/>
      <c r="AV838" s="97"/>
      <c r="AW838" s="97"/>
      <c r="AX838" s="97"/>
      <c r="AY838" s="97"/>
      <c r="AZ838" s="97"/>
      <c r="BA838" s="97"/>
      <c r="BB838" s="97"/>
      <c r="BC838" s="97"/>
      <c r="BD838" s="97"/>
      <c r="BE838" s="97"/>
      <c r="BF838" s="97"/>
      <c r="BG838" s="97"/>
      <c r="BH838" s="97"/>
      <c r="BI838" s="97"/>
      <c r="BJ838" s="97"/>
      <c r="BK838" s="97"/>
      <c r="BL838" s="97"/>
      <c r="BM838" s="97"/>
      <c r="BN838" s="97"/>
      <c r="BO838" s="97"/>
      <c r="BP838" s="97"/>
      <c r="BQ838" s="97"/>
      <c r="BR838" s="97"/>
      <c r="BS838" s="97"/>
      <c r="BT838" s="97"/>
      <c r="BU838" s="97"/>
      <c r="BV838" s="97"/>
      <c r="BW838" s="97"/>
      <c r="BX838" s="97"/>
      <c r="BY838" s="97"/>
      <c r="BZ838" s="97"/>
      <c r="CA838" s="97"/>
      <c r="CB838" s="97"/>
      <c r="CC838" s="97"/>
      <c r="CD838" s="97"/>
      <c r="CE838" s="97"/>
      <c r="CF838" s="97"/>
      <c r="CG838" s="97"/>
      <c r="CH838" s="97"/>
      <c r="CI838" s="97"/>
      <c r="CJ838" s="97"/>
      <c r="CK838" s="97"/>
      <c r="CL838" s="97"/>
      <c r="CM838" s="97"/>
      <c r="CN838" s="97"/>
      <c r="CO838" s="97"/>
      <c r="CP838" s="97"/>
      <c r="CQ838" s="97"/>
    </row>
    <row r="839" spans="1:95" ht="14.45" hidden="1">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c r="AA839" s="97"/>
      <c r="AB839" s="97"/>
      <c r="AC839" s="97"/>
      <c r="AD839" s="97"/>
      <c r="AE839" s="97"/>
      <c r="AF839" s="97"/>
      <c r="AG839" s="97"/>
      <c r="AH839" s="97"/>
      <c r="AI839" s="97"/>
      <c r="AJ839" s="97"/>
      <c r="AK839" s="97"/>
      <c r="AL839" s="97"/>
      <c r="AM839" s="97"/>
      <c r="AN839" s="97"/>
      <c r="AO839" s="97"/>
      <c r="AP839" s="97"/>
      <c r="AQ839" s="97"/>
      <c r="AR839" s="97"/>
      <c r="AS839" s="97"/>
      <c r="AT839" s="97"/>
      <c r="AU839" s="97"/>
      <c r="AV839" s="97"/>
      <c r="AW839" s="97"/>
      <c r="AX839" s="97"/>
      <c r="AY839" s="97"/>
      <c r="AZ839" s="97"/>
      <c r="BA839" s="97"/>
      <c r="BB839" s="97"/>
      <c r="BC839" s="97"/>
      <c r="BD839" s="97"/>
      <c r="BE839" s="97"/>
      <c r="BF839" s="97"/>
      <c r="BG839" s="97"/>
      <c r="BH839" s="97"/>
      <c r="BI839" s="97"/>
      <c r="BJ839" s="97"/>
      <c r="BK839" s="97"/>
      <c r="BL839" s="97"/>
      <c r="BM839" s="97"/>
      <c r="BN839" s="97"/>
      <c r="BO839" s="97"/>
      <c r="BP839" s="97"/>
      <c r="BQ839" s="97"/>
      <c r="BR839" s="97"/>
      <c r="BS839" s="97"/>
      <c r="BT839" s="97"/>
      <c r="BU839" s="97"/>
      <c r="BV839" s="97"/>
      <c r="BW839" s="97"/>
      <c r="BX839" s="97"/>
      <c r="BY839" s="97"/>
      <c r="BZ839" s="97"/>
      <c r="CA839" s="97"/>
      <c r="CB839" s="97"/>
      <c r="CC839" s="97"/>
      <c r="CD839" s="97"/>
      <c r="CE839" s="97"/>
      <c r="CF839" s="97"/>
      <c r="CG839" s="97"/>
      <c r="CH839" s="97"/>
      <c r="CI839" s="97"/>
      <c r="CJ839" s="97"/>
      <c r="CK839" s="97"/>
      <c r="CL839" s="97"/>
      <c r="CM839" s="97"/>
      <c r="CN839" s="97"/>
      <c r="CO839" s="97"/>
      <c r="CP839" s="97"/>
      <c r="CQ839" s="97"/>
    </row>
    <row r="840" spans="1:95" ht="14.45" hidden="1">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c r="AA840" s="97"/>
      <c r="AB840" s="97"/>
      <c r="AC840" s="97"/>
      <c r="AD840" s="97"/>
      <c r="AE840" s="97"/>
      <c r="AF840" s="97"/>
      <c r="AG840" s="97"/>
      <c r="AH840" s="97"/>
      <c r="AI840" s="97"/>
      <c r="AJ840" s="97"/>
      <c r="AK840" s="97"/>
      <c r="AL840" s="97"/>
      <c r="AM840" s="97"/>
      <c r="AN840" s="97"/>
      <c r="AO840" s="97"/>
      <c r="AP840" s="97"/>
      <c r="AQ840" s="97"/>
      <c r="AR840" s="97"/>
      <c r="AS840" s="97"/>
      <c r="AT840" s="97"/>
      <c r="AU840" s="97"/>
      <c r="AV840" s="97"/>
      <c r="AW840" s="97"/>
      <c r="AX840" s="97"/>
      <c r="AY840" s="97"/>
      <c r="AZ840" s="97"/>
      <c r="BA840" s="97"/>
      <c r="BB840" s="97"/>
      <c r="BC840" s="97"/>
      <c r="BD840" s="97"/>
      <c r="BE840" s="97"/>
      <c r="BF840" s="97"/>
      <c r="BG840" s="97"/>
      <c r="BH840" s="97"/>
      <c r="BI840" s="97"/>
      <c r="BJ840" s="97"/>
      <c r="BK840" s="97"/>
      <c r="BL840" s="97"/>
      <c r="BM840" s="97"/>
      <c r="BN840" s="97"/>
      <c r="BO840" s="97"/>
      <c r="BP840" s="97"/>
      <c r="BQ840" s="97"/>
      <c r="BR840" s="97"/>
      <c r="BS840" s="97"/>
      <c r="BT840" s="97"/>
      <c r="BU840" s="97"/>
      <c r="BV840" s="97"/>
      <c r="BW840" s="97"/>
      <c r="BX840" s="97"/>
      <c r="BY840" s="97"/>
      <c r="BZ840" s="97"/>
      <c r="CA840" s="97"/>
      <c r="CB840" s="97"/>
      <c r="CC840" s="97"/>
      <c r="CD840" s="97"/>
      <c r="CE840" s="97"/>
      <c r="CF840" s="97"/>
      <c r="CG840" s="97"/>
      <c r="CH840" s="97"/>
      <c r="CI840" s="97"/>
      <c r="CJ840" s="97"/>
      <c r="CK840" s="97"/>
      <c r="CL840" s="97"/>
      <c r="CM840" s="97"/>
      <c r="CN840" s="97"/>
      <c r="CO840" s="97"/>
      <c r="CP840" s="97"/>
      <c r="CQ840" s="97"/>
    </row>
    <row r="841" spans="1:95" ht="14.45" hidden="1">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c r="AA841" s="97"/>
      <c r="AB841" s="97"/>
      <c r="AC841" s="97"/>
      <c r="AD841" s="97"/>
      <c r="AE841" s="97"/>
      <c r="AF841" s="97"/>
      <c r="AG841" s="97"/>
      <c r="AH841" s="97"/>
      <c r="AI841" s="97"/>
      <c r="AJ841" s="97"/>
      <c r="AK841" s="97"/>
      <c r="AL841" s="97"/>
      <c r="AM841" s="97"/>
      <c r="AN841" s="97"/>
      <c r="AO841" s="97"/>
      <c r="AP841" s="97"/>
      <c r="AQ841" s="97"/>
      <c r="AR841" s="97"/>
      <c r="AS841" s="97"/>
      <c r="AT841" s="97"/>
      <c r="AU841" s="97"/>
      <c r="AV841" s="97"/>
      <c r="AW841" s="97"/>
      <c r="AX841" s="97"/>
      <c r="AY841" s="97"/>
      <c r="AZ841" s="97"/>
      <c r="BA841" s="97"/>
      <c r="BB841" s="97"/>
      <c r="BC841" s="97"/>
      <c r="BD841" s="97"/>
      <c r="BE841" s="97"/>
      <c r="BF841" s="97"/>
      <c r="BG841" s="97"/>
      <c r="BH841" s="97"/>
      <c r="BI841" s="97"/>
      <c r="BJ841" s="97"/>
      <c r="BK841" s="97"/>
      <c r="BL841" s="97"/>
      <c r="BM841" s="97"/>
      <c r="BN841" s="97"/>
      <c r="BO841" s="97"/>
      <c r="BP841" s="97"/>
      <c r="BQ841" s="97"/>
      <c r="BR841" s="97"/>
      <c r="BS841" s="97"/>
      <c r="BT841" s="97"/>
      <c r="BU841" s="97"/>
      <c r="BV841" s="97"/>
      <c r="BW841" s="97"/>
      <c r="BX841" s="97"/>
      <c r="BY841" s="97"/>
      <c r="BZ841" s="97"/>
      <c r="CA841" s="97"/>
      <c r="CB841" s="97"/>
      <c r="CC841" s="97"/>
      <c r="CD841" s="97"/>
      <c r="CE841" s="97"/>
      <c r="CF841" s="97"/>
      <c r="CG841" s="97"/>
      <c r="CH841" s="97"/>
      <c r="CI841" s="97"/>
      <c r="CJ841" s="97"/>
      <c r="CK841" s="97"/>
      <c r="CL841" s="97"/>
      <c r="CM841" s="97"/>
      <c r="CN841" s="97"/>
      <c r="CO841" s="97"/>
      <c r="CP841" s="97"/>
      <c r="CQ841" s="97"/>
    </row>
    <row r="842" spans="1:95" ht="14.45" hidden="1">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97"/>
      <c r="AH842" s="97"/>
      <c r="AI842" s="97"/>
      <c r="AJ842" s="97"/>
      <c r="AK842" s="97"/>
      <c r="AL842" s="97"/>
      <c r="AM842" s="97"/>
      <c r="AN842" s="97"/>
      <c r="AO842" s="97"/>
      <c r="AP842" s="97"/>
      <c r="AQ842" s="97"/>
      <c r="AR842" s="97"/>
      <c r="AS842" s="97"/>
      <c r="AT842" s="97"/>
      <c r="AU842" s="97"/>
      <c r="AV842" s="97"/>
      <c r="AW842" s="97"/>
      <c r="AX842" s="97"/>
      <c r="AY842" s="97"/>
      <c r="AZ842" s="97"/>
      <c r="BA842" s="97"/>
      <c r="BB842" s="97"/>
      <c r="BC842" s="97"/>
      <c r="BD842" s="97"/>
      <c r="BE842" s="97"/>
      <c r="BF842" s="97"/>
      <c r="BG842" s="97"/>
      <c r="BH842" s="97"/>
      <c r="BI842" s="97"/>
      <c r="BJ842" s="97"/>
      <c r="BK842" s="97"/>
      <c r="BL842" s="97"/>
      <c r="BM842" s="97"/>
      <c r="BN842" s="97"/>
      <c r="BO842" s="97"/>
      <c r="BP842" s="97"/>
      <c r="BQ842" s="97"/>
      <c r="BR842" s="97"/>
      <c r="BS842" s="97"/>
      <c r="BT842" s="97"/>
      <c r="BU842" s="97"/>
      <c r="BV842" s="97"/>
      <c r="BW842" s="97"/>
      <c r="BX842" s="97"/>
      <c r="BY842" s="97"/>
      <c r="BZ842" s="97"/>
      <c r="CA842" s="97"/>
      <c r="CB842" s="97"/>
      <c r="CC842" s="97"/>
      <c r="CD842" s="97"/>
      <c r="CE842" s="97"/>
      <c r="CF842" s="97"/>
      <c r="CG842" s="97"/>
      <c r="CH842" s="97"/>
      <c r="CI842" s="97"/>
      <c r="CJ842" s="97"/>
      <c r="CK842" s="97"/>
      <c r="CL842" s="97"/>
      <c r="CM842" s="97"/>
      <c r="CN842" s="97"/>
      <c r="CO842" s="97"/>
      <c r="CP842" s="97"/>
      <c r="CQ842" s="97"/>
    </row>
    <row r="843" spans="1:95" ht="14.45" hidden="1">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7"/>
      <c r="AW843" s="97"/>
      <c r="AX843" s="97"/>
      <c r="AY843" s="97"/>
      <c r="AZ843" s="97"/>
      <c r="BA843" s="97"/>
      <c r="BB843" s="97"/>
      <c r="BC843" s="97"/>
      <c r="BD843" s="97"/>
      <c r="BE843" s="97"/>
      <c r="BF843" s="97"/>
      <c r="BG843" s="97"/>
      <c r="BH843" s="97"/>
      <c r="BI843" s="97"/>
      <c r="BJ843" s="97"/>
      <c r="BK843" s="97"/>
      <c r="BL843" s="97"/>
      <c r="BM843" s="97"/>
      <c r="BN843" s="97"/>
      <c r="BO843" s="97"/>
      <c r="BP843" s="97"/>
      <c r="BQ843" s="97"/>
      <c r="BR843" s="97"/>
      <c r="BS843" s="97"/>
      <c r="BT843" s="97"/>
      <c r="BU843" s="97"/>
      <c r="BV843" s="97"/>
      <c r="BW843" s="97"/>
      <c r="BX843" s="97"/>
      <c r="BY843" s="97"/>
      <c r="BZ843" s="97"/>
      <c r="CA843" s="97"/>
      <c r="CB843" s="97"/>
      <c r="CC843" s="97"/>
      <c r="CD843" s="97"/>
      <c r="CE843" s="97"/>
      <c r="CF843" s="97"/>
      <c r="CG843" s="97"/>
      <c r="CH843" s="97"/>
      <c r="CI843" s="97"/>
      <c r="CJ843" s="97"/>
      <c r="CK843" s="97"/>
      <c r="CL843" s="97"/>
      <c r="CM843" s="97"/>
      <c r="CN843" s="97"/>
      <c r="CO843" s="97"/>
      <c r="CP843" s="97"/>
      <c r="CQ843" s="97"/>
    </row>
    <row r="844" spans="1:95" ht="14.45" hidden="1">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c r="AA844" s="97"/>
      <c r="AB844" s="97"/>
      <c r="AC844" s="97"/>
      <c r="AD844" s="97"/>
      <c r="AE844" s="97"/>
      <c r="AF844" s="97"/>
      <c r="AG844" s="97"/>
      <c r="AH844" s="97"/>
      <c r="AI844" s="97"/>
      <c r="AJ844" s="97"/>
      <c r="AK844" s="97"/>
      <c r="AL844" s="97"/>
      <c r="AM844" s="97"/>
      <c r="AN844" s="97"/>
      <c r="AO844" s="97"/>
      <c r="AP844" s="97"/>
      <c r="AQ844" s="97"/>
      <c r="AR844" s="97"/>
      <c r="AS844" s="97"/>
      <c r="AT844" s="97"/>
      <c r="AU844" s="97"/>
      <c r="AV844" s="97"/>
      <c r="AW844" s="97"/>
      <c r="AX844" s="97"/>
      <c r="AY844" s="97"/>
      <c r="AZ844" s="97"/>
      <c r="BA844" s="97"/>
      <c r="BB844" s="97"/>
      <c r="BC844" s="97"/>
      <c r="BD844" s="97"/>
      <c r="BE844" s="97"/>
      <c r="BF844" s="97"/>
      <c r="BG844" s="97"/>
      <c r="BH844" s="97"/>
      <c r="BI844" s="97"/>
      <c r="BJ844" s="97"/>
      <c r="BK844" s="97"/>
      <c r="BL844" s="97"/>
      <c r="BM844" s="97"/>
      <c r="BN844" s="97"/>
      <c r="BO844" s="97"/>
      <c r="BP844" s="97"/>
      <c r="BQ844" s="97"/>
      <c r="BR844" s="97"/>
      <c r="BS844" s="97"/>
      <c r="BT844" s="97"/>
      <c r="BU844" s="97"/>
      <c r="BV844" s="97"/>
      <c r="BW844" s="97"/>
      <c r="BX844" s="97"/>
      <c r="BY844" s="97"/>
      <c r="BZ844" s="97"/>
      <c r="CA844" s="97"/>
      <c r="CB844" s="97"/>
      <c r="CC844" s="97"/>
      <c r="CD844" s="97"/>
      <c r="CE844" s="97"/>
      <c r="CF844" s="97"/>
      <c r="CG844" s="97"/>
      <c r="CH844" s="97"/>
      <c r="CI844" s="97"/>
      <c r="CJ844" s="97"/>
      <c r="CK844" s="97"/>
      <c r="CL844" s="97"/>
      <c r="CM844" s="97"/>
      <c r="CN844" s="97"/>
      <c r="CO844" s="97"/>
      <c r="CP844" s="97"/>
      <c r="CQ844" s="97"/>
    </row>
    <row r="845" spans="1:95" ht="14.45" hidden="1">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c r="AA845" s="97"/>
      <c r="AB845" s="97"/>
      <c r="AC845" s="97"/>
      <c r="AD845" s="97"/>
      <c r="AE845" s="97"/>
      <c r="AF845" s="97"/>
      <c r="AG845" s="97"/>
      <c r="AH845" s="97"/>
      <c r="AI845" s="97"/>
      <c r="AJ845" s="97"/>
      <c r="AK845" s="97"/>
      <c r="AL845" s="97"/>
      <c r="AM845" s="97"/>
      <c r="AN845" s="97"/>
      <c r="AO845" s="97"/>
      <c r="AP845" s="97"/>
      <c r="AQ845" s="97"/>
      <c r="AR845" s="97"/>
      <c r="AS845" s="97"/>
      <c r="AT845" s="97"/>
      <c r="AU845" s="97"/>
      <c r="AV845" s="97"/>
      <c r="AW845" s="97"/>
      <c r="AX845" s="97"/>
      <c r="AY845" s="97"/>
      <c r="AZ845" s="97"/>
      <c r="BA845" s="97"/>
      <c r="BB845" s="97"/>
      <c r="BC845" s="97"/>
      <c r="BD845" s="97"/>
      <c r="BE845" s="97"/>
      <c r="BF845" s="97"/>
      <c r="BG845" s="97"/>
      <c r="BH845" s="97"/>
      <c r="BI845" s="97"/>
      <c r="BJ845" s="97"/>
      <c r="BK845" s="97"/>
      <c r="BL845" s="97"/>
      <c r="BM845" s="97"/>
      <c r="BN845" s="97"/>
      <c r="BO845" s="97"/>
      <c r="BP845" s="97"/>
      <c r="BQ845" s="97"/>
      <c r="BR845" s="97"/>
      <c r="BS845" s="97"/>
      <c r="BT845" s="97"/>
      <c r="BU845" s="97"/>
      <c r="BV845" s="97"/>
      <c r="BW845" s="97"/>
      <c r="BX845" s="97"/>
      <c r="BY845" s="97"/>
      <c r="BZ845" s="97"/>
      <c r="CA845" s="97"/>
      <c r="CB845" s="97"/>
      <c r="CC845" s="97"/>
      <c r="CD845" s="97"/>
      <c r="CE845" s="97"/>
      <c r="CF845" s="97"/>
      <c r="CG845" s="97"/>
      <c r="CH845" s="97"/>
      <c r="CI845" s="97"/>
      <c r="CJ845" s="97"/>
      <c r="CK845" s="97"/>
      <c r="CL845" s="97"/>
      <c r="CM845" s="97"/>
      <c r="CN845" s="97"/>
      <c r="CO845" s="97"/>
      <c r="CP845" s="97"/>
      <c r="CQ845" s="97"/>
    </row>
    <row r="846" spans="1:95" ht="14.45" hidden="1">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c r="AA846" s="97"/>
      <c r="AB846" s="97"/>
      <c r="AC846" s="97"/>
      <c r="AD846" s="97"/>
      <c r="AE846" s="97"/>
      <c r="AF846" s="97"/>
      <c r="AG846" s="97"/>
      <c r="AH846" s="97"/>
      <c r="AI846" s="97"/>
      <c r="AJ846" s="97"/>
      <c r="AK846" s="97"/>
      <c r="AL846" s="97"/>
      <c r="AM846" s="97"/>
      <c r="AN846" s="97"/>
      <c r="AO846" s="97"/>
      <c r="AP846" s="97"/>
      <c r="AQ846" s="97"/>
      <c r="AR846" s="97"/>
      <c r="AS846" s="97"/>
      <c r="AT846" s="97"/>
      <c r="AU846" s="97"/>
      <c r="AV846" s="97"/>
      <c r="AW846" s="97"/>
      <c r="AX846" s="97"/>
      <c r="AY846" s="97"/>
      <c r="AZ846" s="97"/>
      <c r="BA846" s="97"/>
      <c r="BB846" s="97"/>
      <c r="BC846" s="97"/>
      <c r="BD846" s="97"/>
      <c r="BE846" s="97"/>
      <c r="BF846" s="97"/>
      <c r="BG846" s="97"/>
      <c r="BH846" s="97"/>
      <c r="BI846" s="97"/>
      <c r="BJ846" s="97"/>
      <c r="BK846" s="97"/>
      <c r="BL846" s="97"/>
      <c r="BM846" s="97"/>
      <c r="BN846" s="97"/>
      <c r="BO846" s="97"/>
      <c r="BP846" s="97"/>
      <c r="BQ846" s="97"/>
      <c r="BR846" s="97"/>
      <c r="BS846" s="97"/>
      <c r="BT846" s="97"/>
      <c r="BU846" s="97"/>
      <c r="BV846" s="97"/>
      <c r="BW846" s="97"/>
      <c r="BX846" s="97"/>
      <c r="BY846" s="97"/>
      <c r="BZ846" s="97"/>
      <c r="CA846" s="97"/>
      <c r="CB846" s="97"/>
      <c r="CC846" s="97"/>
      <c r="CD846" s="97"/>
      <c r="CE846" s="97"/>
      <c r="CF846" s="97"/>
      <c r="CG846" s="97"/>
      <c r="CH846" s="97"/>
      <c r="CI846" s="97"/>
      <c r="CJ846" s="97"/>
      <c r="CK846" s="97"/>
      <c r="CL846" s="97"/>
      <c r="CM846" s="97"/>
      <c r="CN846" s="97"/>
      <c r="CO846" s="97"/>
      <c r="CP846" s="97"/>
      <c r="CQ846" s="97"/>
    </row>
    <row r="847" spans="1:95" ht="14.45" hidden="1">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c r="AA847" s="97"/>
      <c r="AB847" s="97"/>
      <c r="AC847" s="97"/>
      <c r="AD847" s="97"/>
      <c r="AE847" s="97"/>
      <c r="AF847" s="97"/>
      <c r="AG847" s="97"/>
      <c r="AH847" s="97"/>
      <c r="AI847" s="97"/>
      <c r="AJ847" s="97"/>
      <c r="AK847" s="97"/>
      <c r="AL847" s="97"/>
      <c r="AM847" s="97"/>
      <c r="AN847" s="97"/>
      <c r="AO847" s="97"/>
      <c r="AP847" s="97"/>
      <c r="AQ847" s="97"/>
      <c r="AR847" s="97"/>
      <c r="AS847" s="97"/>
      <c r="AT847" s="97"/>
      <c r="AU847" s="97"/>
      <c r="AV847" s="97"/>
      <c r="AW847" s="97"/>
      <c r="AX847" s="97"/>
      <c r="AY847" s="97"/>
      <c r="AZ847" s="97"/>
      <c r="BA847" s="97"/>
      <c r="BB847" s="97"/>
      <c r="BC847" s="97"/>
      <c r="BD847" s="97"/>
      <c r="BE847" s="97"/>
      <c r="BF847" s="97"/>
      <c r="BG847" s="97"/>
      <c r="BH847" s="97"/>
      <c r="BI847" s="97"/>
      <c r="BJ847" s="97"/>
      <c r="BK847" s="97"/>
      <c r="BL847" s="97"/>
      <c r="BM847" s="97"/>
      <c r="BN847" s="97"/>
      <c r="BO847" s="97"/>
      <c r="BP847" s="97"/>
      <c r="BQ847" s="97"/>
      <c r="BR847" s="97"/>
      <c r="BS847" s="97"/>
      <c r="BT847" s="97"/>
      <c r="BU847" s="97"/>
      <c r="BV847" s="97"/>
      <c r="BW847" s="97"/>
      <c r="BX847" s="97"/>
      <c r="BY847" s="97"/>
      <c r="BZ847" s="97"/>
      <c r="CA847" s="97"/>
      <c r="CB847" s="97"/>
      <c r="CC847" s="97"/>
      <c r="CD847" s="97"/>
      <c r="CE847" s="97"/>
      <c r="CF847" s="97"/>
      <c r="CG847" s="97"/>
      <c r="CH847" s="97"/>
      <c r="CI847" s="97"/>
      <c r="CJ847" s="97"/>
      <c r="CK847" s="97"/>
      <c r="CL847" s="97"/>
      <c r="CM847" s="97"/>
      <c r="CN847" s="97"/>
      <c r="CO847" s="97"/>
      <c r="CP847" s="97"/>
      <c r="CQ847" s="97"/>
    </row>
    <row r="848" spans="1:95" ht="14.45" hidden="1">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c r="AA848" s="97"/>
      <c r="AB848" s="97"/>
      <c r="AC848" s="97"/>
      <c r="AD848" s="97"/>
      <c r="AE848" s="97"/>
      <c r="AF848" s="97"/>
      <c r="AG848" s="97"/>
      <c r="AH848" s="97"/>
      <c r="AI848" s="97"/>
      <c r="AJ848" s="97"/>
      <c r="AK848" s="97"/>
      <c r="AL848" s="97"/>
      <c r="AM848" s="97"/>
      <c r="AN848" s="97"/>
      <c r="AO848" s="97"/>
      <c r="AP848" s="97"/>
      <c r="AQ848" s="97"/>
      <c r="AR848" s="97"/>
      <c r="AS848" s="97"/>
      <c r="AT848" s="97"/>
      <c r="AU848" s="97"/>
      <c r="AV848" s="97"/>
      <c r="AW848" s="97"/>
      <c r="AX848" s="97"/>
      <c r="AY848" s="97"/>
      <c r="AZ848" s="97"/>
      <c r="BA848" s="97"/>
      <c r="BB848" s="97"/>
      <c r="BC848" s="97"/>
      <c r="BD848" s="97"/>
      <c r="BE848" s="97"/>
      <c r="BF848" s="97"/>
      <c r="BG848" s="97"/>
      <c r="BH848" s="97"/>
      <c r="BI848" s="97"/>
      <c r="BJ848" s="97"/>
      <c r="BK848" s="97"/>
      <c r="BL848" s="97"/>
      <c r="BM848" s="97"/>
      <c r="BN848" s="97"/>
      <c r="BO848" s="97"/>
      <c r="BP848" s="97"/>
      <c r="BQ848" s="97"/>
      <c r="BR848" s="97"/>
      <c r="BS848" s="97"/>
      <c r="BT848" s="97"/>
      <c r="BU848" s="97"/>
      <c r="BV848" s="97"/>
      <c r="BW848" s="97"/>
      <c r="BX848" s="97"/>
      <c r="BY848" s="97"/>
      <c r="BZ848" s="97"/>
      <c r="CA848" s="97"/>
      <c r="CB848" s="97"/>
      <c r="CC848" s="97"/>
      <c r="CD848" s="97"/>
      <c r="CE848" s="97"/>
      <c r="CF848" s="97"/>
      <c r="CG848" s="97"/>
      <c r="CH848" s="97"/>
      <c r="CI848" s="97"/>
      <c r="CJ848" s="97"/>
      <c r="CK848" s="97"/>
      <c r="CL848" s="97"/>
      <c r="CM848" s="97"/>
      <c r="CN848" s="97"/>
      <c r="CO848" s="97"/>
      <c r="CP848" s="97"/>
      <c r="CQ848" s="97"/>
    </row>
    <row r="849" spans="1:95" ht="14.45" hidden="1">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c r="AA849" s="97"/>
      <c r="AB849" s="97"/>
      <c r="AC849" s="97"/>
      <c r="AD849" s="97"/>
      <c r="AE849" s="97"/>
      <c r="AF849" s="97"/>
      <c r="AG849" s="97"/>
      <c r="AH849" s="97"/>
      <c r="AI849" s="97"/>
      <c r="AJ849" s="97"/>
      <c r="AK849" s="97"/>
      <c r="AL849" s="97"/>
      <c r="AM849" s="97"/>
      <c r="AN849" s="97"/>
      <c r="AO849" s="97"/>
      <c r="AP849" s="97"/>
      <c r="AQ849" s="97"/>
      <c r="AR849" s="97"/>
      <c r="AS849" s="97"/>
      <c r="AT849" s="97"/>
      <c r="AU849" s="97"/>
      <c r="AV849" s="97"/>
      <c r="AW849" s="97"/>
      <c r="AX849" s="97"/>
      <c r="AY849" s="97"/>
      <c r="AZ849" s="97"/>
      <c r="BA849" s="97"/>
      <c r="BB849" s="97"/>
      <c r="BC849" s="97"/>
      <c r="BD849" s="97"/>
      <c r="BE849" s="97"/>
      <c r="BF849" s="97"/>
      <c r="BG849" s="97"/>
      <c r="BH849" s="97"/>
      <c r="BI849" s="97"/>
      <c r="BJ849" s="97"/>
      <c r="BK849" s="97"/>
      <c r="BL849" s="97"/>
      <c r="BM849" s="97"/>
      <c r="BN849" s="97"/>
      <c r="BO849" s="97"/>
      <c r="BP849" s="97"/>
      <c r="BQ849" s="97"/>
      <c r="BR849" s="97"/>
      <c r="BS849" s="97"/>
      <c r="BT849" s="97"/>
      <c r="BU849" s="97"/>
      <c r="BV849" s="97"/>
      <c r="BW849" s="97"/>
      <c r="BX849" s="97"/>
      <c r="BY849" s="97"/>
      <c r="BZ849" s="97"/>
      <c r="CA849" s="97"/>
      <c r="CB849" s="97"/>
      <c r="CC849" s="97"/>
      <c r="CD849" s="97"/>
      <c r="CE849" s="97"/>
      <c r="CF849" s="97"/>
      <c r="CG849" s="97"/>
      <c r="CH849" s="97"/>
      <c r="CI849" s="97"/>
      <c r="CJ849" s="97"/>
      <c r="CK849" s="97"/>
      <c r="CL849" s="97"/>
      <c r="CM849" s="97"/>
      <c r="CN849" s="97"/>
      <c r="CO849" s="97"/>
      <c r="CP849" s="97"/>
      <c r="CQ849" s="97"/>
    </row>
    <row r="850" spans="1:95" ht="14.45" hidden="1">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c r="AA850" s="97"/>
      <c r="AB850" s="97"/>
      <c r="AC850" s="97"/>
      <c r="AD850" s="97"/>
      <c r="AE850" s="97"/>
      <c r="AF850" s="97"/>
      <c r="AG850" s="97"/>
      <c r="AH850" s="97"/>
      <c r="AI850" s="97"/>
      <c r="AJ850" s="97"/>
      <c r="AK850" s="97"/>
      <c r="AL850" s="97"/>
      <c r="AM850" s="97"/>
      <c r="AN850" s="97"/>
      <c r="AO850" s="97"/>
      <c r="AP850" s="97"/>
      <c r="AQ850" s="97"/>
      <c r="AR850" s="97"/>
      <c r="AS850" s="97"/>
      <c r="AT850" s="97"/>
      <c r="AU850" s="97"/>
      <c r="AV850" s="97"/>
      <c r="AW850" s="97"/>
      <c r="AX850" s="97"/>
      <c r="AY850" s="97"/>
      <c r="AZ850" s="97"/>
      <c r="BA850" s="97"/>
      <c r="BB850" s="97"/>
      <c r="BC850" s="97"/>
      <c r="BD850" s="97"/>
      <c r="BE850" s="97"/>
      <c r="BF850" s="97"/>
      <c r="BG850" s="97"/>
      <c r="BH850" s="97"/>
      <c r="BI850" s="97"/>
      <c r="BJ850" s="97"/>
      <c r="BK850" s="97"/>
      <c r="BL850" s="97"/>
      <c r="BM850" s="97"/>
      <c r="BN850" s="97"/>
      <c r="BO850" s="97"/>
      <c r="BP850" s="97"/>
      <c r="BQ850" s="97"/>
      <c r="BR850" s="97"/>
      <c r="BS850" s="97"/>
      <c r="BT850" s="97"/>
      <c r="BU850" s="97"/>
      <c r="BV850" s="97"/>
      <c r="BW850" s="97"/>
      <c r="BX850" s="97"/>
      <c r="BY850" s="97"/>
      <c r="BZ850" s="97"/>
      <c r="CA850" s="97"/>
      <c r="CB850" s="97"/>
      <c r="CC850" s="97"/>
      <c r="CD850" s="97"/>
      <c r="CE850" s="97"/>
      <c r="CF850" s="97"/>
      <c r="CG850" s="97"/>
      <c r="CH850" s="97"/>
      <c r="CI850" s="97"/>
      <c r="CJ850" s="97"/>
      <c r="CK850" s="97"/>
      <c r="CL850" s="97"/>
      <c r="CM850" s="97"/>
      <c r="CN850" s="97"/>
      <c r="CO850" s="97"/>
      <c r="CP850" s="97"/>
      <c r="CQ850" s="97"/>
    </row>
    <row r="851" spans="1:95" ht="14.45" hidden="1">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c r="AA851" s="97"/>
      <c r="AB851" s="97"/>
      <c r="AC851" s="97"/>
      <c r="AD851" s="97"/>
      <c r="AE851" s="97"/>
      <c r="AF851" s="97"/>
      <c r="AG851" s="97"/>
      <c r="AH851" s="97"/>
      <c r="AI851" s="97"/>
      <c r="AJ851" s="97"/>
      <c r="AK851" s="97"/>
      <c r="AL851" s="97"/>
      <c r="AM851" s="97"/>
      <c r="AN851" s="97"/>
      <c r="AO851" s="97"/>
      <c r="AP851" s="97"/>
      <c r="AQ851" s="97"/>
      <c r="AR851" s="97"/>
      <c r="AS851" s="97"/>
      <c r="AT851" s="97"/>
      <c r="AU851" s="97"/>
      <c r="AV851" s="97"/>
      <c r="AW851" s="97"/>
      <c r="AX851" s="97"/>
      <c r="AY851" s="97"/>
      <c r="AZ851" s="97"/>
      <c r="BA851" s="97"/>
      <c r="BB851" s="97"/>
      <c r="BC851" s="97"/>
      <c r="BD851" s="97"/>
      <c r="BE851" s="97"/>
      <c r="BF851" s="97"/>
      <c r="BG851" s="97"/>
      <c r="BH851" s="97"/>
      <c r="BI851" s="97"/>
      <c r="BJ851" s="97"/>
      <c r="BK851" s="97"/>
      <c r="BL851" s="97"/>
      <c r="BM851" s="97"/>
      <c r="BN851" s="97"/>
      <c r="BO851" s="97"/>
      <c r="BP851" s="97"/>
      <c r="BQ851" s="97"/>
      <c r="BR851" s="97"/>
      <c r="BS851" s="97"/>
      <c r="BT851" s="97"/>
      <c r="BU851" s="97"/>
      <c r="BV851" s="97"/>
      <c r="BW851" s="97"/>
      <c r="BX851" s="97"/>
      <c r="BY851" s="97"/>
      <c r="BZ851" s="97"/>
      <c r="CA851" s="97"/>
      <c r="CB851" s="97"/>
      <c r="CC851" s="97"/>
      <c r="CD851" s="97"/>
      <c r="CE851" s="97"/>
      <c r="CF851" s="97"/>
      <c r="CG851" s="97"/>
      <c r="CH851" s="97"/>
      <c r="CI851" s="97"/>
      <c r="CJ851" s="97"/>
      <c r="CK851" s="97"/>
      <c r="CL851" s="97"/>
      <c r="CM851" s="97"/>
      <c r="CN851" s="97"/>
      <c r="CO851" s="97"/>
      <c r="CP851" s="97"/>
      <c r="CQ851" s="97"/>
    </row>
    <row r="852" spans="1:95" ht="14.45" hidden="1">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c r="AA852" s="97"/>
      <c r="AB852" s="97"/>
      <c r="AC852" s="97"/>
      <c r="AD852" s="97"/>
      <c r="AE852" s="97"/>
      <c r="AF852" s="97"/>
      <c r="AG852" s="97"/>
      <c r="AH852" s="97"/>
      <c r="AI852" s="97"/>
      <c r="AJ852" s="97"/>
      <c r="AK852" s="97"/>
      <c r="AL852" s="97"/>
      <c r="AM852" s="97"/>
      <c r="AN852" s="97"/>
      <c r="AO852" s="97"/>
      <c r="AP852" s="97"/>
      <c r="AQ852" s="97"/>
      <c r="AR852" s="97"/>
      <c r="AS852" s="97"/>
      <c r="AT852" s="97"/>
      <c r="AU852" s="97"/>
      <c r="AV852" s="97"/>
      <c r="AW852" s="97"/>
      <c r="AX852" s="97"/>
      <c r="AY852" s="97"/>
      <c r="AZ852" s="97"/>
      <c r="BA852" s="97"/>
      <c r="BB852" s="97"/>
      <c r="BC852" s="97"/>
      <c r="BD852" s="97"/>
      <c r="BE852" s="97"/>
      <c r="BF852" s="97"/>
      <c r="BG852" s="97"/>
      <c r="BH852" s="97"/>
      <c r="BI852" s="97"/>
      <c r="BJ852" s="97"/>
      <c r="BK852" s="97"/>
      <c r="BL852" s="97"/>
      <c r="BM852" s="97"/>
      <c r="BN852" s="97"/>
      <c r="BO852" s="97"/>
      <c r="BP852" s="97"/>
      <c r="BQ852" s="97"/>
      <c r="BR852" s="97"/>
      <c r="BS852" s="97"/>
      <c r="BT852" s="97"/>
      <c r="BU852" s="97"/>
      <c r="BV852" s="97"/>
      <c r="BW852" s="97"/>
      <c r="BX852" s="97"/>
      <c r="BY852" s="97"/>
      <c r="BZ852" s="97"/>
      <c r="CA852" s="97"/>
      <c r="CB852" s="97"/>
      <c r="CC852" s="97"/>
      <c r="CD852" s="97"/>
      <c r="CE852" s="97"/>
      <c r="CF852" s="97"/>
      <c r="CG852" s="97"/>
      <c r="CH852" s="97"/>
      <c r="CI852" s="97"/>
      <c r="CJ852" s="97"/>
      <c r="CK852" s="97"/>
      <c r="CL852" s="97"/>
      <c r="CM852" s="97"/>
      <c r="CN852" s="97"/>
      <c r="CO852" s="97"/>
      <c r="CP852" s="97"/>
      <c r="CQ852" s="97"/>
    </row>
    <row r="853" spans="1:95" ht="14.45" hidden="1">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c r="AA853" s="97"/>
      <c r="AB853" s="97"/>
      <c r="AC853" s="97"/>
      <c r="AD853" s="97"/>
      <c r="AE853" s="97"/>
      <c r="AF853" s="97"/>
      <c r="AG853" s="97"/>
      <c r="AH853" s="97"/>
      <c r="AI853" s="97"/>
      <c r="AJ853" s="97"/>
      <c r="AK853" s="97"/>
      <c r="AL853" s="97"/>
      <c r="AM853" s="97"/>
      <c r="AN853" s="97"/>
      <c r="AO853" s="97"/>
      <c r="AP853" s="97"/>
      <c r="AQ853" s="97"/>
      <c r="AR853" s="97"/>
      <c r="AS853" s="97"/>
      <c r="AT853" s="97"/>
      <c r="AU853" s="97"/>
      <c r="AV853" s="97"/>
      <c r="AW853" s="97"/>
      <c r="AX853" s="97"/>
      <c r="AY853" s="97"/>
      <c r="AZ853" s="97"/>
      <c r="BA853" s="97"/>
      <c r="BB853" s="97"/>
      <c r="BC853" s="97"/>
      <c r="BD853" s="97"/>
      <c r="BE853" s="97"/>
      <c r="BF853" s="97"/>
      <c r="BG853" s="97"/>
      <c r="BH853" s="97"/>
      <c r="BI853" s="97"/>
      <c r="BJ853" s="97"/>
      <c r="BK853" s="97"/>
      <c r="BL853" s="97"/>
      <c r="BM853" s="97"/>
      <c r="BN853" s="97"/>
      <c r="BO853" s="97"/>
      <c r="BP853" s="97"/>
      <c r="BQ853" s="97"/>
      <c r="BR853" s="97"/>
      <c r="BS853" s="97"/>
      <c r="BT853" s="97"/>
      <c r="BU853" s="97"/>
      <c r="BV853" s="97"/>
      <c r="BW853" s="97"/>
      <c r="BX853" s="97"/>
      <c r="BY853" s="97"/>
      <c r="BZ853" s="97"/>
      <c r="CA853" s="97"/>
      <c r="CB853" s="97"/>
      <c r="CC853" s="97"/>
      <c r="CD853" s="97"/>
      <c r="CE853" s="97"/>
      <c r="CF853" s="97"/>
      <c r="CG853" s="97"/>
      <c r="CH853" s="97"/>
      <c r="CI853" s="97"/>
      <c r="CJ853" s="97"/>
      <c r="CK853" s="97"/>
      <c r="CL853" s="97"/>
      <c r="CM853" s="97"/>
      <c r="CN853" s="97"/>
      <c r="CO853" s="97"/>
      <c r="CP853" s="97"/>
      <c r="CQ853" s="97"/>
    </row>
    <row r="854" spans="1:95" ht="14.45" hidden="1">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c r="AA854" s="97"/>
      <c r="AB854" s="97"/>
      <c r="AC854" s="97"/>
      <c r="AD854" s="97"/>
      <c r="AE854" s="97"/>
      <c r="AF854" s="97"/>
      <c r="AG854" s="97"/>
      <c r="AH854" s="97"/>
      <c r="AI854" s="97"/>
      <c r="AJ854" s="97"/>
      <c r="AK854" s="97"/>
      <c r="AL854" s="97"/>
      <c r="AM854" s="97"/>
      <c r="AN854" s="97"/>
      <c r="AO854" s="97"/>
      <c r="AP854" s="97"/>
      <c r="AQ854" s="97"/>
      <c r="AR854" s="97"/>
      <c r="AS854" s="97"/>
      <c r="AT854" s="97"/>
      <c r="AU854" s="97"/>
      <c r="AV854" s="97"/>
      <c r="AW854" s="97"/>
      <c r="AX854" s="97"/>
      <c r="AY854" s="97"/>
      <c r="AZ854" s="97"/>
      <c r="BA854" s="97"/>
      <c r="BB854" s="97"/>
      <c r="BC854" s="97"/>
      <c r="BD854" s="97"/>
      <c r="BE854" s="97"/>
      <c r="BF854" s="97"/>
      <c r="BG854" s="97"/>
      <c r="BH854" s="97"/>
      <c r="BI854" s="97"/>
      <c r="BJ854" s="97"/>
      <c r="BK854" s="97"/>
      <c r="BL854" s="97"/>
      <c r="BM854" s="97"/>
      <c r="BN854" s="97"/>
      <c r="BO854" s="97"/>
      <c r="BP854" s="97"/>
      <c r="BQ854" s="97"/>
      <c r="BR854" s="97"/>
      <c r="BS854" s="97"/>
      <c r="BT854" s="97"/>
      <c r="BU854" s="97"/>
      <c r="BV854" s="97"/>
      <c r="BW854" s="97"/>
      <c r="BX854" s="97"/>
      <c r="BY854" s="97"/>
      <c r="BZ854" s="97"/>
      <c r="CA854" s="97"/>
      <c r="CB854" s="97"/>
      <c r="CC854" s="97"/>
      <c r="CD854" s="97"/>
      <c r="CE854" s="97"/>
      <c r="CF854" s="97"/>
      <c r="CG854" s="97"/>
      <c r="CH854" s="97"/>
      <c r="CI854" s="97"/>
      <c r="CJ854" s="97"/>
      <c r="CK854" s="97"/>
      <c r="CL854" s="97"/>
      <c r="CM854" s="97"/>
      <c r="CN854" s="97"/>
      <c r="CO854" s="97"/>
      <c r="CP854" s="97"/>
      <c r="CQ854" s="97"/>
    </row>
    <row r="855" spans="1:95" ht="14.45" hidden="1">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c r="AA855" s="97"/>
      <c r="AB855" s="97"/>
      <c r="AC855" s="97"/>
      <c r="AD855" s="97"/>
      <c r="AE855" s="97"/>
      <c r="AF855" s="97"/>
      <c r="AG855" s="97"/>
      <c r="AH855" s="97"/>
      <c r="AI855" s="97"/>
      <c r="AJ855" s="97"/>
      <c r="AK855" s="97"/>
      <c r="AL855" s="97"/>
      <c r="AM855" s="97"/>
      <c r="AN855" s="97"/>
      <c r="AO855" s="97"/>
      <c r="AP855" s="97"/>
      <c r="AQ855" s="97"/>
      <c r="AR855" s="97"/>
      <c r="AS855" s="97"/>
      <c r="AT855" s="97"/>
      <c r="AU855" s="97"/>
      <c r="AV855" s="97"/>
      <c r="AW855" s="97"/>
      <c r="AX855" s="97"/>
      <c r="AY855" s="97"/>
      <c r="AZ855" s="97"/>
      <c r="BA855" s="97"/>
      <c r="BB855" s="97"/>
      <c r="BC855" s="97"/>
      <c r="BD855" s="97"/>
      <c r="BE855" s="97"/>
      <c r="BF855" s="97"/>
      <c r="BG855" s="97"/>
      <c r="BH855" s="97"/>
      <c r="BI855" s="97"/>
      <c r="BJ855" s="97"/>
      <c r="BK855" s="97"/>
      <c r="BL855" s="97"/>
      <c r="BM855" s="97"/>
      <c r="BN855" s="97"/>
      <c r="BO855" s="97"/>
      <c r="BP855" s="97"/>
      <c r="BQ855" s="97"/>
      <c r="BR855" s="97"/>
      <c r="BS855" s="97"/>
      <c r="BT855" s="97"/>
      <c r="BU855" s="97"/>
      <c r="BV855" s="97"/>
      <c r="BW855" s="97"/>
      <c r="BX855" s="97"/>
      <c r="BY855" s="97"/>
      <c r="BZ855" s="97"/>
      <c r="CA855" s="97"/>
      <c r="CB855" s="97"/>
      <c r="CC855" s="97"/>
      <c r="CD855" s="97"/>
      <c r="CE855" s="97"/>
      <c r="CF855" s="97"/>
      <c r="CG855" s="97"/>
      <c r="CH855" s="97"/>
      <c r="CI855" s="97"/>
      <c r="CJ855" s="97"/>
      <c r="CK855" s="97"/>
      <c r="CL855" s="97"/>
      <c r="CM855" s="97"/>
      <c r="CN855" s="97"/>
      <c r="CO855" s="97"/>
      <c r="CP855" s="97"/>
      <c r="CQ855" s="97"/>
    </row>
    <row r="856" spans="1:95" ht="14.45" hidden="1">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c r="AA856" s="97"/>
      <c r="AB856" s="97"/>
      <c r="AC856" s="97"/>
      <c r="AD856" s="97"/>
      <c r="AE856" s="97"/>
      <c r="AF856" s="97"/>
      <c r="AG856" s="97"/>
      <c r="AH856" s="97"/>
      <c r="AI856" s="97"/>
      <c r="AJ856" s="97"/>
      <c r="AK856" s="97"/>
      <c r="AL856" s="97"/>
      <c r="AM856" s="97"/>
      <c r="AN856" s="97"/>
      <c r="AO856" s="97"/>
      <c r="AP856" s="97"/>
      <c r="AQ856" s="97"/>
      <c r="AR856" s="97"/>
      <c r="AS856" s="97"/>
      <c r="AT856" s="97"/>
      <c r="AU856" s="97"/>
      <c r="AV856" s="97"/>
      <c r="AW856" s="97"/>
      <c r="AX856" s="97"/>
      <c r="AY856" s="97"/>
      <c r="AZ856" s="97"/>
      <c r="BA856" s="97"/>
      <c r="BB856" s="97"/>
      <c r="BC856" s="97"/>
      <c r="BD856" s="97"/>
      <c r="BE856" s="97"/>
      <c r="BF856" s="97"/>
      <c r="BG856" s="97"/>
      <c r="BH856" s="97"/>
      <c r="BI856" s="97"/>
      <c r="BJ856" s="97"/>
      <c r="BK856" s="97"/>
      <c r="BL856" s="97"/>
      <c r="BM856" s="97"/>
      <c r="BN856" s="97"/>
      <c r="BO856" s="97"/>
      <c r="BP856" s="97"/>
      <c r="BQ856" s="97"/>
      <c r="BR856" s="97"/>
      <c r="BS856" s="97"/>
      <c r="BT856" s="97"/>
      <c r="BU856" s="97"/>
      <c r="BV856" s="97"/>
      <c r="BW856" s="97"/>
      <c r="BX856" s="97"/>
      <c r="BY856" s="97"/>
      <c r="BZ856" s="97"/>
      <c r="CA856" s="97"/>
      <c r="CB856" s="97"/>
      <c r="CC856" s="97"/>
      <c r="CD856" s="97"/>
      <c r="CE856" s="97"/>
      <c r="CF856" s="97"/>
      <c r="CG856" s="97"/>
      <c r="CH856" s="97"/>
      <c r="CI856" s="97"/>
      <c r="CJ856" s="97"/>
      <c r="CK856" s="97"/>
      <c r="CL856" s="97"/>
      <c r="CM856" s="97"/>
      <c r="CN856" s="97"/>
      <c r="CO856" s="97"/>
      <c r="CP856" s="97"/>
      <c r="CQ856" s="97"/>
    </row>
    <row r="857" spans="1:95" ht="14.45" hidden="1">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c r="AA857" s="97"/>
      <c r="AB857" s="97"/>
      <c r="AC857" s="97"/>
      <c r="AD857" s="97"/>
      <c r="AE857" s="97"/>
      <c r="AF857" s="97"/>
      <c r="AG857" s="97"/>
      <c r="AH857" s="97"/>
      <c r="AI857" s="97"/>
      <c r="AJ857" s="97"/>
      <c r="AK857" s="97"/>
      <c r="AL857" s="97"/>
      <c r="AM857" s="97"/>
      <c r="AN857" s="97"/>
      <c r="AO857" s="97"/>
      <c r="AP857" s="97"/>
      <c r="AQ857" s="97"/>
      <c r="AR857" s="97"/>
      <c r="AS857" s="97"/>
      <c r="AT857" s="97"/>
      <c r="AU857" s="97"/>
      <c r="AV857" s="97"/>
      <c r="AW857" s="97"/>
      <c r="AX857" s="97"/>
      <c r="AY857" s="97"/>
      <c r="AZ857" s="97"/>
      <c r="BA857" s="97"/>
      <c r="BB857" s="97"/>
      <c r="BC857" s="97"/>
      <c r="BD857" s="97"/>
      <c r="BE857" s="97"/>
      <c r="BF857" s="97"/>
      <c r="BG857" s="97"/>
      <c r="BH857" s="97"/>
      <c r="BI857" s="97"/>
      <c r="BJ857" s="97"/>
      <c r="BK857" s="97"/>
      <c r="BL857" s="97"/>
      <c r="BM857" s="97"/>
      <c r="BN857" s="97"/>
      <c r="BO857" s="97"/>
      <c r="BP857" s="97"/>
      <c r="BQ857" s="97"/>
      <c r="BR857" s="97"/>
      <c r="BS857" s="97"/>
      <c r="BT857" s="97"/>
      <c r="BU857" s="97"/>
      <c r="BV857" s="97"/>
      <c r="BW857" s="97"/>
      <c r="BX857" s="97"/>
      <c r="BY857" s="97"/>
      <c r="BZ857" s="97"/>
      <c r="CA857" s="97"/>
      <c r="CB857" s="97"/>
      <c r="CC857" s="97"/>
      <c r="CD857" s="97"/>
      <c r="CE857" s="97"/>
      <c r="CF857" s="97"/>
      <c r="CG857" s="97"/>
      <c r="CH857" s="97"/>
      <c r="CI857" s="97"/>
      <c r="CJ857" s="97"/>
      <c r="CK857" s="97"/>
      <c r="CL857" s="97"/>
      <c r="CM857" s="97"/>
      <c r="CN857" s="97"/>
      <c r="CO857" s="97"/>
      <c r="CP857" s="97"/>
      <c r="CQ857" s="97"/>
    </row>
    <row r="858" spans="1:95" ht="14.45" hidden="1">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c r="AA858" s="97"/>
      <c r="AB858" s="97"/>
      <c r="AC858" s="97"/>
      <c r="AD858" s="97"/>
      <c r="AE858" s="97"/>
      <c r="AF858" s="97"/>
      <c r="AG858" s="97"/>
      <c r="AH858" s="97"/>
      <c r="AI858" s="97"/>
      <c r="AJ858" s="97"/>
      <c r="AK858" s="97"/>
      <c r="AL858" s="97"/>
      <c r="AM858" s="97"/>
      <c r="AN858" s="97"/>
      <c r="AO858" s="97"/>
      <c r="AP858" s="97"/>
      <c r="AQ858" s="97"/>
      <c r="AR858" s="97"/>
      <c r="AS858" s="97"/>
      <c r="AT858" s="97"/>
      <c r="AU858" s="97"/>
      <c r="AV858" s="97"/>
      <c r="AW858" s="97"/>
      <c r="AX858" s="97"/>
      <c r="AY858" s="97"/>
      <c r="AZ858" s="97"/>
      <c r="BA858" s="97"/>
      <c r="BB858" s="97"/>
      <c r="BC858" s="97"/>
      <c r="BD858" s="97"/>
      <c r="BE858" s="97"/>
      <c r="BF858" s="97"/>
      <c r="BG858" s="97"/>
      <c r="BH858" s="97"/>
      <c r="BI858" s="97"/>
      <c r="BJ858" s="97"/>
      <c r="BK858" s="97"/>
      <c r="BL858" s="97"/>
      <c r="BM858" s="97"/>
      <c r="BN858" s="97"/>
      <c r="BO858" s="97"/>
      <c r="BP858" s="97"/>
      <c r="BQ858" s="97"/>
      <c r="BR858" s="97"/>
      <c r="BS858" s="97"/>
      <c r="BT858" s="97"/>
      <c r="BU858" s="97"/>
      <c r="BV858" s="97"/>
      <c r="BW858" s="97"/>
      <c r="BX858" s="97"/>
      <c r="BY858" s="97"/>
      <c r="BZ858" s="97"/>
      <c r="CA858" s="97"/>
      <c r="CB858" s="97"/>
      <c r="CC858" s="97"/>
      <c r="CD858" s="97"/>
      <c r="CE858" s="97"/>
      <c r="CF858" s="97"/>
      <c r="CG858" s="97"/>
      <c r="CH858" s="97"/>
      <c r="CI858" s="97"/>
      <c r="CJ858" s="97"/>
      <c r="CK858" s="97"/>
      <c r="CL858" s="97"/>
      <c r="CM858" s="97"/>
      <c r="CN858" s="97"/>
      <c r="CO858" s="97"/>
      <c r="CP858" s="97"/>
      <c r="CQ858" s="97"/>
    </row>
    <row r="859" spans="1:95" ht="14.45" hidden="1">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c r="AA859" s="97"/>
      <c r="AB859" s="97"/>
      <c r="AC859" s="97"/>
      <c r="AD859" s="97"/>
      <c r="AE859" s="97"/>
      <c r="AF859" s="97"/>
      <c r="AG859" s="97"/>
      <c r="AH859" s="97"/>
      <c r="AI859" s="97"/>
      <c r="AJ859" s="97"/>
      <c r="AK859" s="97"/>
      <c r="AL859" s="97"/>
      <c r="AM859" s="97"/>
      <c r="AN859" s="97"/>
      <c r="AO859" s="97"/>
      <c r="AP859" s="97"/>
      <c r="AQ859" s="97"/>
      <c r="AR859" s="97"/>
      <c r="AS859" s="97"/>
      <c r="AT859" s="97"/>
      <c r="AU859" s="97"/>
      <c r="AV859" s="97"/>
      <c r="AW859" s="97"/>
      <c r="AX859" s="97"/>
      <c r="AY859" s="97"/>
      <c r="AZ859" s="97"/>
      <c r="BA859" s="97"/>
      <c r="BB859" s="97"/>
      <c r="BC859" s="97"/>
      <c r="BD859" s="97"/>
      <c r="BE859" s="97"/>
      <c r="BF859" s="97"/>
      <c r="BG859" s="97"/>
      <c r="BH859" s="97"/>
      <c r="BI859" s="97"/>
      <c r="BJ859" s="97"/>
      <c r="BK859" s="97"/>
      <c r="BL859" s="97"/>
      <c r="BM859" s="97"/>
      <c r="BN859" s="97"/>
      <c r="BO859" s="97"/>
      <c r="BP859" s="97"/>
      <c r="BQ859" s="97"/>
      <c r="BR859" s="97"/>
      <c r="BS859" s="97"/>
      <c r="BT859" s="97"/>
      <c r="BU859" s="97"/>
      <c r="BV859" s="97"/>
      <c r="BW859" s="97"/>
      <c r="BX859" s="97"/>
      <c r="BY859" s="97"/>
      <c r="BZ859" s="97"/>
      <c r="CA859" s="97"/>
      <c r="CB859" s="97"/>
      <c r="CC859" s="97"/>
      <c r="CD859" s="97"/>
      <c r="CE859" s="97"/>
      <c r="CF859" s="97"/>
      <c r="CG859" s="97"/>
      <c r="CH859" s="97"/>
      <c r="CI859" s="97"/>
      <c r="CJ859" s="97"/>
      <c r="CK859" s="97"/>
      <c r="CL859" s="97"/>
      <c r="CM859" s="97"/>
      <c r="CN859" s="97"/>
      <c r="CO859" s="97"/>
      <c r="CP859" s="97"/>
      <c r="CQ859" s="97"/>
    </row>
    <row r="860" spans="1:95" ht="14.45" hidden="1">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c r="AA860" s="97"/>
      <c r="AB860" s="97"/>
      <c r="AC860" s="97"/>
      <c r="AD860" s="97"/>
      <c r="AE860" s="97"/>
      <c r="AF860" s="97"/>
      <c r="AG860" s="97"/>
      <c r="AH860" s="97"/>
      <c r="AI860" s="97"/>
      <c r="AJ860" s="97"/>
      <c r="AK860" s="97"/>
      <c r="AL860" s="97"/>
      <c r="AM860" s="97"/>
      <c r="AN860" s="97"/>
      <c r="AO860" s="97"/>
      <c r="AP860" s="97"/>
      <c r="AQ860" s="97"/>
      <c r="AR860" s="97"/>
      <c r="AS860" s="97"/>
      <c r="AT860" s="97"/>
      <c r="AU860" s="97"/>
      <c r="AV860" s="97"/>
      <c r="AW860" s="97"/>
      <c r="AX860" s="97"/>
      <c r="AY860" s="97"/>
      <c r="AZ860" s="97"/>
      <c r="BA860" s="97"/>
      <c r="BB860" s="97"/>
      <c r="BC860" s="97"/>
      <c r="BD860" s="97"/>
      <c r="BE860" s="97"/>
      <c r="BF860" s="97"/>
      <c r="BG860" s="97"/>
      <c r="BH860" s="97"/>
      <c r="BI860" s="97"/>
      <c r="BJ860" s="97"/>
      <c r="BK860" s="97"/>
      <c r="BL860" s="97"/>
      <c r="BM860" s="97"/>
      <c r="BN860" s="97"/>
      <c r="BO860" s="97"/>
      <c r="BP860" s="97"/>
      <c r="BQ860" s="97"/>
      <c r="BR860" s="97"/>
      <c r="BS860" s="97"/>
      <c r="BT860" s="97"/>
      <c r="BU860" s="97"/>
      <c r="BV860" s="97"/>
      <c r="BW860" s="97"/>
      <c r="BX860" s="97"/>
      <c r="BY860" s="97"/>
      <c r="BZ860" s="97"/>
      <c r="CA860" s="97"/>
      <c r="CB860" s="97"/>
      <c r="CC860" s="97"/>
      <c r="CD860" s="97"/>
      <c r="CE860" s="97"/>
      <c r="CF860" s="97"/>
      <c r="CG860" s="97"/>
      <c r="CH860" s="97"/>
      <c r="CI860" s="97"/>
      <c r="CJ860" s="97"/>
      <c r="CK860" s="97"/>
      <c r="CL860" s="97"/>
      <c r="CM860" s="97"/>
      <c r="CN860" s="97"/>
      <c r="CO860" s="97"/>
      <c r="CP860" s="97"/>
      <c r="CQ860" s="97"/>
    </row>
    <row r="861" spans="1:95" ht="14.45" hidden="1">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c r="AA861" s="97"/>
      <c r="AB861" s="97"/>
      <c r="AC861" s="97"/>
      <c r="AD861" s="97"/>
      <c r="AE861" s="97"/>
      <c r="AF861" s="97"/>
      <c r="AG861" s="97"/>
      <c r="AH861" s="97"/>
      <c r="AI861" s="97"/>
      <c r="AJ861" s="97"/>
      <c r="AK861" s="97"/>
      <c r="AL861" s="97"/>
      <c r="AM861" s="97"/>
      <c r="AN861" s="97"/>
      <c r="AO861" s="97"/>
      <c r="AP861" s="97"/>
      <c r="AQ861" s="97"/>
      <c r="AR861" s="97"/>
      <c r="AS861" s="97"/>
      <c r="AT861" s="97"/>
      <c r="AU861" s="97"/>
      <c r="AV861" s="97"/>
      <c r="AW861" s="97"/>
      <c r="AX861" s="97"/>
      <c r="AY861" s="97"/>
      <c r="AZ861" s="97"/>
      <c r="BA861" s="97"/>
      <c r="BB861" s="97"/>
      <c r="BC861" s="97"/>
      <c r="BD861" s="97"/>
      <c r="BE861" s="97"/>
      <c r="BF861" s="97"/>
      <c r="BG861" s="97"/>
      <c r="BH861" s="97"/>
      <c r="BI861" s="97"/>
      <c r="BJ861" s="97"/>
      <c r="BK861" s="97"/>
      <c r="BL861" s="97"/>
      <c r="BM861" s="97"/>
      <c r="BN861" s="97"/>
      <c r="BO861" s="97"/>
      <c r="BP861" s="97"/>
      <c r="BQ861" s="97"/>
      <c r="BR861" s="97"/>
      <c r="BS861" s="97"/>
      <c r="BT861" s="97"/>
      <c r="BU861" s="97"/>
      <c r="BV861" s="97"/>
      <c r="BW861" s="97"/>
      <c r="BX861" s="97"/>
      <c r="BY861" s="97"/>
      <c r="BZ861" s="97"/>
      <c r="CA861" s="97"/>
      <c r="CB861" s="97"/>
      <c r="CC861" s="97"/>
      <c r="CD861" s="97"/>
      <c r="CE861" s="97"/>
      <c r="CF861" s="97"/>
      <c r="CG861" s="97"/>
      <c r="CH861" s="97"/>
      <c r="CI861" s="97"/>
      <c r="CJ861" s="97"/>
      <c r="CK861" s="97"/>
      <c r="CL861" s="97"/>
      <c r="CM861" s="97"/>
      <c r="CN861" s="97"/>
      <c r="CO861" s="97"/>
      <c r="CP861" s="97"/>
      <c r="CQ861" s="97"/>
    </row>
    <row r="862" spans="1:95" ht="14.45" hidden="1">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c r="AA862" s="97"/>
      <c r="AB862" s="97"/>
      <c r="AC862" s="97"/>
      <c r="AD862" s="97"/>
      <c r="AE862" s="97"/>
      <c r="AF862" s="97"/>
      <c r="AG862" s="97"/>
      <c r="AH862" s="97"/>
      <c r="AI862" s="97"/>
      <c r="AJ862" s="97"/>
      <c r="AK862" s="97"/>
      <c r="AL862" s="97"/>
      <c r="AM862" s="97"/>
      <c r="AN862" s="97"/>
      <c r="AO862" s="97"/>
      <c r="AP862" s="97"/>
      <c r="AQ862" s="97"/>
      <c r="AR862" s="97"/>
      <c r="AS862" s="97"/>
      <c r="AT862" s="97"/>
      <c r="AU862" s="97"/>
      <c r="AV862" s="97"/>
      <c r="AW862" s="97"/>
      <c r="AX862" s="97"/>
      <c r="AY862" s="97"/>
      <c r="AZ862" s="97"/>
      <c r="BA862" s="97"/>
      <c r="BB862" s="97"/>
      <c r="BC862" s="97"/>
      <c r="BD862" s="97"/>
      <c r="BE862" s="97"/>
      <c r="BF862" s="97"/>
      <c r="BG862" s="97"/>
      <c r="BH862" s="97"/>
      <c r="BI862" s="97"/>
      <c r="BJ862" s="97"/>
      <c r="BK862" s="97"/>
      <c r="BL862" s="97"/>
      <c r="BM862" s="97"/>
      <c r="BN862" s="97"/>
      <c r="BO862" s="97"/>
      <c r="BP862" s="97"/>
      <c r="BQ862" s="97"/>
      <c r="BR862" s="97"/>
      <c r="BS862" s="97"/>
      <c r="BT862" s="97"/>
      <c r="BU862" s="97"/>
      <c r="BV862" s="97"/>
      <c r="BW862" s="97"/>
      <c r="BX862" s="97"/>
      <c r="BY862" s="97"/>
      <c r="BZ862" s="97"/>
      <c r="CA862" s="97"/>
      <c r="CB862" s="97"/>
      <c r="CC862" s="97"/>
      <c r="CD862" s="97"/>
      <c r="CE862" s="97"/>
      <c r="CF862" s="97"/>
      <c r="CG862" s="97"/>
      <c r="CH862" s="97"/>
      <c r="CI862" s="97"/>
      <c r="CJ862" s="97"/>
      <c r="CK862" s="97"/>
      <c r="CL862" s="97"/>
      <c r="CM862" s="97"/>
      <c r="CN862" s="97"/>
      <c r="CO862" s="97"/>
      <c r="CP862" s="97"/>
      <c r="CQ862" s="97"/>
    </row>
    <row r="863" spans="1:95" ht="14.45" hidden="1">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c r="AA863" s="97"/>
      <c r="AB863" s="97"/>
      <c r="AC863" s="97"/>
      <c r="AD863" s="97"/>
      <c r="AE863" s="97"/>
      <c r="AF863" s="97"/>
      <c r="AG863" s="97"/>
      <c r="AH863" s="97"/>
      <c r="AI863" s="97"/>
      <c r="AJ863" s="97"/>
      <c r="AK863" s="97"/>
      <c r="AL863" s="97"/>
      <c r="AM863" s="97"/>
      <c r="AN863" s="97"/>
      <c r="AO863" s="97"/>
      <c r="AP863" s="97"/>
      <c r="AQ863" s="97"/>
      <c r="AR863" s="97"/>
      <c r="AS863" s="97"/>
      <c r="AT863" s="97"/>
      <c r="AU863" s="97"/>
      <c r="AV863" s="97"/>
      <c r="AW863" s="97"/>
      <c r="AX863" s="97"/>
      <c r="AY863" s="97"/>
      <c r="AZ863" s="97"/>
      <c r="BA863" s="97"/>
      <c r="BB863" s="97"/>
      <c r="BC863" s="97"/>
      <c r="BD863" s="97"/>
      <c r="BE863" s="97"/>
      <c r="BF863" s="97"/>
      <c r="BG863" s="97"/>
      <c r="BH863" s="97"/>
      <c r="BI863" s="97"/>
      <c r="BJ863" s="97"/>
      <c r="BK863" s="97"/>
      <c r="BL863" s="97"/>
      <c r="BM863" s="97"/>
      <c r="BN863" s="97"/>
      <c r="BO863" s="97"/>
      <c r="BP863" s="97"/>
      <c r="BQ863" s="97"/>
      <c r="BR863" s="97"/>
      <c r="BS863" s="97"/>
      <c r="BT863" s="97"/>
      <c r="BU863" s="97"/>
      <c r="BV863" s="97"/>
      <c r="BW863" s="97"/>
      <c r="BX863" s="97"/>
      <c r="BY863" s="97"/>
      <c r="BZ863" s="97"/>
      <c r="CA863" s="97"/>
      <c r="CB863" s="97"/>
      <c r="CC863" s="97"/>
      <c r="CD863" s="97"/>
      <c r="CE863" s="97"/>
      <c r="CF863" s="97"/>
      <c r="CG863" s="97"/>
      <c r="CH863" s="97"/>
      <c r="CI863" s="97"/>
      <c r="CJ863" s="97"/>
      <c r="CK863" s="97"/>
      <c r="CL863" s="97"/>
      <c r="CM863" s="97"/>
      <c r="CN863" s="97"/>
      <c r="CO863" s="97"/>
      <c r="CP863" s="97"/>
      <c r="CQ863" s="97"/>
    </row>
    <row r="864" spans="1:95" ht="14.45" hidden="1">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c r="AA864" s="97"/>
      <c r="AB864" s="97"/>
      <c r="AC864" s="97"/>
      <c r="AD864" s="97"/>
      <c r="AE864" s="97"/>
      <c r="AF864" s="97"/>
      <c r="AG864" s="97"/>
      <c r="AH864" s="97"/>
      <c r="AI864" s="97"/>
      <c r="AJ864" s="97"/>
      <c r="AK864" s="97"/>
      <c r="AL864" s="97"/>
      <c r="AM864" s="97"/>
      <c r="AN864" s="97"/>
      <c r="AO864" s="97"/>
      <c r="AP864" s="97"/>
      <c r="AQ864" s="97"/>
      <c r="AR864" s="97"/>
      <c r="AS864" s="97"/>
      <c r="AT864" s="97"/>
      <c r="AU864" s="97"/>
      <c r="AV864" s="97"/>
      <c r="AW864" s="97"/>
      <c r="AX864" s="97"/>
      <c r="AY864" s="97"/>
      <c r="AZ864" s="97"/>
      <c r="BA864" s="97"/>
      <c r="BB864" s="97"/>
      <c r="BC864" s="97"/>
      <c r="BD864" s="97"/>
      <c r="BE864" s="97"/>
      <c r="BF864" s="97"/>
      <c r="BG864" s="97"/>
      <c r="BH864" s="97"/>
      <c r="BI864" s="97"/>
      <c r="BJ864" s="97"/>
      <c r="BK864" s="97"/>
      <c r="BL864" s="97"/>
      <c r="BM864" s="97"/>
      <c r="BN864" s="97"/>
      <c r="BO864" s="97"/>
      <c r="BP864" s="97"/>
      <c r="BQ864" s="97"/>
      <c r="BR864" s="97"/>
      <c r="BS864" s="97"/>
      <c r="BT864" s="97"/>
      <c r="BU864" s="97"/>
      <c r="BV864" s="97"/>
      <c r="BW864" s="97"/>
      <c r="BX864" s="97"/>
      <c r="BY864" s="97"/>
      <c r="BZ864" s="97"/>
      <c r="CA864" s="97"/>
      <c r="CB864" s="97"/>
      <c r="CC864" s="97"/>
      <c r="CD864" s="97"/>
      <c r="CE864" s="97"/>
      <c r="CF864" s="97"/>
      <c r="CG864" s="97"/>
      <c r="CH864" s="97"/>
      <c r="CI864" s="97"/>
      <c r="CJ864" s="97"/>
      <c r="CK864" s="97"/>
      <c r="CL864" s="97"/>
      <c r="CM864" s="97"/>
      <c r="CN864" s="97"/>
      <c r="CO864" s="97"/>
      <c r="CP864" s="97"/>
      <c r="CQ864" s="97"/>
    </row>
    <row r="865" spans="1:95" ht="14.45" hidden="1">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c r="AA865" s="97"/>
      <c r="AB865" s="97"/>
      <c r="AC865" s="97"/>
      <c r="AD865" s="97"/>
      <c r="AE865" s="97"/>
      <c r="AF865" s="97"/>
      <c r="AG865" s="97"/>
      <c r="AH865" s="97"/>
      <c r="AI865" s="97"/>
      <c r="AJ865" s="97"/>
      <c r="AK865" s="97"/>
      <c r="AL865" s="97"/>
      <c r="AM865" s="97"/>
      <c r="AN865" s="97"/>
      <c r="AO865" s="97"/>
      <c r="AP865" s="97"/>
      <c r="AQ865" s="97"/>
      <c r="AR865" s="97"/>
      <c r="AS865" s="97"/>
      <c r="AT865" s="97"/>
      <c r="AU865" s="97"/>
      <c r="AV865" s="97"/>
      <c r="AW865" s="97"/>
      <c r="AX865" s="97"/>
      <c r="AY865" s="97"/>
      <c r="AZ865" s="97"/>
      <c r="BA865" s="97"/>
      <c r="BB865" s="97"/>
      <c r="BC865" s="97"/>
      <c r="BD865" s="97"/>
      <c r="BE865" s="97"/>
      <c r="BF865" s="97"/>
      <c r="BG865" s="97"/>
      <c r="BH865" s="97"/>
      <c r="BI865" s="97"/>
      <c r="BJ865" s="97"/>
      <c r="BK865" s="97"/>
      <c r="BL865" s="97"/>
      <c r="BM865" s="97"/>
      <c r="BN865" s="97"/>
      <c r="BO865" s="97"/>
      <c r="BP865" s="97"/>
      <c r="BQ865" s="97"/>
      <c r="BR865" s="97"/>
      <c r="BS865" s="97"/>
      <c r="BT865" s="97"/>
      <c r="BU865" s="97"/>
      <c r="BV865" s="97"/>
      <c r="BW865" s="97"/>
      <c r="BX865" s="97"/>
      <c r="BY865" s="97"/>
      <c r="BZ865" s="97"/>
      <c r="CA865" s="97"/>
      <c r="CB865" s="97"/>
      <c r="CC865" s="97"/>
      <c r="CD865" s="97"/>
      <c r="CE865" s="97"/>
      <c r="CF865" s="97"/>
      <c r="CG865" s="97"/>
      <c r="CH865" s="97"/>
      <c r="CI865" s="97"/>
      <c r="CJ865" s="97"/>
      <c r="CK865" s="97"/>
      <c r="CL865" s="97"/>
      <c r="CM865" s="97"/>
      <c r="CN865" s="97"/>
      <c r="CO865" s="97"/>
      <c r="CP865" s="97"/>
      <c r="CQ865" s="97"/>
    </row>
    <row r="866" spans="1:95" ht="14.45" hidden="1">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c r="AA866" s="97"/>
      <c r="AB866" s="97"/>
      <c r="AC866" s="97"/>
      <c r="AD866" s="97"/>
      <c r="AE866" s="97"/>
      <c r="AF866" s="97"/>
      <c r="AG866" s="97"/>
      <c r="AH866" s="97"/>
      <c r="AI866" s="97"/>
      <c r="AJ866" s="97"/>
      <c r="AK866" s="97"/>
      <c r="AL866" s="97"/>
      <c r="AM866" s="97"/>
      <c r="AN866" s="97"/>
      <c r="AO866" s="97"/>
      <c r="AP866" s="97"/>
      <c r="AQ866" s="97"/>
      <c r="AR866" s="97"/>
      <c r="AS866" s="97"/>
      <c r="AT866" s="97"/>
      <c r="AU866" s="97"/>
      <c r="AV866" s="97"/>
      <c r="AW866" s="97"/>
      <c r="AX866" s="97"/>
      <c r="AY866" s="97"/>
      <c r="AZ866" s="97"/>
      <c r="BA866" s="97"/>
      <c r="BB866" s="97"/>
      <c r="BC866" s="97"/>
      <c r="BD866" s="97"/>
      <c r="BE866" s="97"/>
      <c r="BF866" s="97"/>
      <c r="BG866" s="97"/>
      <c r="BH866" s="97"/>
      <c r="BI866" s="97"/>
      <c r="BJ866" s="97"/>
      <c r="BK866" s="97"/>
      <c r="BL866" s="97"/>
      <c r="BM866" s="97"/>
      <c r="BN866" s="97"/>
      <c r="BO866" s="97"/>
      <c r="BP866" s="97"/>
      <c r="BQ866" s="97"/>
      <c r="BR866" s="97"/>
      <c r="BS866" s="97"/>
      <c r="BT866" s="97"/>
      <c r="BU866" s="97"/>
      <c r="BV866" s="97"/>
      <c r="BW866" s="97"/>
      <c r="BX866" s="97"/>
      <c r="BY866" s="97"/>
      <c r="BZ866" s="97"/>
      <c r="CA866" s="97"/>
      <c r="CB866" s="97"/>
      <c r="CC866" s="97"/>
      <c r="CD866" s="97"/>
      <c r="CE866" s="97"/>
      <c r="CF866" s="97"/>
      <c r="CG866" s="97"/>
      <c r="CH866" s="97"/>
      <c r="CI866" s="97"/>
      <c r="CJ866" s="97"/>
      <c r="CK866" s="97"/>
      <c r="CL866" s="97"/>
      <c r="CM866" s="97"/>
      <c r="CN866" s="97"/>
      <c r="CO866" s="97"/>
      <c r="CP866" s="97"/>
      <c r="CQ866" s="97"/>
    </row>
    <row r="867" spans="1:95" ht="14.45" hidden="1">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c r="AA867" s="97"/>
      <c r="AB867" s="97"/>
      <c r="AC867" s="97"/>
      <c r="AD867" s="97"/>
      <c r="AE867" s="97"/>
      <c r="AF867" s="97"/>
      <c r="AG867" s="97"/>
      <c r="AH867" s="97"/>
      <c r="AI867" s="97"/>
      <c r="AJ867" s="97"/>
      <c r="AK867" s="97"/>
      <c r="AL867" s="97"/>
      <c r="AM867" s="97"/>
      <c r="AN867" s="97"/>
      <c r="AO867" s="97"/>
      <c r="AP867" s="97"/>
      <c r="AQ867" s="97"/>
      <c r="AR867" s="97"/>
      <c r="AS867" s="97"/>
      <c r="AT867" s="97"/>
      <c r="AU867" s="97"/>
      <c r="AV867" s="97"/>
      <c r="AW867" s="97"/>
      <c r="AX867" s="97"/>
      <c r="AY867" s="97"/>
      <c r="AZ867" s="97"/>
      <c r="BA867" s="97"/>
      <c r="BB867" s="97"/>
      <c r="BC867" s="97"/>
      <c r="BD867" s="97"/>
      <c r="BE867" s="97"/>
      <c r="BF867" s="97"/>
      <c r="BG867" s="97"/>
      <c r="BH867" s="97"/>
      <c r="BI867" s="97"/>
      <c r="BJ867" s="97"/>
      <c r="BK867" s="97"/>
      <c r="BL867" s="97"/>
      <c r="BM867" s="97"/>
      <c r="BN867" s="97"/>
      <c r="BO867" s="97"/>
      <c r="BP867" s="97"/>
      <c r="BQ867" s="97"/>
      <c r="BR867" s="97"/>
      <c r="BS867" s="97"/>
      <c r="BT867" s="97"/>
      <c r="BU867" s="97"/>
      <c r="BV867" s="97"/>
      <c r="BW867" s="97"/>
      <c r="BX867" s="97"/>
      <c r="BY867" s="97"/>
      <c r="BZ867" s="97"/>
      <c r="CA867" s="97"/>
      <c r="CB867" s="97"/>
      <c r="CC867" s="97"/>
      <c r="CD867" s="97"/>
      <c r="CE867" s="97"/>
      <c r="CF867" s="97"/>
      <c r="CG867" s="97"/>
      <c r="CH867" s="97"/>
      <c r="CI867" s="97"/>
      <c r="CJ867" s="97"/>
      <c r="CK867" s="97"/>
      <c r="CL867" s="97"/>
      <c r="CM867" s="97"/>
      <c r="CN867" s="97"/>
      <c r="CO867" s="97"/>
      <c r="CP867" s="97"/>
      <c r="CQ867" s="97"/>
    </row>
    <row r="868" spans="1:95" ht="14.45" hidden="1">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c r="AA868" s="97"/>
      <c r="AB868" s="97"/>
      <c r="AC868" s="97"/>
      <c r="AD868" s="97"/>
      <c r="AE868" s="97"/>
      <c r="AF868" s="97"/>
      <c r="AG868" s="97"/>
      <c r="AH868" s="97"/>
      <c r="AI868" s="97"/>
      <c r="AJ868" s="97"/>
      <c r="AK868" s="97"/>
      <c r="AL868" s="97"/>
      <c r="AM868" s="97"/>
      <c r="AN868" s="97"/>
      <c r="AO868" s="97"/>
      <c r="AP868" s="97"/>
      <c r="AQ868" s="97"/>
      <c r="AR868" s="97"/>
      <c r="AS868" s="97"/>
      <c r="AT868" s="97"/>
      <c r="AU868" s="97"/>
      <c r="AV868" s="97"/>
      <c r="AW868" s="97"/>
      <c r="AX868" s="97"/>
      <c r="AY868" s="97"/>
      <c r="AZ868" s="97"/>
      <c r="BA868" s="97"/>
      <c r="BB868" s="97"/>
      <c r="BC868" s="97"/>
      <c r="BD868" s="97"/>
      <c r="BE868" s="97"/>
      <c r="BF868" s="97"/>
      <c r="BG868" s="97"/>
      <c r="BH868" s="97"/>
      <c r="BI868" s="97"/>
      <c r="BJ868" s="97"/>
      <c r="BK868" s="97"/>
      <c r="BL868" s="97"/>
      <c r="BM868" s="97"/>
      <c r="BN868" s="97"/>
      <c r="BO868" s="97"/>
      <c r="BP868" s="97"/>
      <c r="BQ868" s="97"/>
      <c r="BR868" s="97"/>
      <c r="BS868" s="97"/>
      <c r="BT868" s="97"/>
      <c r="BU868" s="97"/>
      <c r="BV868" s="97"/>
      <c r="BW868" s="97"/>
      <c r="BX868" s="97"/>
      <c r="BY868" s="97"/>
      <c r="BZ868" s="97"/>
      <c r="CA868" s="97"/>
      <c r="CB868" s="97"/>
      <c r="CC868" s="97"/>
      <c r="CD868" s="97"/>
      <c r="CE868" s="97"/>
      <c r="CF868" s="97"/>
      <c r="CG868" s="97"/>
      <c r="CH868" s="97"/>
      <c r="CI868" s="97"/>
      <c r="CJ868" s="97"/>
      <c r="CK868" s="97"/>
      <c r="CL868" s="97"/>
      <c r="CM868" s="97"/>
      <c r="CN868" s="97"/>
      <c r="CO868" s="97"/>
      <c r="CP868" s="97"/>
      <c r="CQ868" s="97"/>
    </row>
    <row r="869" spans="1:95" ht="14.45" hidden="1">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c r="AA869" s="97"/>
      <c r="AB869" s="97"/>
      <c r="AC869" s="97"/>
      <c r="AD869" s="97"/>
      <c r="AE869" s="97"/>
      <c r="AF869" s="97"/>
      <c r="AG869" s="97"/>
      <c r="AH869" s="97"/>
      <c r="AI869" s="97"/>
      <c r="AJ869" s="97"/>
      <c r="AK869" s="97"/>
      <c r="AL869" s="97"/>
      <c r="AM869" s="97"/>
      <c r="AN869" s="97"/>
      <c r="AO869" s="97"/>
      <c r="AP869" s="97"/>
      <c r="AQ869" s="97"/>
      <c r="AR869" s="97"/>
      <c r="AS869" s="97"/>
      <c r="AT869" s="97"/>
      <c r="AU869" s="97"/>
      <c r="AV869" s="97"/>
      <c r="AW869" s="97"/>
      <c r="AX869" s="97"/>
      <c r="AY869" s="97"/>
      <c r="AZ869" s="97"/>
      <c r="BA869" s="97"/>
      <c r="BB869" s="97"/>
      <c r="BC869" s="97"/>
      <c r="BD869" s="97"/>
      <c r="BE869" s="97"/>
      <c r="BF869" s="97"/>
      <c r="BG869" s="97"/>
      <c r="BH869" s="97"/>
      <c r="BI869" s="97"/>
      <c r="BJ869" s="97"/>
      <c r="BK869" s="97"/>
      <c r="BL869" s="97"/>
      <c r="BM869" s="97"/>
      <c r="BN869" s="97"/>
      <c r="BO869" s="97"/>
      <c r="BP869" s="97"/>
      <c r="BQ869" s="97"/>
      <c r="BR869" s="97"/>
      <c r="BS869" s="97"/>
      <c r="BT869" s="97"/>
      <c r="BU869" s="97"/>
      <c r="BV869" s="97"/>
      <c r="BW869" s="97"/>
      <c r="BX869" s="97"/>
      <c r="BY869" s="97"/>
      <c r="BZ869" s="97"/>
      <c r="CA869" s="97"/>
      <c r="CB869" s="97"/>
      <c r="CC869" s="97"/>
      <c r="CD869" s="97"/>
      <c r="CE869" s="97"/>
      <c r="CF869" s="97"/>
      <c r="CG869" s="97"/>
      <c r="CH869" s="97"/>
      <c r="CI869" s="97"/>
      <c r="CJ869" s="97"/>
      <c r="CK869" s="97"/>
      <c r="CL869" s="97"/>
      <c r="CM869" s="97"/>
      <c r="CN869" s="97"/>
      <c r="CO869" s="97"/>
      <c r="CP869" s="97"/>
      <c r="CQ869" s="97"/>
    </row>
    <row r="870" spans="1:95" ht="14.45" hidden="1">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c r="AA870" s="97"/>
      <c r="AB870" s="97"/>
      <c r="AC870" s="97"/>
      <c r="AD870" s="97"/>
      <c r="AE870" s="97"/>
      <c r="AF870" s="97"/>
      <c r="AG870" s="97"/>
      <c r="AH870" s="97"/>
      <c r="AI870" s="97"/>
      <c r="AJ870" s="97"/>
      <c r="AK870" s="97"/>
      <c r="AL870" s="97"/>
      <c r="AM870" s="97"/>
      <c r="AN870" s="97"/>
      <c r="AO870" s="97"/>
      <c r="AP870" s="97"/>
      <c r="AQ870" s="97"/>
      <c r="AR870" s="97"/>
      <c r="AS870" s="97"/>
      <c r="AT870" s="97"/>
      <c r="AU870" s="97"/>
      <c r="AV870" s="97"/>
      <c r="AW870" s="97"/>
      <c r="AX870" s="97"/>
      <c r="AY870" s="97"/>
      <c r="AZ870" s="97"/>
      <c r="BA870" s="97"/>
      <c r="BB870" s="97"/>
      <c r="BC870" s="97"/>
      <c r="BD870" s="97"/>
      <c r="BE870" s="97"/>
      <c r="BF870" s="97"/>
      <c r="BG870" s="97"/>
      <c r="BH870" s="97"/>
      <c r="BI870" s="97"/>
      <c r="BJ870" s="97"/>
      <c r="BK870" s="97"/>
      <c r="BL870" s="97"/>
      <c r="BM870" s="97"/>
      <c r="BN870" s="97"/>
      <c r="BO870" s="97"/>
      <c r="BP870" s="97"/>
      <c r="BQ870" s="97"/>
      <c r="BR870" s="97"/>
      <c r="BS870" s="97"/>
      <c r="BT870" s="97"/>
      <c r="BU870" s="97"/>
      <c r="BV870" s="97"/>
      <c r="BW870" s="97"/>
      <c r="BX870" s="97"/>
      <c r="BY870" s="97"/>
      <c r="BZ870" s="97"/>
      <c r="CA870" s="97"/>
      <c r="CB870" s="97"/>
      <c r="CC870" s="97"/>
      <c r="CD870" s="97"/>
      <c r="CE870" s="97"/>
      <c r="CF870" s="97"/>
      <c r="CG870" s="97"/>
      <c r="CH870" s="97"/>
      <c r="CI870" s="97"/>
      <c r="CJ870" s="97"/>
      <c r="CK870" s="97"/>
      <c r="CL870" s="97"/>
      <c r="CM870" s="97"/>
      <c r="CN870" s="97"/>
      <c r="CO870" s="97"/>
      <c r="CP870" s="97"/>
      <c r="CQ870" s="97"/>
    </row>
    <row r="871" spans="1:95" ht="14.45" hidden="1">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c r="AA871" s="97"/>
      <c r="AB871" s="97"/>
      <c r="AC871" s="97"/>
      <c r="AD871" s="97"/>
      <c r="AE871" s="97"/>
      <c r="AF871" s="97"/>
      <c r="AG871" s="97"/>
      <c r="AH871" s="97"/>
      <c r="AI871" s="97"/>
      <c r="AJ871" s="97"/>
      <c r="AK871" s="97"/>
      <c r="AL871" s="97"/>
      <c r="AM871" s="97"/>
      <c r="AN871" s="97"/>
      <c r="AO871" s="97"/>
      <c r="AP871" s="97"/>
      <c r="AQ871" s="97"/>
      <c r="AR871" s="97"/>
      <c r="AS871" s="97"/>
      <c r="AT871" s="97"/>
      <c r="AU871" s="97"/>
      <c r="AV871" s="97"/>
      <c r="AW871" s="97"/>
      <c r="AX871" s="97"/>
      <c r="AY871" s="97"/>
      <c r="AZ871" s="97"/>
      <c r="BA871" s="97"/>
      <c r="BB871" s="97"/>
      <c r="BC871" s="97"/>
      <c r="BD871" s="97"/>
      <c r="BE871" s="97"/>
      <c r="BF871" s="97"/>
      <c r="BG871" s="97"/>
      <c r="BH871" s="97"/>
      <c r="BI871" s="97"/>
      <c r="BJ871" s="97"/>
      <c r="BK871" s="97"/>
      <c r="BL871" s="97"/>
      <c r="BM871" s="97"/>
      <c r="BN871" s="97"/>
      <c r="BO871" s="97"/>
      <c r="BP871" s="97"/>
      <c r="BQ871" s="97"/>
      <c r="BR871" s="97"/>
      <c r="BS871" s="97"/>
      <c r="BT871" s="97"/>
      <c r="BU871" s="97"/>
      <c r="BV871" s="97"/>
      <c r="BW871" s="97"/>
      <c r="BX871" s="97"/>
      <c r="BY871" s="97"/>
      <c r="BZ871" s="97"/>
      <c r="CA871" s="97"/>
      <c r="CB871" s="97"/>
      <c r="CC871" s="97"/>
      <c r="CD871" s="97"/>
      <c r="CE871" s="97"/>
      <c r="CF871" s="97"/>
      <c r="CG871" s="97"/>
      <c r="CH871" s="97"/>
      <c r="CI871" s="97"/>
      <c r="CJ871" s="97"/>
      <c r="CK871" s="97"/>
      <c r="CL871" s="97"/>
      <c r="CM871" s="97"/>
      <c r="CN871" s="97"/>
      <c r="CO871" s="97"/>
      <c r="CP871" s="97"/>
      <c r="CQ871" s="97"/>
    </row>
    <row r="872" spans="1:95" ht="14.45" hidden="1">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c r="AA872" s="97"/>
      <c r="AB872" s="97"/>
      <c r="AC872" s="97"/>
      <c r="AD872" s="97"/>
      <c r="AE872" s="97"/>
      <c r="AF872" s="97"/>
      <c r="AG872" s="97"/>
      <c r="AH872" s="97"/>
      <c r="AI872" s="97"/>
      <c r="AJ872" s="97"/>
      <c r="AK872" s="97"/>
      <c r="AL872" s="97"/>
      <c r="AM872" s="97"/>
      <c r="AN872" s="97"/>
      <c r="AO872" s="97"/>
      <c r="AP872" s="97"/>
      <c r="AQ872" s="97"/>
      <c r="AR872" s="97"/>
      <c r="AS872" s="97"/>
      <c r="AT872" s="97"/>
      <c r="AU872" s="97"/>
      <c r="AV872" s="97"/>
      <c r="AW872" s="97"/>
      <c r="AX872" s="97"/>
      <c r="AY872" s="97"/>
      <c r="AZ872" s="97"/>
      <c r="BA872" s="97"/>
      <c r="BB872" s="97"/>
      <c r="BC872" s="97"/>
      <c r="BD872" s="97"/>
      <c r="BE872" s="97"/>
      <c r="BF872" s="97"/>
      <c r="BG872" s="97"/>
      <c r="BH872" s="97"/>
      <c r="BI872" s="97"/>
      <c r="BJ872" s="97"/>
      <c r="BK872" s="97"/>
      <c r="BL872" s="97"/>
      <c r="BM872" s="97"/>
      <c r="BN872" s="97"/>
      <c r="BO872" s="97"/>
      <c r="BP872" s="97"/>
      <c r="BQ872" s="97"/>
      <c r="BR872" s="97"/>
      <c r="BS872" s="97"/>
      <c r="BT872" s="97"/>
      <c r="BU872" s="97"/>
      <c r="BV872" s="97"/>
      <c r="BW872" s="97"/>
      <c r="BX872" s="97"/>
      <c r="BY872" s="97"/>
      <c r="BZ872" s="97"/>
      <c r="CA872" s="97"/>
      <c r="CB872" s="97"/>
      <c r="CC872" s="97"/>
      <c r="CD872" s="97"/>
      <c r="CE872" s="97"/>
      <c r="CF872" s="97"/>
      <c r="CG872" s="97"/>
      <c r="CH872" s="97"/>
      <c r="CI872" s="97"/>
      <c r="CJ872" s="97"/>
      <c r="CK872" s="97"/>
      <c r="CL872" s="97"/>
      <c r="CM872" s="97"/>
      <c r="CN872" s="97"/>
      <c r="CO872" s="97"/>
      <c r="CP872" s="97"/>
      <c r="CQ872" s="97"/>
    </row>
    <row r="873" spans="1:95" ht="14.45" hidden="1">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c r="AA873" s="97"/>
      <c r="AB873" s="97"/>
      <c r="AC873" s="97"/>
      <c r="AD873" s="97"/>
      <c r="AE873" s="97"/>
      <c r="AF873" s="97"/>
      <c r="AG873" s="97"/>
      <c r="AH873" s="97"/>
      <c r="AI873" s="97"/>
      <c r="AJ873" s="97"/>
      <c r="AK873" s="97"/>
      <c r="AL873" s="97"/>
      <c r="AM873" s="97"/>
      <c r="AN873" s="97"/>
      <c r="AO873" s="97"/>
      <c r="AP873" s="97"/>
      <c r="AQ873" s="97"/>
      <c r="AR873" s="97"/>
      <c r="AS873" s="97"/>
      <c r="AT873" s="97"/>
      <c r="AU873" s="97"/>
      <c r="AV873" s="97"/>
      <c r="AW873" s="97"/>
      <c r="AX873" s="97"/>
      <c r="AY873" s="97"/>
      <c r="AZ873" s="97"/>
      <c r="BA873" s="97"/>
      <c r="BB873" s="97"/>
      <c r="BC873" s="97"/>
      <c r="BD873" s="97"/>
      <c r="BE873" s="97"/>
      <c r="BF873" s="97"/>
      <c r="BG873" s="97"/>
      <c r="BH873" s="97"/>
      <c r="BI873" s="97"/>
      <c r="BJ873" s="97"/>
      <c r="BK873" s="97"/>
      <c r="BL873" s="97"/>
      <c r="BM873" s="97"/>
      <c r="BN873" s="97"/>
      <c r="BO873" s="97"/>
      <c r="BP873" s="97"/>
      <c r="BQ873" s="97"/>
      <c r="BR873" s="97"/>
      <c r="BS873" s="97"/>
      <c r="BT873" s="97"/>
      <c r="BU873" s="97"/>
      <c r="BV873" s="97"/>
      <c r="BW873" s="97"/>
      <c r="BX873" s="97"/>
      <c r="BY873" s="97"/>
      <c r="BZ873" s="97"/>
      <c r="CA873" s="97"/>
      <c r="CB873" s="97"/>
      <c r="CC873" s="97"/>
      <c r="CD873" s="97"/>
      <c r="CE873" s="97"/>
      <c r="CF873" s="97"/>
      <c r="CG873" s="97"/>
      <c r="CH873" s="97"/>
      <c r="CI873" s="97"/>
      <c r="CJ873" s="97"/>
      <c r="CK873" s="97"/>
      <c r="CL873" s="97"/>
      <c r="CM873" s="97"/>
      <c r="CN873" s="97"/>
      <c r="CO873" s="97"/>
      <c r="CP873" s="97"/>
      <c r="CQ873" s="97"/>
    </row>
    <row r="874" spans="1:95" ht="14.45" hidden="1">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c r="AA874" s="97"/>
      <c r="AB874" s="97"/>
      <c r="AC874" s="97"/>
      <c r="AD874" s="97"/>
      <c r="AE874" s="97"/>
      <c r="AF874" s="97"/>
      <c r="AG874" s="97"/>
      <c r="AH874" s="97"/>
      <c r="AI874" s="97"/>
      <c r="AJ874" s="97"/>
      <c r="AK874" s="97"/>
      <c r="AL874" s="97"/>
      <c r="AM874" s="97"/>
      <c r="AN874" s="97"/>
      <c r="AO874" s="97"/>
      <c r="AP874" s="97"/>
      <c r="AQ874" s="97"/>
      <c r="AR874" s="97"/>
      <c r="AS874" s="97"/>
      <c r="AT874" s="97"/>
      <c r="AU874" s="97"/>
      <c r="AV874" s="97"/>
      <c r="AW874" s="97"/>
      <c r="AX874" s="97"/>
      <c r="AY874" s="97"/>
      <c r="AZ874" s="97"/>
      <c r="BA874" s="97"/>
      <c r="BB874" s="97"/>
      <c r="BC874" s="97"/>
      <c r="BD874" s="97"/>
      <c r="BE874" s="97"/>
      <c r="BF874" s="97"/>
      <c r="BG874" s="97"/>
      <c r="BH874" s="97"/>
      <c r="BI874" s="97"/>
      <c r="BJ874" s="97"/>
      <c r="BK874" s="97"/>
      <c r="BL874" s="97"/>
      <c r="BM874" s="97"/>
      <c r="BN874" s="97"/>
      <c r="BO874" s="97"/>
      <c r="BP874" s="97"/>
      <c r="BQ874" s="97"/>
      <c r="BR874" s="97"/>
      <c r="BS874" s="97"/>
      <c r="BT874" s="97"/>
      <c r="BU874" s="97"/>
      <c r="BV874" s="97"/>
      <c r="BW874" s="97"/>
      <c r="BX874" s="97"/>
      <c r="BY874" s="97"/>
      <c r="BZ874" s="97"/>
      <c r="CA874" s="97"/>
      <c r="CB874" s="97"/>
      <c r="CC874" s="97"/>
      <c r="CD874" s="97"/>
      <c r="CE874" s="97"/>
      <c r="CF874" s="97"/>
      <c r="CG874" s="97"/>
      <c r="CH874" s="97"/>
      <c r="CI874" s="97"/>
      <c r="CJ874" s="97"/>
      <c r="CK874" s="97"/>
      <c r="CL874" s="97"/>
      <c r="CM874" s="97"/>
      <c r="CN874" s="97"/>
      <c r="CO874" s="97"/>
      <c r="CP874" s="97"/>
      <c r="CQ874" s="97"/>
    </row>
    <row r="875" spans="1:95" ht="14.45" hidden="1">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c r="AA875" s="97"/>
      <c r="AB875" s="97"/>
      <c r="AC875" s="97"/>
      <c r="AD875" s="97"/>
      <c r="AE875" s="97"/>
      <c r="AF875" s="97"/>
      <c r="AG875" s="97"/>
      <c r="AH875" s="97"/>
      <c r="AI875" s="97"/>
      <c r="AJ875" s="97"/>
      <c r="AK875" s="97"/>
      <c r="AL875" s="97"/>
      <c r="AM875" s="97"/>
      <c r="AN875" s="97"/>
      <c r="AO875" s="97"/>
      <c r="AP875" s="97"/>
      <c r="AQ875" s="97"/>
      <c r="AR875" s="97"/>
      <c r="AS875" s="97"/>
      <c r="AT875" s="97"/>
      <c r="AU875" s="97"/>
      <c r="AV875" s="97"/>
      <c r="AW875" s="97"/>
      <c r="AX875" s="97"/>
      <c r="AY875" s="97"/>
      <c r="AZ875" s="97"/>
      <c r="BA875" s="97"/>
      <c r="BB875" s="97"/>
      <c r="BC875" s="97"/>
      <c r="BD875" s="97"/>
      <c r="BE875" s="97"/>
      <c r="BF875" s="97"/>
      <c r="BG875" s="97"/>
      <c r="BH875" s="97"/>
      <c r="BI875" s="97"/>
      <c r="BJ875" s="97"/>
      <c r="BK875" s="97"/>
      <c r="BL875" s="97"/>
      <c r="BM875" s="97"/>
      <c r="BN875" s="97"/>
      <c r="BO875" s="97"/>
      <c r="BP875" s="97"/>
      <c r="BQ875" s="97"/>
      <c r="BR875" s="97"/>
      <c r="BS875" s="97"/>
      <c r="BT875" s="97"/>
      <c r="BU875" s="97"/>
      <c r="BV875" s="97"/>
      <c r="BW875" s="97"/>
      <c r="BX875" s="97"/>
      <c r="BY875" s="97"/>
      <c r="BZ875" s="97"/>
      <c r="CA875" s="97"/>
      <c r="CB875" s="97"/>
      <c r="CC875" s="97"/>
      <c r="CD875" s="97"/>
      <c r="CE875" s="97"/>
      <c r="CF875" s="97"/>
      <c r="CG875" s="97"/>
      <c r="CH875" s="97"/>
      <c r="CI875" s="97"/>
      <c r="CJ875" s="97"/>
      <c r="CK875" s="97"/>
      <c r="CL875" s="97"/>
      <c r="CM875" s="97"/>
      <c r="CN875" s="97"/>
      <c r="CO875" s="97"/>
      <c r="CP875" s="97"/>
      <c r="CQ875" s="97"/>
    </row>
    <row r="876" spans="1:95" ht="14.45" hidden="1">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c r="AA876" s="97"/>
      <c r="AB876" s="97"/>
      <c r="AC876" s="97"/>
      <c r="AD876" s="97"/>
      <c r="AE876" s="97"/>
      <c r="AF876" s="97"/>
      <c r="AG876" s="97"/>
      <c r="AH876" s="97"/>
      <c r="AI876" s="97"/>
      <c r="AJ876" s="97"/>
      <c r="AK876" s="97"/>
      <c r="AL876" s="97"/>
      <c r="AM876" s="97"/>
      <c r="AN876" s="97"/>
      <c r="AO876" s="97"/>
      <c r="AP876" s="97"/>
      <c r="AQ876" s="97"/>
      <c r="AR876" s="97"/>
      <c r="AS876" s="97"/>
      <c r="AT876" s="97"/>
      <c r="AU876" s="97"/>
      <c r="AV876" s="97"/>
      <c r="AW876" s="97"/>
      <c r="AX876" s="97"/>
      <c r="AY876" s="97"/>
      <c r="AZ876" s="97"/>
      <c r="BA876" s="97"/>
      <c r="BB876" s="97"/>
      <c r="BC876" s="97"/>
      <c r="BD876" s="97"/>
      <c r="BE876" s="97"/>
      <c r="BF876" s="97"/>
      <c r="BG876" s="97"/>
      <c r="BH876" s="97"/>
      <c r="BI876" s="97"/>
      <c r="BJ876" s="97"/>
      <c r="BK876" s="97"/>
      <c r="BL876" s="97"/>
      <c r="BM876" s="97"/>
      <c r="BN876" s="97"/>
      <c r="BO876" s="97"/>
      <c r="BP876" s="97"/>
      <c r="BQ876" s="97"/>
      <c r="BR876" s="97"/>
      <c r="BS876" s="97"/>
      <c r="BT876" s="97"/>
      <c r="BU876" s="97"/>
      <c r="BV876" s="97"/>
      <c r="BW876" s="97"/>
      <c r="BX876" s="97"/>
      <c r="BY876" s="97"/>
      <c r="BZ876" s="97"/>
      <c r="CA876" s="97"/>
      <c r="CB876" s="97"/>
      <c r="CC876" s="97"/>
      <c r="CD876" s="97"/>
      <c r="CE876" s="97"/>
      <c r="CF876" s="97"/>
      <c r="CG876" s="97"/>
      <c r="CH876" s="97"/>
      <c r="CI876" s="97"/>
      <c r="CJ876" s="97"/>
      <c r="CK876" s="97"/>
      <c r="CL876" s="97"/>
      <c r="CM876" s="97"/>
      <c r="CN876" s="97"/>
      <c r="CO876" s="97"/>
      <c r="CP876" s="97"/>
      <c r="CQ876" s="97"/>
    </row>
    <row r="877" spans="1:95" ht="14.45" hidden="1">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97"/>
      <c r="AH877" s="97"/>
      <c r="AI877" s="97"/>
      <c r="AJ877" s="97"/>
      <c r="AK877" s="97"/>
      <c r="AL877" s="97"/>
      <c r="AM877" s="97"/>
      <c r="AN877" s="97"/>
      <c r="AO877" s="97"/>
      <c r="AP877" s="97"/>
      <c r="AQ877" s="97"/>
      <c r="AR877" s="97"/>
      <c r="AS877" s="97"/>
      <c r="AT877" s="97"/>
      <c r="AU877" s="97"/>
      <c r="AV877" s="97"/>
      <c r="AW877" s="97"/>
      <c r="AX877" s="97"/>
      <c r="AY877" s="97"/>
      <c r="AZ877" s="97"/>
      <c r="BA877" s="97"/>
      <c r="BB877" s="97"/>
      <c r="BC877" s="97"/>
      <c r="BD877" s="97"/>
      <c r="BE877" s="97"/>
      <c r="BF877" s="97"/>
      <c r="BG877" s="97"/>
      <c r="BH877" s="97"/>
      <c r="BI877" s="97"/>
      <c r="BJ877" s="97"/>
      <c r="BK877" s="97"/>
      <c r="BL877" s="97"/>
      <c r="BM877" s="97"/>
      <c r="BN877" s="97"/>
      <c r="BO877" s="97"/>
      <c r="BP877" s="97"/>
      <c r="BQ877" s="97"/>
      <c r="BR877" s="97"/>
      <c r="BS877" s="97"/>
      <c r="BT877" s="97"/>
      <c r="BU877" s="97"/>
      <c r="BV877" s="97"/>
      <c r="BW877" s="97"/>
      <c r="BX877" s="97"/>
      <c r="BY877" s="97"/>
      <c r="BZ877" s="97"/>
      <c r="CA877" s="97"/>
      <c r="CB877" s="97"/>
      <c r="CC877" s="97"/>
      <c r="CD877" s="97"/>
      <c r="CE877" s="97"/>
      <c r="CF877" s="97"/>
      <c r="CG877" s="97"/>
      <c r="CH877" s="97"/>
      <c r="CI877" s="97"/>
      <c r="CJ877" s="97"/>
      <c r="CK877" s="97"/>
      <c r="CL877" s="97"/>
      <c r="CM877" s="97"/>
      <c r="CN877" s="97"/>
      <c r="CO877" s="97"/>
      <c r="CP877" s="97"/>
      <c r="CQ877" s="97"/>
    </row>
    <row r="878" spans="1:95" ht="14.45" hidden="1">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7"/>
      <c r="AW878" s="97"/>
      <c r="AX878" s="97"/>
      <c r="AY878" s="97"/>
      <c r="AZ878" s="97"/>
      <c r="BA878" s="97"/>
      <c r="BB878" s="97"/>
      <c r="BC878" s="97"/>
      <c r="BD878" s="97"/>
      <c r="BE878" s="97"/>
      <c r="BF878" s="97"/>
      <c r="BG878" s="97"/>
      <c r="BH878" s="97"/>
      <c r="BI878" s="97"/>
      <c r="BJ878" s="97"/>
      <c r="BK878" s="97"/>
      <c r="BL878" s="97"/>
      <c r="BM878" s="97"/>
      <c r="BN878" s="97"/>
      <c r="BO878" s="97"/>
      <c r="BP878" s="97"/>
      <c r="BQ878" s="97"/>
      <c r="BR878" s="97"/>
      <c r="BS878" s="97"/>
      <c r="BT878" s="97"/>
      <c r="BU878" s="97"/>
      <c r="BV878" s="97"/>
      <c r="BW878" s="97"/>
      <c r="BX878" s="97"/>
      <c r="BY878" s="97"/>
      <c r="BZ878" s="97"/>
      <c r="CA878" s="97"/>
      <c r="CB878" s="97"/>
      <c r="CC878" s="97"/>
      <c r="CD878" s="97"/>
      <c r="CE878" s="97"/>
      <c r="CF878" s="97"/>
      <c r="CG878" s="97"/>
      <c r="CH878" s="97"/>
      <c r="CI878" s="97"/>
      <c r="CJ878" s="97"/>
      <c r="CK878" s="97"/>
      <c r="CL878" s="97"/>
      <c r="CM878" s="97"/>
      <c r="CN878" s="97"/>
      <c r="CO878" s="97"/>
      <c r="CP878" s="97"/>
      <c r="CQ878" s="97"/>
    </row>
    <row r="879" spans="1:95" ht="14.45" hidden="1">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c r="AA879" s="97"/>
      <c r="AB879" s="97"/>
      <c r="AC879" s="97"/>
      <c r="AD879" s="97"/>
      <c r="AE879" s="97"/>
      <c r="AF879" s="97"/>
      <c r="AG879" s="97"/>
      <c r="AH879" s="97"/>
      <c r="AI879" s="97"/>
      <c r="AJ879" s="97"/>
      <c r="AK879" s="97"/>
      <c r="AL879" s="97"/>
      <c r="AM879" s="97"/>
      <c r="AN879" s="97"/>
      <c r="AO879" s="97"/>
      <c r="AP879" s="97"/>
      <c r="AQ879" s="97"/>
      <c r="AR879" s="97"/>
      <c r="AS879" s="97"/>
      <c r="AT879" s="97"/>
      <c r="AU879" s="97"/>
      <c r="AV879" s="97"/>
      <c r="AW879" s="97"/>
      <c r="AX879" s="97"/>
      <c r="AY879" s="97"/>
      <c r="AZ879" s="97"/>
      <c r="BA879" s="97"/>
      <c r="BB879" s="97"/>
      <c r="BC879" s="97"/>
      <c r="BD879" s="97"/>
      <c r="BE879" s="97"/>
      <c r="BF879" s="97"/>
      <c r="BG879" s="97"/>
      <c r="BH879" s="97"/>
      <c r="BI879" s="97"/>
      <c r="BJ879" s="97"/>
      <c r="BK879" s="97"/>
      <c r="BL879" s="97"/>
      <c r="BM879" s="97"/>
      <c r="BN879" s="97"/>
      <c r="BO879" s="97"/>
      <c r="BP879" s="97"/>
      <c r="BQ879" s="97"/>
      <c r="BR879" s="97"/>
      <c r="BS879" s="97"/>
      <c r="BT879" s="97"/>
      <c r="BU879" s="97"/>
      <c r="BV879" s="97"/>
      <c r="BW879" s="97"/>
      <c r="BX879" s="97"/>
      <c r="BY879" s="97"/>
      <c r="BZ879" s="97"/>
      <c r="CA879" s="97"/>
      <c r="CB879" s="97"/>
      <c r="CC879" s="97"/>
      <c r="CD879" s="97"/>
      <c r="CE879" s="97"/>
      <c r="CF879" s="97"/>
      <c r="CG879" s="97"/>
      <c r="CH879" s="97"/>
      <c r="CI879" s="97"/>
      <c r="CJ879" s="97"/>
      <c r="CK879" s="97"/>
      <c r="CL879" s="97"/>
      <c r="CM879" s="97"/>
      <c r="CN879" s="97"/>
      <c r="CO879" s="97"/>
      <c r="CP879" s="97"/>
      <c r="CQ879" s="97"/>
    </row>
    <row r="880" spans="1:95" ht="14.45" hidden="1">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c r="AA880" s="97"/>
      <c r="AB880" s="97"/>
      <c r="AC880" s="97"/>
      <c r="AD880" s="97"/>
      <c r="AE880" s="97"/>
      <c r="AF880" s="97"/>
      <c r="AG880" s="97"/>
      <c r="AH880" s="97"/>
      <c r="AI880" s="97"/>
      <c r="AJ880" s="97"/>
      <c r="AK880" s="97"/>
      <c r="AL880" s="97"/>
      <c r="AM880" s="97"/>
      <c r="AN880" s="97"/>
      <c r="AO880" s="97"/>
      <c r="AP880" s="97"/>
      <c r="AQ880" s="97"/>
      <c r="AR880" s="97"/>
      <c r="AS880" s="97"/>
      <c r="AT880" s="97"/>
      <c r="AU880" s="97"/>
      <c r="AV880" s="97"/>
      <c r="AW880" s="97"/>
      <c r="AX880" s="97"/>
      <c r="AY880" s="97"/>
      <c r="AZ880" s="97"/>
      <c r="BA880" s="97"/>
      <c r="BB880" s="97"/>
      <c r="BC880" s="97"/>
      <c r="BD880" s="97"/>
      <c r="BE880" s="97"/>
      <c r="BF880" s="97"/>
      <c r="BG880" s="97"/>
      <c r="BH880" s="97"/>
      <c r="BI880" s="97"/>
      <c r="BJ880" s="97"/>
      <c r="BK880" s="97"/>
      <c r="BL880" s="97"/>
      <c r="BM880" s="97"/>
      <c r="BN880" s="97"/>
      <c r="BO880" s="97"/>
      <c r="BP880" s="97"/>
      <c r="BQ880" s="97"/>
      <c r="BR880" s="97"/>
      <c r="BS880" s="97"/>
      <c r="BT880" s="97"/>
      <c r="BU880" s="97"/>
      <c r="BV880" s="97"/>
      <c r="BW880" s="97"/>
      <c r="BX880" s="97"/>
      <c r="BY880" s="97"/>
      <c r="BZ880" s="97"/>
      <c r="CA880" s="97"/>
      <c r="CB880" s="97"/>
      <c r="CC880" s="97"/>
      <c r="CD880" s="97"/>
      <c r="CE880" s="97"/>
      <c r="CF880" s="97"/>
      <c r="CG880" s="97"/>
      <c r="CH880" s="97"/>
      <c r="CI880" s="97"/>
      <c r="CJ880" s="97"/>
      <c r="CK880" s="97"/>
      <c r="CL880" s="97"/>
      <c r="CM880" s="97"/>
      <c r="CN880" s="97"/>
      <c r="CO880" s="97"/>
      <c r="CP880" s="97"/>
      <c r="CQ880" s="97"/>
    </row>
    <row r="881" spans="1:95" ht="14.45" hidden="1">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c r="AA881" s="97"/>
      <c r="AB881" s="97"/>
      <c r="AC881" s="97"/>
      <c r="AD881" s="97"/>
      <c r="AE881" s="97"/>
      <c r="AF881" s="97"/>
      <c r="AG881" s="97"/>
      <c r="AH881" s="97"/>
      <c r="AI881" s="97"/>
      <c r="AJ881" s="97"/>
      <c r="AK881" s="97"/>
      <c r="AL881" s="97"/>
      <c r="AM881" s="97"/>
      <c r="AN881" s="97"/>
      <c r="AO881" s="97"/>
      <c r="AP881" s="97"/>
      <c r="AQ881" s="97"/>
      <c r="AR881" s="97"/>
      <c r="AS881" s="97"/>
      <c r="AT881" s="97"/>
      <c r="AU881" s="97"/>
      <c r="AV881" s="97"/>
      <c r="AW881" s="97"/>
      <c r="AX881" s="97"/>
      <c r="AY881" s="97"/>
      <c r="AZ881" s="97"/>
      <c r="BA881" s="97"/>
      <c r="BB881" s="97"/>
      <c r="BC881" s="97"/>
      <c r="BD881" s="97"/>
      <c r="BE881" s="97"/>
      <c r="BF881" s="97"/>
      <c r="BG881" s="97"/>
      <c r="BH881" s="97"/>
      <c r="BI881" s="97"/>
      <c r="BJ881" s="97"/>
      <c r="BK881" s="97"/>
      <c r="BL881" s="97"/>
      <c r="BM881" s="97"/>
      <c r="BN881" s="97"/>
      <c r="BO881" s="97"/>
      <c r="BP881" s="97"/>
      <c r="BQ881" s="97"/>
      <c r="BR881" s="97"/>
      <c r="BS881" s="97"/>
      <c r="BT881" s="97"/>
      <c r="BU881" s="97"/>
      <c r="BV881" s="97"/>
      <c r="BW881" s="97"/>
      <c r="BX881" s="97"/>
      <c r="BY881" s="97"/>
      <c r="BZ881" s="97"/>
      <c r="CA881" s="97"/>
      <c r="CB881" s="97"/>
      <c r="CC881" s="97"/>
      <c r="CD881" s="97"/>
      <c r="CE881" s="97"/>
      <c r="CF881" s="97"/>
      <c r="CG881" s="97"/>
      <c r="CH881" s="97"/>
      <c r="CI881" s="97"/>
      <c r="CJ881" s="97"/>
      <c r="CK881" s="97"/>
      <c r="CL881" s="97"/>
      <c r="CM881" s="97"/>
      <c r="CN881" s="97"/>
      <c r="CO881" s="97"/>
      <c r="CP881" s="97"/>
      <c r="CQ881" s="97"/>
    </row>
    <row r="882" spans="1:95" ht="14.45" hidden="1">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c r="AA882" s="97"/>
      <c r="AB882" s="97"/>
      <c r="AC882" s="97"/>
      <c r="AD882" s="97"/>
      <c r="AE882" s="97"/>
      <c r="AF882" s="97"/>
      <c r="AG882" s="97"/>
      <c r="AH882" s="97"/>
      <c r="AI882" s="97"/>
      <c r="AJ882" s="97"/>
      <c r="AK882" s="97"/>
      <c r="AL882" s="97"/>
      <c r="AM882" s="97"/>
      <c r="AN882" s="97"/>
      <c r="AO882" s="97"/>
      <c r="AP882" s="97"/>
      <c r="AQ882" s="97"/>
      <c r="AR882" s="97"/>
      <c r="AS882" s="97"/>
      <c r="AT882" s="97"/>
      <c r="AU882" s="97"/>
      <c r="AV882" s="97"/>
      <c r="AW882" s="97"/>
      <c r="AX882" s="97"/>
      <c r="AY882" s="97"/>
      <c r="AZ882" s="97"/>
      <c r="BA882" s="97"/>
      <c r="BB882" s="97"/>
      <c r="BC882" s="97"/>
      <c r="BD882" s="97"/>
      <c r="BE882" s="97"/>
      <c r="BF882" s="97"/>
      <c r="BG882" s="97"/>
      <c r="BH882" s="97"/>
      <c r="BI882" s="97"/>
      <c r="BJ882" s="97"/>
      <c r="BK882" s="97"/>
      <c r="BL882" s="97"/>
      <c r="BM882" s="97"/>
      <c r="BN882" s="97"/>
      <c r="BO882" s="97"/>
      <c r="BP882" s="97"/>
      <c r="BQ882" s="97"/>
      <c r="BR882" s="97"/>
      <c r="BS882" s="97"/>
      <c r="BT882" s="97"/>
      <c r="BU882" s="97"/>
      <c r="BV882" s="97"/>
      <c r="BW882" s="97"/>
      <c r="BX882" s="97"/>
      <c r="BY882" s="97"/>
      <c r="BZ882" s="97"/>
      <c r="CA882" s="97"/>
      <c r="CB882" s="97"/>
      <c r="CC882" s="97"/>
      <c r="CD882" s="97"/>
      <c r="CE882" s="97"/>
      <c r="CF882" s="97"/>
      <c r="CG882" s="97"/>
      <c r="CH882" s="97"/>
      <c r="CI882" s="97"/>
      <c r="CJ882" s="97"/>
      <c r="CK882" s="97"/>
      <c r="CL882" s="97"/>
      <c r="CM882" s="97"/>
      <c r="CN882" s="97"/>
      <c r="CO882" s="97"/>
      <c r="CP882" s="97"/>
      <c r="CQ882" s="97"/>
    </row>
    <row r="883" spans="1:95" ht="14.45" hidden="1">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c r="AA883" s="97"/>
      <c r="AB883" s="97"/>
      <c r="AC883" s="97"/>
      <c r="AD883" s="97"/>
      <c r="AE883" s="97"/>
      <c r="AF883" s="97"/>
      <c r="AG883" s="97"/>
      <c r="AH883" s="97"/>
      <c r="AI883" s="97"/>
      <c r="AJ883" s="97"/>
      <c r="AK883" s="97"/>
      <c r="AL883" s="97"/>
      <c r="AM883" s="97"/>
      <c r="AN883" s="97"/>
      <c r="AO883" s="97"/>
      <c r="AP883" s="97"/>
      <c r="AQ883" s="97"/>
      <c r="AR883" s="97"/>
      <c r="AS883" s="97"/>
      <c r="AT883" s="97"/>
      <c r="AU883" s="97"/>
      <c r="AV883" s="97"/>
      <c r="AW883" s="97"/>
      <c r="AX883" s="97"/>
      <c r="AY883" s="97"/>
      <c r="AZ883" s="97"/>
      <c r="BA883" s="97"/>
      <c r="BB883" s="97"/>
      <c r="BC883" s="97"/>
      <c r="BD883" s="97"/>
      <c r="BE883" s="97"/>
      <c r="BF883" s="97"/>
      <c r="BG883" s="97"/>
      <c r="BH883" s="97"/>
      <c r="BI883" s="97"/>
      <c r="BJ883" s="97"/>
      <c r="BK883" s="97"/>
      <c r="BL883" s="97"/>
      <c r="BM883" s="97"/>
      <c r="BN883" s="97"/>
      <c r="BO883" s="97"/>
      <c r="BP883" s="97"/>
      <c r="BQ883" s="97"/>
      <c r="BR883" s="97"/>
      <c r="BS883" s="97"/>
      <c r="BT883" s="97"/>
      <c r="BU883" s="97"/>
      <c r="BV883" s="97"/>
      <c r="BW883" s="97"/>
      <c r="BX883" s="97"/>
      <c r="BY883" s="97"/>
      <c r="BZ883" s="97"/>
      <c r="CA883" s="97"/>
      <c r="CB883" s="97"/>
      <c r="CC883" s="97"/>
      <c r="CD883" s="97"/>
      <c r="CE883" s="97"/>
      <c r="CF883" s="97"/>
      <c r="CG883" s="97"/>
      <c r="CH883" s="97"/>
      <c r="CI883" s="97"/>
      <c r="CJ883" s="97"/>
      <c r="CK883" s="97"/>
      <c r="CL883" s="97"/>
      <c r="CM883" s="97"/>
      <c r="CN883" s="97"/>
      <c r="CO883" s="97"/>
      <c r="CP883" s="97"/>
      <c r="CQ883" s="97"/>
    </row>
    <row r="884" spans="1:95" ht="14.45" hidden="1">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c r="AA884" s="97"/>
      <c r="AB884" s="97"/>
      <c r="AC884" s="97"/>
      <c r="AD884" s="97"/>
      <c r="AE884" s="97"/>
      <c r="AF884" s="97"/>
      <c r="AG884" s="97"/>
      <c r="AH884" s="97"/>
      <c r="AI884" s="97"/>
      <c r="AJ884" s="97"/>
      <c r="AK884" s="97"/>
      <c r="AL884" s="97"/>
      <c r="AM884" s="97"/>
      <c r="AN884" s="97"/>
      <c r="AO884" s="97"/>
      <c r="AP884" s="97"/>
      <c r="AQ884" s="97"/>
      <c r="AR884" s="97"/>
      <c r="AS884" s="97"/>
      <c r="AT884" s="97"/>
      <c r="AU884" s="97"/>
      <c r="AV884" s="97"/>
      <c r="AW884" s="97"/>
      <c r="AX884" s="97"/>
      <c r="AY884" s="97"/>
      <c r="AZ884" s="97"/>
      <c r="BA884" s="97"/>
      <c r="BB884" s="97"/>
      <c r="BC884" s="97"/>
      <c r="BD884" s="97"/>
      <c r="BE884" s="97"/>
      <c r="BF884" s="97"/>
      <c r="BG884" s="97"/>
      <c r="BH884" s="97"/>
      <c r="BI884" s="97"/>
      <c r="BJ884" s="97"/>
      <c r="BK884" s="97"/>
      <c r="BL884" s="97"/>
      <c r="BM884" s="97"/>
      <c r="BN884" s="97"/>
      <c r="BO884" s="97"/>
      <c r="BP884" s="97"/>
      <c r="BQ884" s="97"/>
      <c r="BR884" s="97"/>
      <c r="BS884" s="97"/>
      <c r="BT884" s="97"/>
      <c r="BU884" s="97"/>
      <c r="BV884" s="97"/>
      <c r="BW884" s="97"/>
      <c r="BX884" s="97"/>
      <c r="BY884" s="97"/>
      <c r="BZ884" s="97"/>
      <c r="CA884" s="97"/>
      <c r="CB884" s="97"/>
      <c r="CC884" s="97"/>
      <c r="CD884" s="97"/>
      <c r="CE884" s="97"/>
      <c r="CF884" s="97"/>
      <c r="CG884" s="97"/>
      <c r="CH884" s="97"/>
      <c r="CI884" s="97"/>
      <c r="CJ884" s="97"/>
      <c r="CK884" s="97"/>
      <c r="CL884" s="97"/>
      <c r="CM884" s="97"/>
      <c r="CN884" s="97"/>
      <c r="CO884" s="97"/>
      <c r="CP884" s="97"/>
      <c r="CQ884" s="97"/>
    </row>
    <row r="885" spans="1:95" ht="14.45" hidden="1">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L885" s="97"/>
      <c r="BM885" s="97"/>
      <c r="BN885" s="97"/>
      <c r="BO885" s="97"/>
      <c r="BP885" s="97"/>
      <c r="BQ885" s="97"/>
      <c r="BR885" s="97"/>
      <c r="BS885" s="97"/>
      <c r="BT885" s="97"/>
      <c r="BU885" s="97"/>
      <c r="BV885" s="97"/>
      <c r="BW885" s="97"/>
      <c r="BX885" s="97"/>
      <c r="BY885" s="97"/>
      <c r="BZ885" s="97"/>
      <c r="CA885" s="97"/>
      <c r="CB885" s="97"/>
      <c r="CC885" s="97"/>
      <c r="CD885" s="97"/>
      <c r="CE885" s="97"/>
      <c r="CF885" s="97"/>
      <c r="CG885" s="97"/>
      <c r="CH885" s="97"/>
      <c r="CI885" s="97"/>
      <c r="CJ885" s="97"/>
      <c r="CK885" s="97"/>
      <c r="CL885" s="97"/>
      <c r="CM885" s="97"/>
      <c r="CN885" s="97"/>
      <c r="CO885" s="97"/>
      <c r="CP885" s="97"/>
      <c r="CQ885" s="97"/>
    </row>
    <row r="886" spans="1:95" ht="14.45" hidden="1">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c r="AA886" s="97"/>
      <c r="AB886" s="97"/>
      <c r="AC886" s="97"/>
      <c r="AD886" s="97"/>
      <c r="AE886" s="97"/>
      <c r="AF886" s="97"/>
      <c r="AG886" s="97"/>
      <c r="AH886" s="97"/>
      <c r="AI886" s="97"/>
      <c r="AJ886" s="97"/>
      <c r="AK886" s="97"/>
      <c r="AL886" s="97"/>
      <c r="AM886" s="97"/>
      <c r="AN886" s="97"/>
      <c r="AO886" s="97"/>
      <c r="AP886" s="97"/>
      <c r="AQ886" s="97"/>
      <c r="AR886" s="97"/>
      <c r="AS886" s="97"/>
      <c r="AT886" s="97"/>
      <c r="AU886" s="97"/>
      <c r="AV886" s="97"/>
      <c r="AW886" s="97"/>
      <c r="AX886" s="97"/>
      <c r="AY886" s="97"/>
      <c r="AZ886" s="97"/>
      <c r="BA886" s="97"/>
      <c r="BB886" s="97"/>
      <c r="BC886" s="97"/>
      <c r="BD886" s="97"/>
      <c r="BE886" s="97"/>
      <c r="BF886" s="97"/>
      <c r="BG886" s="97"/>
      <c r="BH886" s="97"/>
      <c r="BI886" s="97"/>
      <c r="BJ886" s="97"/>
      <c r="BK886" s="97"/>
      <c r="BL886" s="97"/>
      <c r="BM886" s="97"/>
      <c r="BN886" s="97"/>
      <c r="BO886" s="97"/>
      <c r="BP886" s="97"/>
      <c r="BQ886" s="97"/>
      <c r="BR886" s="97"/>
      <c r="BS886" s="97"/>
      <c r="BT886" s="97"/>
      <c r="BU886" s="97"/>
      <c r="BV886" s="97"/>
      <c r="BW886" s="97"/>
      <c r="BX886" s="97"/>
      <c r="BY886" s="97"/>
      <c r="BZ886" s="97"/>
      <c r="CA886" s="97"/>
      <c r="CB886" s="97"/>
      <c r="CC886" s="97"/>
      <c r="CD886" s="97"/>
      <c r="CE886" s="97"/>
      <c r="CF886" s="97"/>
      <c r="CG886" s="97"/>
      <c r="CH886" s="97"/>
      <c r="CI886" s="97"/>
      <c r="CJ886" s="97"/>
      <c r="CK886" s="97"/>
      <c r="CL886" s="97"/>
      <c r="CM886" s="97"/>
      <c r="CN886" s="97"/>
      <c r="CO886" s="97"/>
      <c r="CP886" s="97"/>
      <c r="CQ886" s="97"/>
    </row>
    <row r="887" spans="1:95" ht="14.45" hidden="1">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c r="AA887" s="97"/>
      <c r="AB887" s="97"/>
      <c r="AC887" s="97"/>
      <c r="AD887" s="97"/>
      <c r="AE887" s="97"/>
      <c r="AF887" s="97"/>
      <c r="AG887" s="97"/>
      <c r="AH887" s="97"/>
      <c r="AI887" s="97"/>
      <c r="AJ887" s="97"/>
      <c r="AK887" s="97"/>
      <c r="AL887" s="97"/>
      <c r="AM887" s="97"/>
      <c r="AN887" s="97"/>
      <c r="AO887" s="97"/>
      <c r="AP887" s="97"/>
      <c r="AQ887" s="97"/>
      <c r="AR887" s="97"/>
      <c r="AS887" s="97"/>
      <c r="AT887" s="97"/>
      <c r="AU887" s="97"/>
      <c r="AV887" s="97"/>
      <c r="AW887" s="97"/>
      <c r="AX887" s="97"/>
      <c r="AY887" s="97"/>
      <c r="AZ887" s="97"/>
      <c r="BA887" s="97"/>
      <c r="BB887" s="97"/>
      <c r="BC887" s="97"/>
      <c r="BD887" s="97"/>
      <c r="BE887" s="97"/>
      <c r="BF887" s="97"/>
      <c r="BG887" s="97"/>
      <c r="BH887" s="97"/>
      <c r="BI887" s="97"/>
      <c r="BJ887" s="97"/>
      <c r="BK887" s="97"/>
      <c r="BL887" s="97"/>
      <c r="BM887" s="97"/>
      <c r="BN887" s="97"/>
      <c r="BO887" s="97"/>
      <c r="BP887" s="97"/>
      <c r="BQ887" s="97"/>
      <c r="BR887" s="97"/>
      <c r="BS887" s="97"/>
      <c r="BT887" s="97"/>
      <c r="BU887" s="97"/>
      <c r="BV887" s="97"/>
      <c r="BW887" s="97"/>
      <c r="BX887" s="97"/>
      <c r="BY887" s="97"/>
      <c r="BZ887" s="97"/>
      <c r="CA887" s="97"/>
      <c r="CB887" s="97"/>
      <c r="CC887" s="97"/>
      <c r="CD887" s="97"/>
      <c r="CE887" s="97"/>
      <c r="CF887" s="97"/>
      <c r="CG887" s="97"/>
      <c r="CH887" s="97"/>
      <c r="CI887" s="97"/>
      <c r="CJ887" s="97"/>
      <c r="CK887" s="97"/>
      <c r="CL887" s="97"/>
      <c r="CM887" s="97"/>
      <c r="CN887" s="97"/>
      <c r="CO887" s="97"/>
      <c r="CP887" s="97"/>
      <c r="CQ887" s="97"/>
    </row>
    <row r="888" spans="1:95" ht="14.45" hidden="1">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c r="AA888" s="97"/>
      <c r="AB888" s="97"/>
      <c r="AC888" s="97"/>
      <c r="AD888" s="97"/>
      <c r="AE888" s="97"/>
      <c r="AF888" s="97"/>
      <c r="AG888" s="97"/>
      <c r="AH888" s="97"/>
      <c r="AI888" s="97"/>
      <c r="AJ888" s="97"/>
      <c r="AK888" s="97"/>
      <c r="AL888" s="97"/>
      <c r="AM888" s="97"/>
      <c r="AN888" s="97"/>
      <c r="AO888" s="97"/>
      <c r="AP888" s="97"/>
      <c r="AQ888" s="97"/>
      <c r="AR888" s="97"/>
      <c r="AS888" s="97"/>
      <c r="AT888" s="97"/>
      <c r="AU888" s="97"/>
      <c r="AV888" s="97"/>
      <c r="AW888" s="97"/>
      <c r="AX888" s="97"/>
      <c r="AY888" s="97"/>
      <c r="AZ888" s="97"/>
      <c r="BA888" s="97"/>
      <c r="BB888" s="97"/>
      <c r="BC888" s="97"/>
      <c r="BD888" s="97"/>
      <c r="BE888" s="97"/>
      <c r="BF888" s="97"/>
      <c r="BG888" s="97"/>
      <c r="BH888" s="97"/>
      <c r="BI888" s="97"/>
      <c r="BJ888" s="97"/>
      <c r="BK888" s="97"/>
      <c r="BL888" s="97"/>
      <c r="BM888" s="97"/>
      <c r="BN888" s="97"/>
      <c r="BO888" s="97"/>
      <c r="BP888" s="97"/>
      <c r="BQ888" s="97"/>
      <c r="BR888" s="97"/>
      <c r="BS888" s="97"/>
      <c r="BT888" s="97"/>
      <c r="BU888" s="97"/>
      <c r="BV888" s="97"/>
      <c r="BW888" s="97"/>
      <c r="BX888" s="97"/>
      <c r="BY888" s="97"/>
      <c r="BZ888" s="97"/>
      <c r="CA888" s="97"/>
      <c r="CB888" s="97"/>
      <c r="CC888" s="97"/>
      <c r="CD888" s="97"/>
      <c r="CE888" s="97"/>
      <c r="CF888" s="97"/>
      <c r="CG888" s="97"/>
      <c r="CH888" s="97"/>
      <c r="CI888" s="97"/>
      <c r="CJ888" s="97"/>
      <c r="CK888" s="97"/>
      <c r="CL888" s="97"/>
      <c r="CM888" s="97"/>
      <c r="CN888" s="97"/>
      <c r="CO888" s="97"/>
      <c r="CP888" s="97"/>
      <c r="CQ888" s="97"/>
    </row>
    <row r="889" spans="1:95" ht="14.45" hidden="1">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c r="AA889" s="97"/>
      <c r="AB889" s="97"/>
      <c r="AC889" s="97"/>
      <c r="AD889" s="97"/>
      <c r="AE889" s="97"/>
      <c r="AF889" s="97"/>
      <c r="AG889" s="97"/>
      <c r="AH889" s="97"/>
      <c r="AI889" s="97"/>
      <c r="AJ889" s="97"/>
      <c r="AK889" s="97"/>
      <c r="AL889" s="97"/>
      <c r="AM889" s="97"/>
      <c r="AN889" s="97"/>
      <c r="AO889" s="97"/>
      <c r="AP889" s="97"/>
      <c r="AQ889" s="97"/>
      <c r="AR889" s="97"/>
      <c r="AS889" s="97"/>
      <c r="AT889" s="97"/>
      <c r="AU889" s="97"/>
      <c r="AV889" s="97"/>
      <c r="AW889" s="97"/>
      <c r="AX889" s="97"/>
      <c r="AY889" s="97"/>
      <c r="AZ889" s="97"/>
      <c r="BA889" s="97"/>
      <c r="BB889" s="97"/>
      <c r="BC889" s="97"/>
      <c r="BD889" s="97"/>
      <c r="BE889" s="97"/>
      <c r="BF889" s="97"/>
      <c r="BG889" s="97"/>
      <c r="BH889" s="97"/>
      <c r="BI889" s="97"/>
      <c r="BJ889" s="97"/>
      <c r="BK889" s="97"/>
      <c r="BL889" s="97"/>
      <c r="BM889" s="97"/>
      <c r="BN889" s="97"/>
      <c r="BO889" s="97"/>
      <c r="BP889" s="97"/>
      <c r="BQ889" s="97"/>
      <c r="BR889" s="97"/>
      <c r="BS889" s="97"/>
      <c r="BT889" s="97"/>
      <c r="BU889" s="97"/>
      <c r="BV889" s="97"/>
      <c r="BW889" s="97"/>
      <c r="BX889" s="97"/>
      <c r="BY889" s="97"/>
      <c r="BZ889" s="97"/>
      <c r="CA889" s="97"/>
      <c r="CB889" s="97"/>
      <c r="CC889" s="97"/>
      <c r="CD889" s="97"/>
      <c r="CE889" s="97"/>
      <c r="CF889" s="97"/>
      <c r="CG889" s="97"/>
      <c r="CH889" s="97"/>
      <c r="CI889" s="97"/>
      <c r="CJ889" s="97"/>
      <c r="CK889" s="97"/>
      <c r="CL889" s="97"/>
      <c r="CM889" s="97"/>
      <c r="CN889" s="97"/>
      <c r="CO889" s="97"/>
      <c r="CP889" s="97"/>
      <c r="CQ889" s="97"/>
    </row>
    <row r="890" spans="1:95" ht="14.45" hidden="1">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c r="AA890" s="97"/>
      <c r="AB890" s="97"/>
      <c r="AC890" s="97"/>
      <c r="AD890" s="97"/>
      <c r="AE890" s="97"/>
      <c r="AF890" s="97"/>
      <c r="AG890" s="97"/>
      <c r="AH890" s="97"/>
      <c r="AI890" s="97"/>
      <c r="AJ890" s="97"/>
      <c r="AK890" s="97"/>
      <c r="AL890" s="97"/>
      <c r="AM890" s="97"/>
      <c r="AN890" s="97"/>
      <c r="AO890" s="97"/>
      <c r="AP890" s="97"/>
      <c r="AQ890" s="97"/>
      <c r="AR890" s="97"/>
      <c r="AS890" s="97"/>
      <c r="AT890" s="97"/>
      <c r="AU890" s="97"/>
      <c r="AV890" s="97"/>
      <c r="AW890" s="97"/>
      <c r="AX890" s="97"/>
      <c r="AY890" s="97"/>
      <c r="AZ890" s="97"/>
      <c r="BA890" s="97"/>
      <c r="BB890" s="97"/>
      <c r="BC890" s="97"/>
      <c r="BD890" s="97"/>
      <c r="BE890" s="97"/>
      <c r="BF890" s="97"/>
      <c r="BG890" s="97"/>
      <c r="BH890" s="97"/>
      <c r="BI890" s="97"/>
      <c r="BJ890" s="97"/>
      <c r="BK890" s="97"/>
      <c r="BL890" s="97"/>
      <c r="BM890" s="97"/>
      <c r="BN890" s="97"/>
      <c r="BO890" s="97"/>
      <c r="BP890" s="97"/>
      <c r="BQ890" s="97"/>
      <c r="BR890" s="97"/>
      <c r="BS890" s="97"/>
      <c r="BT890" s="97"/>
      <c r="BU890" s="97"/>
      <c r="BV890" s="97"/>
      <c r="BW890" s="97"/>
      <c r="BX890" s="97"/>
      <c r="BY890" s="97"/>
      <c r="BZ890" s="97"/>
      <c r="CA890" s="97"/>
      <c r="CB890" s="97"/>
      <c r="CC890" s="97"/>
      <c r="CD890" s="97"/>
      <c r="CE890" s="97"/>
      <c r="CF890" s="97"/>
      <c r="CG890" s="97"/>
      <c r="CH890" s="97"/>
      <c r="CI890" s="97"/>
      <c r="CJ890" s="97"/>
      <c r="CK890" s="97"/>
      <c r="CL890" s="97"/>
      <c r="CM890" s="97"/>
      <c r="CN890" s="97"/>
      <c r="CO890" s="97"/>
      <c r="CP890" s="97"/>
      <c r="CQ890" s="97"/>
    </row>
    <row r="891" spans="1:95" ht="14.45" hidden="1">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c r="AA891" s="97"/>
      <c r="AB891" s="97"/>
      <c r="AC891" s="97"/>
      <c r="AD891" s="97"/>
      <c r="AE891" s="97"/>
      <c r="AF891" s="97"/>
      <c r="AG891" s="97"/>
      <c r="AH891" s="97"/>
      <c r="AI891" s="97"/>
      <c r="AJ891" s="97"/>
      <c r="AK891" s="97"/>
      <c r="AL891" s="97"/>
      <c r="AM891" s="97"/>
      <c r="AN891" s="97"/>
      <c r="AO891" s="97"/>
      <c r="AP891" s="97"/>
      <c r="AQ891" s="97"/>
      <c r="AR891" s="97"/>
      <c r="AS891" s="97"/>
      <c r="AT891" s="97"/>
      <c r="AU891" s="97"/>
      <c r="AV891" s="97"/>
      <c r="AW891" s="97"/>
      <c r="AX891" s="97"/>
      <c r="AY891" s="97"/>
      <c r="AZ891" s="97"/>
      <c r="BA891" s="97"/>
      <c r="BB891" s="97"/>
      <c r="BC891" s="97"/>
      <c r="BD891" s="97"/>
      <c r="BE891" s="97"/>
      <c r="BF891" s="97"/>
      <c r="BG891" s="97"/>
      <c r="BH891" s="97"/>
      <c r="BI891" s="97"/>
      <c r="BJ891" s="97"/>
      <c r="BK891" s="97"/>
      <c r="BL891" s="97"/>
      <c r="BM891" s="97"/>
      <c r="BN891" s="97"/>
      <c r="BO891" s="97"/>
      <c r="BP891" s="97"/>
      <c r="BQ891" s="97"/>
      <c r="BR891" s="97"/>
      <c r="BS891" s="97"/>
      <c r="BT891" s="97"/>
      <c r="BU891" s="97"/>
      <c r="BV891" s="97"/>
      <c r="BW891" s="97"/>
      <c r="BX891" s="97"/>
      <c r="BY891" s="97"/>
      <c r="BZ891" s="97"/>
      <c r="CA891" s="97"/>
      <c r="CB891" s="97"/>
      <c r="CC891" s="97"/>
      <c r="CD891" s="97"/>
      <c r="CE891" s="97"/>
      <c r="CF891" s="97"/>
      <c r="CG891" s="97"/>
      <c r="CH891" s="97"/>
      <c r="CI891" s="97"/>
      <c r="CJ891" s="97"/>
      <c r="CK891" s="97"/>
      <c r="CL891" s="97"/>
      <c r="CM891" s="97"/>
      <c r="CN891" s="97"/>
      <c r="CO891" s="97"/>
      <c r="CP891" s="97"/>
      <c r="CQ891" s="97"/>
    </row>
    <row r="892" spans="1:95" ht="14.45" hidden="1">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c r="AA892" s="97"/>
      <c r="AB892" s="97"/>
      <c r="AC892" s="97"/>
      <c r="AD892" s="97"/>
      <c r="AE892" s="97"/>
      <c r="AF892" s="97"/>
      <c r="AG892" s="97"/>
      <c r="AH892" s="97"/>
      <c r="AI892" s="97"/>
      <c r="AJ892" s="97"/>
      <c r="AK892" s="97"/>
      <c r="AL892" s="97"/>
      <c r="AM892" s="97"/>
      <c r="AN892" s="97"/>
      <c r="AO892" s="97"/>
      <c r="AP892" s="97"/>
      <c r="AQ892" s="97"/>
      <c r="AR892" s="97"/>
      <c r="AS892" s="97"/>
      <c r="AT892" s="97"/>
      <c r="AU892" s="97"/>
      <c r="AV892" s="97"/>
      <c r="AW892" s="97"/>
      <c r="AX892" s="97"/>
      <c r="AY892" s="97"/>
      <c r="AZ892" s="97"/>
      <c r="BA892" s="97"/>
      <c r="BB892" s="97"/>
      <c r="BC892" s="97"/>
      <c r="BD892" s="97"/>
      <c r="BE892" s="97"/>
      <c r="BF892" s="97"/>
      <c r="BG892" s="97"/>
      <c r="BH892" s="97"/>
      <c r="BI892" s="97"/>
      <c r="BJ892" s="97"/>
      <c r="BK892" s="97"/>
      <c r="BL892" s="97"/>
      <c r="BM892" s="97"/>
      <c r="BN892" s="97"/>
      <c r="BO892" s="97"/>
      <c r="BP892" s="97"/>
      <c r="BQ892" s="97"/>
      <c r="BR892" s="97"/>
      <c r="BS892" s="97"/>
      <c r="BT892" s="97"/>
      <c r="BU892" s="97"/>
      <c r="BV892" s="97"/>
      <c r="BW892" s="97"/>
      <c r="BX892" s="97"/>
      <c r="BY892" s="97"/>
      <c r="BZ892" s="97"/>
      <c r="CA892" s="97"/>
      <c r="CB892" s="97"/>
      <c r="CC892" s="97"/>
      <c r="CD892" s="97"/>
      <c r="CE892" s="97"/>
      <c r="CF892" s="97"/>
      <c r="CG892" s="97"/>
      <c r="CH892" s="97"/>
      <c r="CI892" s="97"/>
      <c r="CJ892" s="97"/>
      <c r="CK892" s="97"/>
      <c r="CL892" s="97"/>
      <c r="CM892" s="97"/>
      <c r="CN892" s="97"/>
      <c r="CO892" s="97"/>
      <c r="CP892" s="97"/>
      <c r="CQ892" s="97"/>
    </row>
    <row r="893" spans="1:95" ht="14.45" hidden="1">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c r="AA893" s="97"/>
      <c r="AB893" s="97"/>
      <c r="AC893" s="97"/>
      <c r="AD893" s="97"/>
      <c r="AE893" s="97"/>
      <c r="AF893" s="97"/>
      <c r="AG893" s="97"/>
      <c r="AH893" s="97"/>
      <c r="AI893" s="97"/>
      <c r="AJ893" s="97"/>
      <c r="AK893" s="97"/>
      <c r="AL893" s="97"/>
      <c r="AM893" s="97"/>
      <c r="AN893" s="97"/>
      <c r="AO893" s="97"/>
      <c r="AP893" s="97"/>
      <c r="AQ893" s="97"/>
      <c r="AR893" s="97"/>
      <c r="AS893" s="97"/>
      <c r="AT893" s="97"/>
      <c r="AU893" s="97"/>
      <c r="AV893" s="97"/>
      <c r="AW893" s="97"/>
      <c r="AX893" s="97"/>
      <c r="AY893" s="97"/>
      <c r="AZ893" s="97"/>
      <c r="BA893" s="97"/>
      <c r="BB893" s="97"/>
      <c r="BC893" s="97"/>
      <c r="BD893" s="97"/>
      <c r="BE893" s="97"/>
      <c r="BF893" s="97"/>
      <c r="BG893" s="97"/>
      <c r="BH893" s="97"/>
      <c r="BI893" s="97"/>
      <c r="BJ893" s="97"/>
      <c r="BK893" s="97"/>
      <c r="BL893" s="97"/>
      <c r="BM893" s="97"/>
      <c r="BN893" s="97"/>
      <c r="BO893" s="97"/>
      <c r="BP893" s="97"/>
      <c r="BQ893" s="97"/>
      <c r="BR893" s="97"/>
      <c r="BS893" s="97"/>
      <c r="BT893" s="97"/>
      <c r="BU893" s="97"/>
      <c r="BV893" s="97"/>
      <c r="BW893" s="97"/>
      <c r="BX893" s="97"/>
      <c r="BY893" s="97"/>
      <c r="BZ893" s="97"/>
      <c r="CA893" s="97"/>
      <c r="CB893" s="97"/>
      <c r="CC893" s="97"/>
      <c r="CD893" s="97"/>
      <c r="CE893" s="97"/>
      <c r="CF893" s="97"/>
      <c r="CG893" s="97"/>
      <c r="CH893" s="97"/>
      <c r="CI893" s="97"/>
      <c r="CJ893" s="97"/>
      <c r="CK893" s="97"/>
      <c r="CL893" s="97"/>
      <c r="CM893" s="97"/>
      <c r="CN893" s="97"/>
      <c r="CO893" s="97"/>
      <c r="CP893" s="97"/>
      <c r="CQ893" s="97"/>
    </row>
    <row r="894" spans="1:95" ht="14.45" hidden="1">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c r="AA894" s="97"/>
      <c r="AB894" s="97"/>
      <c r="AC894" s="97"/>
      <c r="AD894" s="97"/>
      <c r="AE894" s="97"/>
      <c r="AF894" s="97"/>
      <c r="AG894" s="97"/>
      <c r="AH894" s="97"/>
      <c r="AI894" s="97"/>
      <c r="AJ894" s="97"/>
      <c r="AK894" s="97"/>
      <c r="AL894" s="97"/>
      <c r="AM894" s="97"/>
      <c r="AN894" s="97"/>
      <c r="AO894" s="97"/>
      <c r="AP894" s="97"/>
      <c r="AQ894" s="97"/>
      <c r="AR894" s="97"/>
      <c r="AS894" s="97"/>
      <c r="AT894" s="97"/>
      <c r="AU894" s="97"/>
      <c r="AV894" s="97"/>
      <c r="AW894" s="97"/>
      <c r="AX894" s="97"/>
      <c r="AY894" s="97"/>
      <c r="AZ894" s="97"/>
      <c r="BA894" s="97"/>
      <c r="BB894" s="97"/>
      <c r="BC894" s="97"/>
      <c r="BD894" s="97"/>
      <c r="BE894" s="97"/>
      <c r="BF894" s="97"/>
      <c r="BG894" s="97"/>
      <c r="BH894" s="97"/>
      <c r="BI894" s="97"/>
      <c r="BJ894" s="97"/>
      <c r="BK894" s="97"/>
      <c r="BL894" s="97"/>
      <c r="BM894" s="97"/>
      <c r="BN894" s="97"/>
      <c r="BO894" s="97"/>
      <c r="BP894" s="97"/>
      <c r="BQ894" s="97"/>
      <c r="BR894" s="97"/>
      <c r="BS894" s="97"/>
      <c r="BT894" s="97"/>
      <c r="BU894" s="97"/>
      <c r="BV894" s="97"/>
      <c r="BW894" s="97"/>
      <c r="BX894" s="97"/>
      <c r="BY894" s="97"/>
      <c r="BZ894" s="97"/>
      <c r="CA894" s="97"/>
      <c r="CB894" s="97"/>
      <c r="CC894" s="97"/>
      <c r="CD894" s="97"/>
      <c r="CE894" s="97"/>
      <c r="CF894" s="97"/>
      <c r="CG894" s="97"/>
      <c r="CH894" s="97"/>
      <c r="CI894" s="97"/>
      <c r="CJ894" s="97"/>
      <c r="CK894" s="97"/>
      <c r="CL894" s="97"/>
      <c r="CM894" s="97"/>
      <c r="CN894" s="97"/>
      <c r="CO894" s="97"/>
      <c r="CP894" s="97"/>
      <c r="CQ894" s="97"/>
    </row>
    <row r="895" spans="1:95" ht="14.45" hidden="1">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c r="AA895" s="97"/>
      <c r="AB895" s="97"/>
      <c r="AC895" s="97"/>
      <c r="AD895" s="97"/>
      <c r="AE895" s="97"/>
      <c r="AF895" s="97"/>
      <c r="AG895" s="97"/>
      <c r="AH895" s="97"/>
      <c r="AI895" s="97"/>
      <c r="AJ895" s="97"/>
      <c r="AK895" s="97"/>
      <c r="AL895" s="97"/>
      <c r="AM895" s="97"/>
      <c r="AN895" s="97"/>
      <c r="AO895" s="97"/>
      <c r="AP895" s="97"/>
      <c r="AQ895" s="97"/>
      <c r="AR895" s="97"/>
      <c r="AS895" s="97"/>
      <c r="AT895" s="97"/>
      <c r="AU895" s="97"/>
      <c r="AV895" s="97"/>
      <c r="AW895" s="97"/>
      <c r="AX895" s="97"/>
      <c r="AY895" s="97"/>
      <c r="AZ895" s="97"/>
      <c r="BA895" s="97"/>
      <c r="BB895" s="97"/>
      <c r="BC895" s="97"/>
      <c r="BD895" s="97"/>
      <c r="BE895" s="97"/>
      <c r="BF895" s="97"/>
      <c r="BG895" s="97"/>
      <c r="BH895" s="97"/>
      <c r="BI895" s="97"/>
      <c r="BJ895" s="97"/>
      <c r="BK895" s="97"/>
      <c r="BL895" s="97"/>
      <c r="BM895" s="97"/>
      <c r="BN895" s="97"/>
      <c r="BO895" s="97"/>
      <c r="BP895" s="97"/>
      <c r="BQ895" s="97"/>
      <c r="BR895" s="97"/>
      <c r="BS895" s="97"/>
      <c r="BT895" s="97"/>
      <c r="BU895" s="97"/>
      <c r="BV895" s="97"/>
      <c r="BW895" s="97"/>
      <c r="BX895" s="97"/>
      <c r="BY895" s="97"/>
      <c r="BZ895" s="97"/>
      <c r="CA895" s="97"/>
      <c r="CB895" s="97"/>
      <c r="CC895" s="97"/>
      <c r="CD895" s="97"/>
      <c r="CE895" s="97"/>
      <c r="CF895" s="97"/>
      <c r="CG895" s="97"/>
      <c r="CH895" s="97"/>
      <c r="CI895" s="97"/>
      <c r="CJ895" s="97"/>
      <c r="CK895" s="97"/>
      <c r="CL895" s="97"/>
      <c r="CM895" s="97"/>
      <c r="CN895" s="97"/>
      <c r="CO895" s="97"/>
      <c r="CP895" s="97"/>
      <c r="CQ895" s="97"/>
    </row>
    <row r="896" spans="1:95" ht="14.45" hidden="1">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c r="AA896" s="97"/>
      <c r="AB896" s="97"/>
      <c r="AC896" s="97"/>
      <c r="AD896" s="97"/>
      <c r="AE896" s="97"/>
      <c r="AF896" s="97"/>
      <c r="AG896" s="97"/>
      <c r="AH896" s="97"/>
      <c r="AI896" s="97"/>
      <c r="AJ896" s="97"/>
      <c r="AK896" s="97"/>
      <c r="AL896" s="97"/>
      <c r="AM896" s="97"/>
      <c r="AN896" s="97"/>
      <c r="AO896" s="97"/>
      <c r="AP896" s="97"/>
      <c r="AQ896" s="97"/>
      <c r="AR896" s="97"/>
      <c r="AS896" s="97"/>
      <c r="AT896" s="97"/>
      <c r="AU896" s="97"/>
      <c r="AV896" s="97"/>
      <c r="AW896" s="97"/>
      <c r="AX896" s="97"/>
      <c r="AY896" s="97"/>
      <c r="AZ896" s="97"/>
      <c r="BA896" s="97"/>
      <c r="BB896" s="97"/>
      <c r="BC896" s="97"/>
      <c r="BD896" s="97"/>
      <c r="BE896" s="97"/>
      <c r="BF896" s="97"/>
      <c r="BG896" s="97"/>
      <c r="BH896" s="97"/>
      <c r="BI896" s="97"/>
      <c r="BJ896" s="97"/>
      <c r="BK896" s="97"/>
      <c r="BL896" s="97"/>
      <c r="BM896" s="97"/>
      <c r="BN896" s="97"/>
      <c r="BO896" s="97"/>
      <c r="BP896" s="97"/>
      <c r="BQ896" s="97"/>
      <c r="BR896" s="97"/>
      <c r="BS896" s="97"/>
      <c r="BT896" s="97"/>
      <c r="BU896" s="97"/>
      <c r="BV896" s="97"/>
      <c r="BW896" s="97"/>
      <c r="BX896" s="97"/>
      <c r="BY896" s="97"/>
      <c r="BZ896" s="97"/>
      <c r="CA896" s="97"/>
      <c r="CB896" s="97"/>
      <c r="CC896" s="97"/>
      <c r="CD896" s="97"/>
      <c r="CE896" s="97"/>
      <c r="CF896" s="97"/>
      <c r="CG896" s="97"/>
      <c r="CH896" s="97"/>
      <c r="CI896" s="97"/>
      <c r="CJ896" s="97"/>
      <c r="CK896" s="97"/>
      <c r="CL896" s="97"/>
      <c r="CM896" s="97"/>
      <c r="CN896" s="97"/>
      <c r="CO896" s="97"/>
      <c r="CP896" s="97"/>
      <c r="CQ896" s="97"/>
    </row>
    <row r="897" spans="1:95" ht="14.45" hidden="1">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c r="AN897" s="97"/>
      <c r="AO897" s="97"/>
      <c r="AP897" s="97"/>
      <c r="AQ897" s="97"/>
      <c r="AR897" s="97"/>
      <c r="AS897" s="97"/>
      <c r="AT897" s="97"/>
      <c r="AU897" s="97"/>
      <c r="AV897" s="97"/>
      <c r="AW897" s="97"/>
      <c r="AX897" s="97"/>
      <c r="AY897" s="97"/>
      <c r="AZ897" s="97"/>
      <c r="BA897" s="97"/>
      <c r="BB897" s="97"/>
      <c r="BC897" s="97"/>
      <c r="BD897" s="97"/>
      <c r="BE897" s="97"/>
      <c r="BF897" s="97"/>
      <c r="BG897" s="97"/>
      <c r="BH897" s="97"/>
      <c r="BI897" s="97"/>
      <c r="BJ897" s="97"/>
      <c r="BK897" s="97"/>
      <c r="BL897" s="97"/>
      <c r="BM897" s="97"/>
      <c r="BN897" s="97"/>
      <c r="BO897" s="97"/>
      <c r="BP897" s="97"/>
      <c r="BQ897" s="97"/>
      <c r="BR897" s="97"/>
      <c r="BS897" s="97"/>
      <c r="BT897" s="97"/>
      <c r="BU897" s="97"/>
      <c r="BV897" s="97"/>
      <c r="BW897" s="97"/>
      <c r="BX897" s="97"/>
      <c r="BY897" s="97"/>
      <c r="BZ897" s="97"/>
      <c r="CA897" s="97"/>
      <c r="CB897" s="97"/>
      <c r="CC897" s="97"/>
      <c r="CD897" s="97"/>
      <c r="CE897" s="97"/>
      <c r="CF897" s="97"/>
      <c r="CG897" s="97"/>
      <c r="CH897" s="97"/>
      <c r="CI897" s="97"/>
      <c r="CJ897" s="97"/>
      <c r="CK897" s="97"/>
      <c r="CL897" s="97"/>
      <c r="CM897" s="97"/>
      <c r="CN897" s="97"/>
      <c r="CO897" s="97"/>
      <c r="CP897" s="97"/>
      <c r="CQ897" s="97"/>
    </row>
    <row r="898" spans="1:95" ht="14.45" hidden="1">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c r="AN898" s="97"/>
      <c r="AO898" s="97"/>
      <c r="AP898" s="97"/>
      <c r="AQ898" s="97"/>
      <c r="AR898" s="97"/>
      <c r="AS898" s="97"/>
      <c r="AT898" s="97"/>
      <c r="AU898" s="97"/>
      <c r="AV898" s="97"/>
      <c r="AW898" s="97"/>
      <c r="AX898" s="97"/>
      <c r="AY898" s="97"/>
      <c r="AZ898" s="97"/>
      <c r="BA898" s="97"/>
      <c r="BB898" s="97"/>
      <c r="BC898" s="97"/>
      <c r="BD898" s="97"/>
      <c r="BE898" s="97"/>
      <c r="BF898" s="97"/>
      <c r="BG898" s="97"/>
      <c r="BH898" s="97"/>
      <c r="BI898" s="97"/>
      <c r="BJ898" s="97"/>
      <c r="BK898" s="97"/>
      <c r="BL898" s="97"/>
      <c r="BM898" s="97"/>
      <c r="BN898" s="97"/>
      <c r="BO898" s="97"/>
      <c r="BP898" s="97"/>
      <c r="BQ898" s="97"/>
      <c r="BR898" s="97"/>
      <c r="BS898" s="97"/>
      <c r="BT898" s="97"/>
      <c r="BU898" s="97"/>
      <c r="BV898" s="97"/>
      <c r="BW898" s="97"/>
      <c r="BX898" s="97"/>
      <c r="BY898" s="97"/>
      <c r="BZ898" s="97"/>
      <c r="CA898" s="97"/>
      <c r="CB898" s="97"/>
      <c r="CC898" s="97"/>
      <c r="CD898" s="97"/>
      <c r="CE898" s="97"/>
      <c r="CF898" s="97"/>
      <c r="CG898" s="97"/>
      <c r="CH898" s="97"/>
      <c r="CI898" s="97"/>
      <c r="CJ898" s="97"/>
      <c r="CK898" s="97"/>
      <c r="CL898" s="97"/>
      <c r="CM898" s="97"/>
      <c r="CN898" s="97"/>
      <c r="CO898" s="97"/>
      <c r="CP898" s="97"/>
      <c r="CQ898" s="97"/>
    </row>
    <row r="899" spans="1:95" ht="14.45" hidden="1">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c r="AN899" s="97"/>
      <c r="AO899" s="97"/>
      <c r="AP899" s="97"/>
      <c r="AQ899" s="97"/>
      <c r="AR899" s="97"/>
      <c r="AS899" s="97"/>
      <c r="AT899" s="97"/>
      <c r="AU899" s="97"/>
      <c r="AV899" s="97"/>
      <c r="AW899" s="97"/>
      <c r="AX899" s="97"/>
      <c r="AY899" s="97"/>
      <c r="AZ899" s="97"/>
      <c r="BA899" s="97"/>
      <c r="BB899" s="97"/>
      <c r="BC899" s="97"/>
      <c r="BD899" s="97"/>
      <c r="BE899" s="97"/>
      <c r="BF899" s="97"/>
      <c r="BG899" s="97"/>
      <c r="BH899" s="97"/>
      <c r="BI899" s="97"/>
      <c r="BJ899" s="97"/>
      <c r="BK899" s="97"/>
      <c r="BL899" s="97"/>
      <c r="BM899" s="97"/>
      <c r="BN899" s="97"/>
      <c r="BO899" s="97"/>
      <c r="BP899" s="97"/>
      <c r="BQ899" s="97"/>
      <c r="BR899" s="97"/>
      <c r="BS899" s="97"/>
      <c r="BT899" s="97"/>
      <c r="BU899" s="97"/>
      <c r="BV899" s="97"/>
      <c r="BW899" s="97"/>
      <c r="BX899" s="97"/>
      <c r="BY899" s="97"/>
      <c r="BZ899" s="97"/>
      <c r="CA899" s="97"/>
      <c r="CB899" s="97"/>
      <c r="CC899" s="97"/>
      <c r="CD899" s="97"/>
      <c r="CE899" s="97"/>
      <c r="CF899" s="97"/>
      <c r="CG899" s="97"/>
      <c r="CH899" s="97"/>
      <c r="CI899" s="97"/>
      <c r="CJ899" s="97"/>
      <c r="CK899" s="97"/>
      <c r="CL899" s="97"/>
      <c r="CM899" s="97"/>
      <c r="CN899" s="97"/>
      <c r="CO899" s="97"/>
      <c r="CP899" s="97"/>
      <c r="CQ899" s="97"/>
    </row>
    <row r="900" spans="1:95" ht="14.45" hidden="1">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c r="AN900" s="97"/>
      <c r="AO900" s="97"/>
      <c r="AP900" s="97"/>
      <c r="AQ900" s="97"/>
      <c r="AR900" s="97"/>
      <c r="AS900" s="97"/>
      <c r="AT900" s="97"/>
      <c r="AU900" s="97"/>
      <c r="AV900" s="97"/>
      <c r="AW900" s="97"/>
      <c r="AX900" s="97"/>
      <c r="AY900" s="97"/>
      <c r="AZ900" s="97"/>
      <c r="BA900" s="97"/>
      <c r="BB900" s="97"/>
      <c r="BC900" s="97"/>
      <c r="BD900" s="97"/>
      <c r="BE900" s="97"/>
      <c r="BF900" s="97"/>
      <c r="BG900" s="97"/>
      <c r="BH900" s="97"/>
      <c r="BI900" s="97"/>
      <c r="BJ900" s="97"/>
      <c r="BK900" s="97"/>
      <c r="BL900" s="97"/>
      <c r="BM900" s="97"/>
      <c r="BN900" s="97"/>
      <c r="BO900" s="97"/>
      <c r="BP900" s="97"/>
      <c r="BQ900" s="97"/>
      <c r="BR900" s="97"/>
      <c r="BS900" s="97"/>
      <c r="BT900" s="97"/>
      <c r="BU900" s="97"/>
      <c r="BV900" s="97"/>
      <c r="BW900" s="97"/>
      <c r="BX900" s="97"/>
      <c r="BY900" s="97"/>
      <c r="BZ900" s="97"/>
      <c r="CA900" s="97"/>
      <c r="CB900" s="97"/>
      <c r="CC900" s="97"/>
      <c r="CD900" s="97"/>
      <c r="CE900" s="97"/>
      <c r="CF900" s="97"/>
      <c r="CG900" s="97"/>
      <c r="CH900" s="97"/>
      <c r="CI900" s="97"/>
      <c r="CJ900" s="97"/>
      <c r="CK900" s="97"/>
      <c r="CL900" s="97"/>
      <c r="CM900" s="97"/>
      <c r="CN900" s="97"/>
      <c r="CO900" s="97"/>
      <c r="CP900" s="97"/>
      <c r="CQ900" s="97"/>
    </row>
    <row r="901" spans="1:95" ht="14.45" hidden="1">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c r="AN901" s="97"/>
      <c r="AO901" s="97"/>
      <c r="AP901" s="97"/>
      <c r="AQ901" s="97"/>
      <c r="AR901" s="97"/>
      <c r="AS901" s="97"/>
      <c r="AT901" s="97"/>
      <c r="AU901" s="97"/>
      <c r="AV901" s="97"/>
      <c r="AW901" s="97"/>
      <c r="AX901" s="97"/>
      <c r="AY901" s="97"/>
      <c r="AZ901" s="97"/>
      <c r="BA901" s="97"/>
      <c r="BB901" s="97"/>
      <c r="BC901" s="97"/>
      <c r="BD901" s="97"/>
      <c r="BE901" s="97"/>
      <c r="BF901" s="97"/>
      <c r="BG901" s="97"/>
      <c r="BH901" s="97"/>
      <c r="BI901" s="97"/>
      <c r="BJ901" s="97"/>
      <c r="BK901" s="97"/>
      <c r="BL901" s="97"/>
      <c r="BM901" s="97"/>
      <c r="BN901" s="97"/>
      <c r="BO901" s="97"/>
      <c r="BP901" s="97"/>
      <c r="BQ901" s="97"/>
      <c r="BR901" s="97"/>
      <c r="BS901" s="97"/>
      <c r="BT901" s="97"/>
      <c r="BU901" s="97"/>
      <c r="BV901" s="97"/>
      <c r="BW901" s="97"/>
      <c r="BX901" s="97"/>
      <c r="BY901" s="97"/>
      <c r="BZ901" s="97"/>
      <c r="CA901" s="97"/>
      <c r="CB901" s="97"/>
      <c r="CC901" s="97"/>
      <c r="CD901" s="97"/>
      <c r="CE901" s="97"/>
      <c r="CF901" s="97"/>
      <c r="CG901" s="97"/>
      <c r="CH901" s="97"/>
      <c r="CI901" s="97"/>
      <c r="CJ901" s="97"/>
      <c r="CK901" s="97"/>
      <c r="CL901" s="97"/>
      <c r="CM901" s="97"/>
      <c r="CN901" s="97"/>
      <c r="CO901" s="97"/>
      <c r="CP901" s="97"/>
      <c r="CQ901" s="97"/>
    </row>
    <row r="902" spans="1:95" ht="14.45" hidden="1">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c r="AN902" s="97"/>
      <c r="AO902" s="97"/>
      <c r="AP902" s="97"/>
      <c r="AQ902" s="97"/>
      <c r="AR902" s="97"/>
      <c r="AS902" s="97"/>
      <c r="AT902" s="97"/>
      <c r="AU902" s="97"/>
      <c r="AV902" s="97"/>
      <c r="AW902" s="97"/>
      <c r="AX902" s="97"/>
      <c r="AY902" s="97"/>
      <c r="AZ902" s="97"/>
      <c r="BA902" s="97"/>
      <c r="BB902" s="97"/>
      <c r="BC902" s="97"/>
      <c r="BD902" s="97"/>
      <c r="BE902" s="97"/>
      <c r="BF902" s="97"/>
      <c r="BG902" s="97"/>
      <c r="BH902" s="97"/>
      <c r="BI902" s="97"/>
      <c r="BJ902" s="97"/>
      <c r="BK902" s="97"/>
      <c r="BL902" s="97"/>
      <c r="BM902" s="97"/>
      <c r="BN902" s="97"/>
      <c r="BO902" s="97"/>
      <c r="BP902" s="97"/>
      <c r="BQ902" s="97"/>
      <c r="BR902" s="97"/>
      <c r="BS902" s="97"/>
      <c r="BT902" s="97"/>
      <c r="BU902" s="97"/>
      <c r="BV902" s="97"/>
      <c r="BW902" s="97"/>
      <c r="BX902" s="97"/>
      <c r="BY902" s="97"/>
      <c r="BZ902" s="97"/>
      <c r="CA902" s="97"/>
      <c r="CB902" s="97"/>
      <c r="CC902" s="97"/>
      <c r="CD902" s="97"/>
      <c r="CE902" s="97"/>
      <c r="CF902" s="97"/>
      <c r="CG902" s="97"/>
      <c r="CH902" s="97"/>
      <c r="CI902" s="97"/>
      <c r="CJ902" s="97"/>
      <c r="CK902" s="97"/>
      <c r="CL902" s="97"/>
      <c r="CM902" s="97"/>
      <c r="CN902" s="97"/>
      <c r="CO902" s="97"/>
      <c r="CP902" s="97"/>
      <c r="CQ902" s="97"/>
    </row>
    <row r="903" spans="1:95" ht="14.45" hidden="1">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c r="AN903" s="97"/>
      <c r="AO903" s="97"/>
      <c r="AP903" s="97"/>
      <c r="AQ903" s="97"/>
      <c r="AR903" s="97"/>
      <c r="AS903" s="97"/>
      <c r="AT903" s="97"/>
      <c r="AU903" s="97"/>
      <c r="AV903" s="97"/>
      <c r="AW903" s="97"/>
      <c r="AX903" s="97"/>
      <c r="AY903" s="97"/>
      <c r="AZ903" s="97"/>
      <c r="BA903" s="97"/>
      <c r="BB903" s="97"/>
      <c r="BC903" s="97"/>
      <c r="BD903" s="97"/>
      <c r="BE903" s="97"/>
      <c r="BF903" s="97"/>
      <c r="BG903" s="97"/>
      <c r="BH903" s="97"/>
      <c r="BI903" s="97"/>
      <c r="BJ903" s="97"/>
      <c r="BK903" s="97"/>
      <c r="BL903" s="97"/>
      <c r="BM903" s="97"/>
      <c r="BN903" s="97"/>
      <c r="BO903" s="97"/>
      <c r="BP903" s="97"/>
      <c r="BQ903" s="97"/>
      <c r="BR903" s="97"/>
      <c r="BS903" s="97"/>
      <c r="BT903" s="97"/>
      <c r="BU903" s="97"/>
      <c r="BV903" s="97"/>
      <c r="BW903" s="97"/>
      <c r="BX903" s="97"/>
      <c r="BY903" s="97"/>
      <c r="BZ903" s="97"/>
      <c r="CA903" s="97"/>
      <c r="CB903" s="97"/>
      <c r="CC903" s="97"/>
      <c r="CD903" s="97"/>
      <c r="CE903" s="97"/>
      <c r="CF903" s="97"/>
      <c r="CG903" s="97"/>
      <c r="CH903" s="97"/>
      <c r="CI903" s="97"/>
      <c r="CJ903" s="97"/>
      <c r="CK903" s="97"/>
      <c r="CL903" s="97"/>
      <c r="CM903" s="97"/>
      <c r="CN903" s="97"/>
      <c r="CO903" s="97"/>
      <c r="CP903" s="97"/>
      <c r="CQ903" s="97"/>
    </row>
    <row r="904" spans="1:95" ht="14.45" hidden="1">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c r="AN904" s="97"/>
      <c r="AO904" s="97"/>
      <c r="AP904" s="97"/>
      <c r="AQ904" s="97"/>
      <c r="AR904" s="97"/>
      <c r="AS904" s="97"/>
      <c r="AT904" s="97"/>
      <c r="AU904" s="97"/>
      <c r="AV904" s="97"/>
      <c r="AW904" s="97"/>
      <c r="AX904" s="97"/>
      <c r="AY904" s="97"/>
      <c r="AZ904" s="97"/>
      <c r="BA904" s="97"/>
      <c r="BB904" s="97"/>
      <c r="BC904" s="97"/>
      <c r="BD904" s="97"/>
      <c r="BE904" s="97"/>
      <c r="BF904" s="97"/>
      <c r="BG904" s="97"/>
      <c r="BH904" s="97"/>
      <c r="BI904" s="97"/>
      <c r="BJ904" s="97"/>
      <c r="BK904" s="97"/>
      <c r="BL904" s="97"/>
      <c r="BM904" s="97"/>
      <c r="BN904" s="97"/>
      <c r="BO904" s="97"/>
      <c r="BP904" s="97"/>
      <c r="BQ904" s="97"/>
      <c r="BR904" s="97"/>
      <c r="BS904" s="97"/>
      <c r="BT904" s="97"/>
      <c r="BU904" s="97"/>
      <c r="BV904" s="97"/>
      <c r="BW904" s="97"/>
      <c r="BX904" s="97"/>
      <c r="BY904" s="97"/>
      <c r="BZ904" s="97"/>
      <c r="CA904" s="97"/>
      <c r="CB904" s="97"/>
      <c r="CC904" s="97"/>
      <c r="CD904" s="97"/>
      <c r="CE904" s="97"/>
      <c r="CF904" s="97"/>
      <c r="CG904" s="97"/>
      <c r="CH904" s="97"/>
      <c r="CI904" s="97"/>
      <c r="CJ904" s="97"/>
      <c r="CK904" s="97"/>
      <c r="CL904" s="97"/>
      <c r="CM904" s="97"/>
      <c r="CN904" s="97"/>
      <c r="CO904" s="97"/>
      <c r="CP904" s="97"/>
      <c r="CQ904" s="97"/>
    </row>
    <row r="905" spans="1:95" ht="14.45" hidden="1">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c r="AN905" s="97"/>
      <c r="AO905" s="97"/>
      <c r="AP905" s="97"/>
      <c r="AQ905" s="97"/>
      <c r="AR905" s="97"/>
      <c r="AS905" s="97"/>
      <c r="AT905" s="97"/>
      <c r="AU905" s="97"/>
      <c r="AV905" s="97"/>
      <c r="AW905" s="97"/>
      <c r="AX905" s="97"/>
      <c r="AY905" s="97"/>
      <c r="AZ905" s="97"/>
      <c r="BA905" s="97"/>
      <c r="BB905" s="97"/>
      <c r="BC905" s="97"/>
      <c r="BD905" s="97"/>
      <c r="BE905" s="97"/>
      <c r="BF905" s="97"/>
      <c r="BG905" s="97"/>
      <c r="BH905" s="97"/>
      <c r="BI905" s="97"/>
      <c r="BJ905" s="97"/>
      <c r="BK905" s="97"/>
      <c r="BL905" s="97"/>
      <c r="BM905" s="97"/>
      <c r="BN905" s="97"/>
      <c r="BO905" s="97"/>
      <c r="BP905" s="97"/>
      <c r="BQ905" s="97"/>
      <c r="BR905" s="97"/>
      <c r="BS905" s="97"/>
      <c r="BT905" s="97"/>
      <c r="BU905" s="97"/>
      <c r="BV905" s="97"/>
      <c r="BW905" s="97"/>
      <c r="BX905" s="97"/>
      <c r="BY905" s="97"/>
      <c r="BZ905" s="97"/>
      <c r="CA905" s="97"/>
      <c r="CB905" s="97"/>
      <c r="CC905" s="97"/>
      <c r="CD905" s="97"/>
      <c r="CE905" s="97"/>
      <c r="CF905" s="97"/>
      <c r="CG905" s="97"/>
      <c r="CH905" s="97"/>
      <c r="CI905" s="97"/>
      <c r="CJ905" s="97"/>
      <c r="CK905" s="97"/>
      <c r="CL905" s="97"/>
      <c r="CM905" s="97"/>
      <c r="CN905" s="97"/>
      <c r="CO905" s="97"/>
      <c r="CP905" s="97"/>
      <c r="CQ905" s="97"/>
    </row>
    <row r="906" spans="1:95" ht="14.45" hidden="1">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c r="AN906" s="97"/>
      <c r="AO906" s="97"/>
      <c r="AP906" s="97"/>
      <c r="AQ906" s="97"/>
      <c r="AR906" s="97"/>
      <c r="AS906" s="97"/>
      <c r="AT906" s="97"/>
      <c r="AU906" s="97"/>
      <c r="AV906" s="97"/>
      <c r="AW906" s="97"/>
      <c r="AX906" s="97"/>
      <c r="AY906" s="97"/>
      <c r="AZ906" s="97"/>
      <c r="BA906" s="97"/>
      <c r="BB906" s="97"/>
      <c r="BC906" s="97"/>
      <c r="BD906" s="97"/>
      <c r="BE906" s="97"/>
      <c r="BF906" s="97"/>
      <c r="BG906" s="97"/>
      <c r="BH906" s="97"/>
      <c r="BI906" s="97"/>
      <c r="BJ906" s="97"/>
      <c r="BK906" s="97"/>
      <c r="BL906" s="97"/>
      <c r="BM906" s="97"/>
      <c r="BN906" s="97"/>
      <c r="BO906" s="97"/>
      <c r="BP906" s="97"/>
      <c r="BQ906" s="97"/>
      <c r="BR906" s="97"/>
      <c r="BS906" s="97"/>
      <c r="BT906" s="97"/>
      <c r="BU906" s="97"/>
      <c r="BV906" s="97"/>
      <c r="BW906" s="97"/>
      <c r="BX906" s="97"/>
      <c r="BY906" s="97"/>
      <c r="BZ906" s="97"/>
      <c r="CA906" s="97"/>
      <c r="CB906" s="97"/>
      <c r="CC906" s="97"/>
      <c r="CD906" s="97"/>
      <c r="CE906" s="97"/>
      <c r="CF906" s="97"/>
      <c r="CG906" s="97"/>
      <c r="CH906" s="97"/>
      <c r="CI906" s="97"/>
      <c r="CJ906" s="97"/>
      <c r="CK906" s="97"/>
      <c r="CL906" s="97"/>
      <c r="CM906" s="97"/>
      <c r="CN906" s="97"/>
      <c r="CO906" s="97"/>
      <c r="CP906" s="97"/>
      <c r="CQ906" s="97"/>
    </row>
    <row r="907" spans="1:95" ht="14.45" hidden="1">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c r="AN907" s="97"/>
      <c r="AO907" s="97"/>
      <c r="AP907" s="97"/>
      <c r="AQ907" s="97"/>
      <c r="AR907" s="97"/>
      <c r="AS907" s="97"/>
      <c r="AT907" s="97"/>
      <c r="AU907" s="97"/>
      <c r="AV907" s="97"/>
      <c r="AW907" s="97"/>
      <c r="AX907" s="97"/>
      <c r="AY907" s="97"/>
      <c r="AZ907" s="97"/>
      <c r="BA907" s="97"/>
      <c r="BB907" s="97"/>
      <c r="BC907" s="97"/>
      <c r="BD907" s="97"/>
      <c r="BE907" s="97"/>
      <c r="BF907" s="97"/>
      <c r="BG907" s="97"/>
      <c r="BH907" s="97"/>
      <c r="BI907" s="97"/>
      <c r="BJ907" s="97"/>
      <c r="BK907" s="97"/>
      <c r="BL907" s="97"/>
      <c r="BM907" s="97"/>
      <c r="BN907" s="97"/>
      <c r="BO907" s="97"/>
      <c r="BP907" s="97"/>
      <c r="BQ907" s="97"/>
      <c r="BR907" s="97"/>
      <c r="BS907" s="97"/>
      <c r="BT907" s="97"/>
      <c r="BU907" s="97"/>
      <c r="BV907" s="97"/>
      <c r="BW907" s="97"/>
      <c r="BX907" s="97"/>
      <c r="BY907" s="97"/>
      <c r="BZ907" s="97"/>
      <c r="CA907" s="97"/>
      <c r="CB907" s="97"/>
      <c r="CC907" s="97"/>
      <c r="CD907" s="97"/>
      <c r="CE907" s="97"/>
      <c r="CF907" s="97"/>
      <c r="CG907" s="97"/>
      <c r="CH907" s="97"/>
      <c r="CI907" s="97"/>
      <c r="CJ907" s="97"/>
      <c r="CK907" s="97"/>
      <c r="CL907" s="97"/>
      <c r="CM907" s="97"/>
      <c r="CN907" s="97"/>
      <c r="CO907" s="97"/>
      <c r="CP907" s="97"/>
      <c r="CQ907" s="97"/>
    </row>
    <row r="908" spans="1:95" ht="14.45" hidden="1">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c r="AN908" s="97"/>
      <c r="AO908" s="97"/>
      <c r="AP908" s="97"/>
      <c r="AQ908" s="97"/>
      <c r="AR908" s="97"/>
      <c r="AS908" s="97"/>
      <c r="AT908" s="97"/>
      <c r="AU908" s="97"/>
      <c r="AV908" s="97"/>
      <c r="AW908" s="97"/>
      <c r="AX908" s="97"/>
      <c r="AY908" s="97"/>
      <c r="AZ908" s="97"/>
      <c r="BA908" s="97"/>
      <c r="BB908" s="97"/>
      <c r="BC908" s="97"/>
      <c r="BD908" s="97"/>
      <c r="BE908" s="97"/>
      <c r="BF908" s="97"/>
      <c r="BG908" s="97"/>
      <c r="BH908" s="97"/>
      <c r="BI908" s="97"/>
      <c r="BJ908" s="97"/>
      <c r="BK908" s="97"/>
      <c r="BL908" s="97"/>
      <c r="BM908" s="97"/>
      <c r="BN908" s="97"/>
      <c r="BO908" s="97"/>
      <c r="BP908" s="97"/>
      <c r="BQ908" s="97"/>
      <c r="BR908" s="97"/>
      <c r="BS908" s="97"/>
      <c r="BT908" s="97"/>
      <c r="BU908" s="97"/>
      <c r="BV908" s="97"/>
      <c r="BW908" s="97"/>
      <c r="BX908" s="97"/>
      <c r="BY908" s="97"/>
      <c r="BZ908" s="97"/>
      <c r="CA908" s="97"/>
      <c r="CB908" s="97"/>
      <c r="CC908" s="97"/>
      <c r="CD908" s="97"/>
      <c r="CE908" s="97"/>
      <c r="CF908" s="97"/>
      <c r="CG908" s="97"/>
      <c r="CH908" s="97"/>
      <c r="CI908" s="97"/>
      <c r="CJ908" s="97"/>
      <c r="CK908" s="97"/>
      <c r="CL908" s="97"/>
      <c r="CM908" s="97"/>
      <c r="CN908" s="97"/>
      <c r="CO908" s="97"/>
      <c r="CP908" s="97"/>
      <c r="CQ908" s="97"/>
    </row>
    <row r="909" spans="1:95" ht="14.45" hidden="1">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c r="AN909" s="97"/>
      <c r="AO909" s="97"/>
      <c r="AP909" s="97"/>
      <c r="AQ909" s="97"/>
      <c r="AR909" s="97"/>
      <c r="AS909" s="97"/>
      <c r="AT909" s="97"/>
      <c r="AU909" s="97"/>
      <c r="AV909" s="97"/>
      <c r="AW909" s="97"/>
      <c r="AX909" s="97"/>
      <c r="AY909" s="97"/>
      <c r="AZ909" s="97"/>
      <c r="BA909" s="97"/>
      <c r="BB909" s="97"/>
      <c r="BC909" s="97"/>
      <c r="BD909" s="97"/>
      <c r="BE909" s="97"/>
      <c r="BF909" s="97"/>
      <c r="BG909" s="97"/>
      <c r="BH909" s="97"/>
      <c r="BI909" s="97"/>
      <c r="BJ909" s="97"/>
      <c r="BK909" s="97"/>
      <c r="BL909" s="97"/>
      <c r="BM909" s="97"/>
      <c r="BN909" s="97"/>
      <c r="BO909" s="97"/>
      <c r="BP909" s="97"/>
      <c r="BQ909" s="97"/>
      <c r="BR909" s="97"/>
      <c r="BS909" s="97"/>
      <c r="BT909" s="97"/>
      <c r="BU909" s="97"/>
      <c r="BV909" s="97"/>
      <c r="BW909" s="97"/>
      <c r="BX909" s="97"/>
      <c r="BY909" s="97"/>
      <c r="BZ909" s="97"/>
      <c r="CA909" s="97"/>
      <c r="CB909" s="97"/>
      <c r="CC909" s="97"/>
      <c r="CD909" s="97"/>
      <c r="CE909" s="97"/>
      <c r="CF909" s="97"/>
      <c r="CG909" s="97"/>
      <c r="CH909" s="97"/>
      <c r="CI909" s="97"/>
      <c r="CJ909" s="97"/>
      <c r="CK909" s="97"/>
      <c r="CL909" s="97"/>
      <c r="CM909" s="97"/>
      <c r="CN909" s="97"/>
      <c r="CO909" s="97"/>
      <c r="CP909" s="97"/>
      <c r="CQ909" s="97"/>
    </row>
    <row r="910" spans="1:95" ht="14.45" hidden="1">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c r="AN910" s="97"/>
      <c r="AO910" s="97"/>
      <c r="AP910" s="97"/>
      <c r="AQ910" s="97"/>
      <c r="AR910" s="97"/>
      <c r="AS910" s="97"/>
      <c r="AT910" s="97"/>
      <c r="AU910" s="97"/>
      <c r="AV910" s="97"/>
      <c r="AW910" s="97"/>
      <c r="AX910" s="97"/>
      <c r="AY910" s="97"/>
      <c r="AZ910" s="97"/>
      <c r="BA910" s="97"/>
      <c r="BB910" s="97"/>
      <c r="BC910" s="97"/>
      <c r="BD910" s="97"/>
      <c r="BE910" s="97"/>
      <c r="BF910" s="97"/>
      <c r="BG910" s="97"/>
      <c r="BH910" s="97"/>
      <c r="BI910" s="97"/>
      <c r="BJ910" s="97"/>
      <c r="BK910" s="97"/>
      <c r="BL910" s="97"/>
      <c r="BM910" s="97"/>
      <c r="BN910" s="97"/>
      <c r="BO910" s="97"/>
      <c r="BP910" s="97"/>
      <c r="BQ910" s="97"/>
      <c r="BR910" s="97"/>
      <c r="BS910" s="97"/>
      <c r="BT910" s="97"/>
      <c r="BU910" s="97"/>
      <c r="BV910" s="97"/>
      <c r="BW910" s="97"/>
      <c r="BX910" s="97"/>
      <c r="BY910" s="97"/>
      <c r="BZ910" s="97"/>
      <c r="CA910" s="97"/>
      <c r="CB910" s="97"/>
      <c r="CC910" s="97"/>
      <c r="CD910" s="97"/>
      <c r="CE910" s="97"/>
      <c r="CF910" s="97"/>
      <c r="CG910" s="97"/>
      <c r="CH910" s="97"/>
      <c r="CI910" s="97"/>
      <c r="CJ910" s="97"/>
      <c r="CK910" s="97"/>
      <c r="CL910" s="97"/>
      <c r="CM910" s="97"/>
      <c r="CN910" s="97"/>
      <c r="CO910" s="97"/>
      <c r="CP910" s="97"/>
      <c r="CQ910" s="97"/>
    </row>
    <row r="911" spans="1:95" ht="14.45" hidden="1">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c r="AN911" s="97"/>
      <c r="AO911" s="97"/>
      <c r="AP911" s="97"/>
      <c r="AQ911" s="97"/>
      <c r="AR911" s="97"/>
      <c r="AS911" s="97"/>
      <c r="AT911" s="97"/>
      <c r="AU911" s="97"/>
      <c r="AV911" s="97"/>
      <c r="AW911" s="97"/>
      <c r="AX911" s="97"/>
      <c r="AY911" s="97"/>
      <c r="AZ911" s="97"/>
      <c r="BA911" s="97"/>
      <c r="BB911" s="97"/>
      <c r="BC911" s="97"/>
      <c r="BD911" s="97"/>
      <c r="BE911" s="97"/>
      <c r="BF911" s="97"/>
      <c r="BG911" s="97"/>
      <c r="BH911" s="97"/>
      <c r="BI911" s="97"/>
      <c r="BJ911" s="97"/>
      <c r="BK911" s="97"/>
      <c r="BL911" s="97"/>
      <c r="BM911" s="97"/>
      <c r="BN911" s="97"/>
      <c r="BO911" s="97"/>
      <c r="BP911" s="97"/>
      <c r="BQ911" s="97"/>
      <c r="BR911" s="97"/>
      <c r="BS911" s="97"/>
      <c r="BT911" s="97"/>
      <c r="BU911" s="97"/>
      <c r="BV911" s="97"/>
      <c r="BW911" s="97"/>
      <c r="BX911" s="97"/>
      <c r="BY911" s="97"/>
      <c r="BZ911" s="97"/>
      <c r="CA911" s="97"/>
      <c r="CB911" s="97"/>
      <c r="CC911" s="97"/>
      <c r="CD911" s="97"/>
      <c r="CE911" s="97"/>
      <c r="CF911" s="97"/>
      <c r="CG911" s="97"/>
      <c r="CH911" s="97"/>
      <c r="CI911" s="97"/>
      <c r="CJ911" s="97"/>
      <c r="CK911" s="97"/>
      <c r="CL911" s="97"/>
      <c r="CM911" s="97"/>
      <c r="CN911" s="97"/>
      <c r="CO911" s="97"/>
      <c r="CP911" s="97"/>
      <c r="CQ911" s="97"/>
    </row>
    <row r="912" spans="1:95" ht="14.45" hidden="1">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c r="AN912" s="97"/>
      <c r="AO912" s="97"/>
      <c r="AP912" s="97"/>
      <c r="AQ912" s="97"/>
      <c r="AR912" s="97"/>
      <c r="AS912" s="97"/>
      <c r="AT912" s="97"/>
      <c r="AU912" s="97"/>
      <c r="AV912" s="97"/>
      <c r="AW912" s="97"/>
      <c r="AX912" s="97"/>
      <c r="AY912" s="97"/>
      <c r="AZ912" s="97"/>
      <c r="BA912" s="97"/>
      <c r="BB912" s="97"/>
      <c r="BC912" s="97"/>
      <c r="BD912" s="97"/>
      <c r="BE912" s="97"/>
      <c r="BF912" s="97"/>
      <c r="BG912" s="97"/>
      <c r="BH912" s="97"/>
      <c r="BI912" s="97"/>
      <c r="BJ912" s="97"/>
      <c r="BK912" s="97"/>
      <c r="BL912" s="97"/>
      <c r="BM912" s="97"/>
      <c r="BN912" s="97"/>
      <c r="BO912" s="97"/>
      <c r="BP912" s="97"/>
      <c r="BQ912" s="97"/>
      <c r="BR912" s="97"/>
      <c r="BS912" s="97"/>
      <c r="BT912" s="97"/>
      <c r="BU912" s="97"/>
      <c r="BV912" s="97"/>
      <c r="BW912" s="97"/>
      <c r="BX912" s="97"/>
      <c r="BY912" s="97"/>
      <c r="BZ912" s="97"/>
      <c r="CA912" s="97"/>
      <c r="CB912" s="97"/>
      <c r="CC912" s="97"/>
      <c r="CD912" s="97"/>
      <c r="CE912" s="97"/>
      <c r="CF912" s="97"/>
      <c r="CG912" s="97"/>
      <c r="CH912" s="97"/>
      <c r="CI912" s="97"/>
      <c r="CJ912" s="97"/>
      <c r="CK912" s="97"/>
      <c r="CL912" s="97"/>
      <c r="CM912" s="97"/>
      <c r="CN912" s="97"/>
      <c r="CO912" s="97"/>
      <c r="CP912" s="97"/>
      <c r="CQ912" s="97"/>
    </row>
    <row r="913" spans="1:95" ht="14.45" hidden="1">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7"/>
      <c r="BU913" s="97"/>
      <c r="BV913" s="97"/>
      <c r="BW913" s="97"/>
      <c r="BX913" s="97"/>
      <c r="BY913" s="97"/>
      <c r="BZ913" s="97"/>
      <c r="CA913" s="97"/>
      <c r="CB913" s="97"/>
      <c r="CC913" s="97"/>
      <c r="CD913" s="97"/>
      <c r="CE913" s="97"/>
      <c r="CF913" s="97"/>
      <c r="CG913" s="97"/>
      <c r="CH913" s="97"/>
      <c r="CI913" s="97"/>
      <c r="CJ913" s="97"/>
      <c r="CK913" s="97"/>
      <c r="CL913" s="97"/>
      <c r="CM913" s="97"/>
      <c r="CN913" s="97"/>
      <c r="CO913" s="97"/>
      <c r="CP913" s="97"/>
      <c r="CQ913" s="97"/>
    </row>
    <row r="914" spans="1:95" ht="14.45" hidden="1">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c r="AN914" s="97"/>
      <c r="AO914" s="97"/>
      <c r="AP914" s="97"/>
      <c r="AQ914" s="97"/>
      <c r="AR914" s="97"/>
      <c r="AS914" s="97"/>
      <c r="AT914" s="97"/>
      <c r="AU914" s="97"/>
      <c r="AV914" s="97"/>
      <c r="AW914" s="97"/>
      <c r="AX914" s="97"/>
      <c r="AY914" s="97"/>
      <c r="AZ914" s="97"/>
      <c r="BA914" s="97"/>
      <c r="BB914" s="97"/>
      <c r="BC914" s="97"/>
      <c r="BD914" s="97"/>
      <c r="BE914" s="97"/>
      <c r="BF914" s="97"/>
      <c r="BG914" s="97"/>
      <c r="BH914" s="97"/>
      <c r="BI914" s="97"/>
      <c r="BJ914" s="97"/>
      <c r="BK914" s="97"/>
      <c r="BL914" s="97"/>
      <c r="BM914" s="97"/>
      <c r="BN914" s="97"/>
      <c r="BO914" s="97"/>
      <c r="BP914" s="97"/>
      <c r="BQ914" s="97"/>
      <c r="BR914" s="97"/>
      <c r="BS914" s="97"/>
      <c r="BT914" s="97"/>
      <c r="BU914" s="97"/>
      <c r="BV914" s="97"/>
      <c r="BW914" s="97"/>
      <c r="BX914" s="97"/>
      <c r="BY914" s="97"/>
      <c r="BZ914" s="97"/>
      <c r="CA914" s="97"/>
      <c r="CB914" s="97"/>
      <c r="CC914" s="97"/>
      <c r="CD914" s="97"/>
      <c r="CE914" s="97"/>
      <c r="CF914" s="97"/>
      <c r="CG914" s="97"/>
      <c r="CH914" s="97"/>
      <c r="CI914" s="97"/>
      <c r="CJ914" s="97"/>
      <c r="CK914" s="97"/>
      <c r="CL914" s="97"/>
      <c r="CM914" s="97"/>
      <c r="CN914" s="97"/>
      <c r="CO914" s="97"/>
      <c r="CP914" s="97"/>
      <c r="CQ914" s="97"/>
    </row>
    <row r="915" spans="1:95" ht="14.45" hidden="1">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c r="AN915" s="97"/>
      <c r="AO915" s="97"/>
      <c r="AP915" s="97"/>
      <c r="AQ915" s="97"/>
      <c r="AR915" s="97"/>
      <c r="AS915" s="97"/>
      <c r="AT915" s="97"/>
      <c r="AU915" s="97"/>
      <c r="AV915" s="97"/>
      <c r="AW915" s="97"/>
      <c r="AX915" s="97"/>
      <c r="AY915" s="97"/>
      <c r="AZ915" s="97"/>
      <c r="BA915" s="97"/>
      <c r="BB915" s="97"/>
      <c r="BC915" s="97"/>
      <c r="BD915" s="97"/>
      <c r="BE915" s="97"/>
      <c r="BF915" s="97"/>
      <c r="BG915" s="97"/>
      <c r="BH915" s="97"/>
      <c r="BI915" s="97"/>
      <c r="BJ915" s="97"/>
      <c r="BK915" s="97"/>
      <c r="BL915" s="97"/>
      <c r="BM915" s="97"/>
      <c r="BN915" s="97"/>
      <c r="BO915" s="97"/>
      <c r="BP915" s="97"/>
      <c r="BQ915" s="97"/>
      <c r="BR915" s="97"/>
      <c r="BS915" s="97"/>
      <c r="BT915" s="97"/>
      <c r="BU915" s="97"/>
      <c r="BV915" s="97"/>
      <c r="BW915" s="97"/>
      <c r="BX915" s="97"/>
      <c r="BY915" s="97"/>
      <c r="BZ915" s="97"/>
      <c r="CA915" s="97"/>
      <c r="CB915" s="97"/>
      <c r="CC915" s="97"/>
      <c r="CD915" s="97"/>
      <c r="CE915" s="97"/>
      <c r="CF915" s="97"/>
      <c r="CG915" s="97"/>
      <c r="CH915" s="97"/>
      <c r="CI915" s="97"/>
      <c r="CJ915" s="97"/>
      <c r="CK915" s="97"/>
      <c r="CL915" s="97"/>
      <c r="CM915" s="97"/>
      <c r="CN915" s="97"/>
      <c r="CO915" s="97"/>
      <c r="CP915" s="97"/>
      <c r="CQ915" s="97"/>
    </row>
    <row r="916" spans="1:95" ht="14.45" hidden="1">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c r="AN916" s="97"/>
      <c r="AO916" s="97"/>
      <c r="AP916" s="97"/>
      <c r="AQ916" s="97"/>
      <c r="AR916" s="97"/>
      <c r="AS916" s="97"/>
      <c r="AT916" s="97"/>
      <c r="AU916" s="97"/>
      <c r="AV916" s="97"/>
      <c r="AW916" s="97"/>
      <c r="AX916" s="97"/>
      <c r="AY916" s="97"/>
      <c r="AZ916" s="97"/>
      <c r="BA916" s="97"/>
      <c r="BB916" s="97"/>
      <c r="BC916" s="97"/>
      <c r="BD916" s="97"/>
      <c r="BE916" s="97"/>
      <c r="BF916" s="97"/>
      <c r="BG916" s="97"/>
      <c r="BH916" s="97"/>
      <c r="BI916" s="97"/>
      <c r="BJ916" s="97"/>
      <c r="BK916" s="97"/>
      <c r="BL916" s="97"/>
      <c r="BM916" s="97"/>
      <c r="BN916" s="97"/>
      <c r="BO916" s="97"/>
      <c r="BP916" s="97"/>
      <c r="BQ916" s="97"/>
      <c r="BR916" s="97"/>
      <c r="BS916" s="97"/>
      <c r="BT916" s="97"/>
      <c r="BU916" s="97"/>
      <c r="BV916" s="97"/>
      <c r="BW916" s="97"/>
      <c r="BX916" s="97"/>
      <c r="BY916" s="97"/>
      <c r="BZ916" s="97"/>
      <c r="CA916" s="97"/>
      <c r="CB916" s="97"/>
      <c r="CC916" s="97"/>
      <c r="CD916" s="97"/>
      <c r="CE916" s="97"/>
      <c r="CF916" s="97"/>
      <c r="CG916" s="97"/>
      <c r="CH916" s="97"/>
      <c r="CI916" s="97"/>
      <c r="CJ916" s="97"/>
      <c r="CK916" s="97"/>
      <c r="CL916" s="97"/>
      <c r="CM916" s="97"/>
      <c r="CN916" s="97"/>
      <c r="CO916" s="97"/>
      <c r="CP916" s="97"/>
      <c r="CQ916" s="97"/>
    </row>
    <row r="917" spans="1:95" ht="14.45" hidden="1">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c r="AN917" s="97"/>
      <c r="AO917" s="97"/>
      <c r="AP917" s="97"/>
      <c r="AQ917" s="97"/>
      <c r="AR917" s="97"/>
      <c r="AS917" s="97"/>
      <c r="AT917" s="97"/>
      <c r="AU917" s="97"/>
      <c r="AV917" s="97"/>
      <c r="AW917" s="97"/>
      <c r="AX917" s="97"/>
      <c r="AY917" s="97"/>
      <c r="AZ917" s="97"/>
      <c r="BA917" s="97"/>
      <c r="BB917" s="97"/>
      <c r="BC917" s="97"/>
      <c r="BD917" s="97"/>
      <c r="BE917" s="97"/>
      <c r="BF917" s="97"/>
      <c r="BG917" s="97"/>
      <c r="BH917" s="97"/>
      <c r="BI917" s="97"/>
      <c r="BJ917" s="97"/>
      <c r="BK917" s="97"/>
      <c r="BL917" s="97"/>
      <c r="BM917" s="97"/>
      <c r="BN917" s="97"/>
      <c r="BO917" s="97"/>
      <c r="BP917" s="97"/>
      <c r="BQ917" s="97"/>
      <c r="BR917" s="97"/>
      <c r="BS917" s="97"/>
      <c r="BT917" s="97"/>
      <c r="BU917" s="97"/>
      <c r="BV917" s="97"/>
      <c r="BW917" s="97"/>
      <c r="BX917" s="97"/>
      <c r="BY917" s="97"/>
      <c r="BZ917" s="97"/>
      <c r="CA917" s="97"/>
      <c r="CB917" s="97"/>
      <c r="CC917" s="97"/>
      <c r="CD917" s="97"/>
      <c r="CE917" s="97"/>
      <c r="CF917" s="97"/>
      <c r="CG917" s="97"/>
      <c r="CH917" s="97"/>
      <c r="CI917" s="97"/>
      <c r="CJ917" s="97"/>
      <c r="CK917" s="97"/>
      <c r="CL917" s="97"/>
      <c r="CM917" s="97"/>
      <c r="CN917" s="97"/>
      <c r="CO917" s="97"/>
      <c r="CP917" s="97"/>
      <c r="CQ917" s="97"/>
    </row>
    <row r="918" spans="1:95" ht="14.45" hidden="1">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c r="AN918" s="97"/>
      <c r="AO918" s="97"/>
      <c r="AP918" s="97"/>
      <c r="AQ918" s="97"/>
      <c r="AR918" s="97"/>
      <c r="AS918" s="97"/>
      <c r="AT918" s="97"/>
      <c r="AU918" s="97"/>
      <c r="AV918" s="97"/>
      <c r="AW918" s="97"/>
      <c r="AX918" s="97"/>
      <c r="AY918" s="97"/>
      <c r="AZ918" s="97"/>
      <c r="BA918" s="97"/>
      <c r="BB918" s="97"/>
      <c r="BC918" s="97"/>
      <c r="BD918" s="97"/>
      <c r="BE918" s="97"/>
      <c r="BF918" s="97"/>
      <c r="BG918" s="97"/>
      <c r="BH918" s="97"/>
      <c r="BI918" s="97"/>
      <c r="BJ918" s="97"/>
      <c r="BK918" s="97"/>
      <c r="BL918" s="97"/>
      <c r="BM918" s="97"/>
      <c r="BN918" s="97"/>
      <c r="BO918" s="97"/>
      <c r="BP918" s="97"/>
      <c r="BQ918" s="97"/>
      <c r="BR918" s="97"/>
      <c r="BS918" s="97"/>
      <c r="BT918" s="97"/>
      <c r="BU918" s="97"/>
      <c r="BV918" s="97"/>
      <c r="BW918" s="97"/>
      <c r="BX918" s="97"/>
      <c r="BY918" s="97"/>
      <c r="BZ918" s="97"/>
      <c r="CA918" s="97"/>
      <c r="CB918" s="97"/>
      <c r="CC918" s="97"/>
      <c r="CD918" s="97"/>
      <c r="CE918" s="97"/>
      <c r="CF918" s="97"/>
      <c r="CG918" s="97"/>
      <c r="CH918" s="97"/>
      <c r="CI918" s="97"/>
      <c r="CJ918" s="97"/>
      <c r="CK918" s="97"/>
      <c r="CL918" s="97"/>
      <c r="CM918" s="97"/>
      <c r="CN918" s="97"/>
      <c r="CO918" s="97"/>
      <c r="CP918" s="97"/>
      <c r="CQ918" s="97"/>
    </row>
    <row r="919" spans="1:95" ht="14.45" hidden="1">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c r="AN919" s="97"/>
      <c r="AO919" s="97"/>
      <c r="AP919" s="97"/>
      <c r="AQ919" s="97"/>
      <c r="AR919" s="97"/>
      <c r="AS919" s="97"/>
      <c r="AT919" s="97"/>
      <c r="AU919" s="97"/>
      <c r="AV919" s="97"/>
      <c r="AW919" s="97"/>
      <c r="AX919" s="97"/>
      <c r="AY919" s="97"/>
      <c r="AZ919" s="97"/>
      <c r="BA919" s="97"/>
      <c r="BB919" s="97"/>
      <c r="BC919" s="97"/>
      <c r="BD919" s="97"/>
      <c r="BE919" s="97"/>
      <c r="BF919" s="97"/>
      <c r="BG919" s="97"/>
      <c r="BH919" s="97"/>
      <c r="BI919" s="97"/>
      <c r="BJ919" s="97"/>
      <c r="BK919" s="97"/>
      <c r="BL919" s="97"/>
      <c r="BM919" s="97"/>
      <c r="BN919" s="97"/>
      <c r="BO919" s="97"/>
      <c r="BP919" s="97"/>
      <c r="BQ919" s="97"/>
      <c r="BR919" s="97"/>
      <c r="BS919" s="97"/>
      <c r="BT919" s="97"/>
      <c r="BU919" s="97"/>
      <c r="BV919" s="97"/>
      <c r="BW919" s="97"/>
      <c r="BX919" s="97"/>
      <c r="BY919" s="97"/>
      <c r="BZ919" s="97"/>
      <c r="CA919" s="97"/>
      <c r="CB919" s="97"/>
      <c r="CC919" s="97"/>
      <c r="CD919" s="97"/>
      <c r="CE919" s="97"/>
      <c r="CF919" s="97"/>
      <c r="CG919" s="97"/>
      <c r="CH919" s="97"/>
      <c r="CI919" s="97"/>
      <c r="CJ919" s="97"/>
      <c r="CK919" s="97"/>
      <c r="CL919" s="97"/>
      <c r="CM919" s="97"/>
      <c r="CN919" s="97"/>
      <c r="CO919" s="97"/>
      <c r="CP919" s="97"/>
      <c r="CQ919" s="97"/>
    </row>
    <row r="920" spans="1:95" ht="14.45" hidden="1">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c r="AN920" s="97"/>
      <c r="AO920" s="97"/>
      <c r="AP920" s="97"/>
      <c r="AQ920" s="97"/>
      <c r="AR920" s="97"/>
      <c r="AS920" s="97"/>
      <c r="AT920" s="97"/>
      <c r="AU920" s="97"/>
      <c r="AV920" s="97"/>
      <c r="AW920" s="97"/>
      <c r="AX920" s="97"/>
      <c r="AY920" s="97"/>
      <c r="AZ920" s="97"/>
      <c r="BA920" s="97"/>
      <c r="BB920" s="97"/>
      <c r="BC920" s="97"/>
      <c r="BD920" s="97"/>
      <c r="BE920" s="97"/>
      <c r="BF920" s="97"/>
      <c r="BG920" s="97"/>
      <c r="BH920" s="97"/>
      <c r="BI920" s="97"/>
      <c r="BJ920" s="97"/>
      <c r="BK920" s="97"/>
      <c r="BL920" s="97"/>
      <c r="BM920" s="97"/>
      <c r="BN920" s="97"/>
      <c r="BO920" s="97"/>
      <c r="BP920" s="97"/>
      <c r="BQ920" s="97"/>
      <c r="BR920" s="97"/>
      <c r="BS920" s="97"/>
      <c r="BT920" s="97"/>
      <c r="BU920" s="97"/>
      <c r="BV920" s="97"/>
      <c r="BW920" s="97"/>
      <c r="BX920" s="97"/>
      <c r="BY920" s="97"/>
      <c r="BZ920" s="97"/>
      <c r="CA920" s="97"/>
      <c r="CB920" s="97"/>
      <c r="CC920" s="97"/>
      <c r="CD920" s="97"/>
      <c r="CE920" s="97"/>
      <c r="CF920" s="97"/>
      <c r="CG920" s="97"/>
      <c r="CH920" s="97"/>
      <c r="CI920" s="97"/>
      <c r="CJ920" s="97"/>
      <c r="CK920" s="97"/>
      <c r="CL920" s="97"/>
      <c r="CM920" s="97"/>
      <c r="CN920" s="97"/>
      <c r="CO920" s="97"/>
      <c r="CP920" s="97"/>
      <c r="CQ920" s="97"/>
    </row>
    <row r="921" spans="1:95" ht="14.45" hidden="1">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c r="AN921" s="97"/>
      <c r="AO921" s="97"/>
      <c r="AP921" s="97"/>
      <c r="AQ921" s="97"/>
      <c r="AR921" s="97"/>
      <c r="AS921" s="97"/>
      <c r="AT921" s="97"/>
      <c r="AU921" s="97"/>
      <c r="AV921" s="97"/>
      <c r="AW921" s="97"/>
      <c r="AX921" s="97"/>
      <c r="AY921" s="97"/>
      <c r="AZ921" s="97"/>
      <c r="BA921" s="97"/>
      <c r="BB921" s="97"/>
      <c r="BC921" s="97"/>
      <c r="BD921" s="97"/>
      <c r="BE921" s="97"/>
      <c r="BF921" s="97"/>
      <c r="BG921" s="97"/>
      <c r="BH921" s="97"/>
      <c r="BI921" s="97"/>
      <c r="BJ921" s="97"/>
      <c r="BK921" s="97"/>
      <c r="BL921" s="97"/>
      <c r="BM921" s="97"/>
      <c r="BN921" s="97"/>
      <c r="BO921" s="97"/>
      <c r="BP921" s="97"/>
      <c r="BQ921" s="97"/>
      <c r="BR921" s="97"/>
      <c r="BS921" s="97"/>
      <c r="BT921" s="97"/>
      <c r="BU921" s="97"/>
      <c r="BV921" s="97"/>
      <c r="BW921" s="97"/>
      <c r="BX921" s="97"/>
      <c r="BY921" s="97"/>
      <c r="BZ921" s="97"/>
      <c r="CA921" s="97"/>
      <c r="CB921" s="97"/>
      <c r="CC921" s="97"/>
      <c r="CD921" s="97"/>
      <c r="CE921" s="97"/>
      <c r="CF921" s="97"/>
      <c r="CG921" s="97"/>
      <c r="CH921" s="97"/>
      <c r="CI921" s="97"/>
      <c r="CJ921" s="97"/>
      <c r="CK921" s="97"/>
      <c r="CL921" s="97"/>
      <c r="CM921" s="97"/>
      <c r="CN921" s="97"/>
      <c r="CO921" s="97"/>
      <c r="CP921" s="97"/>
      <c r="CQ921" s="97"/>
    </row>
    <row r="922" spans="1:95" ht="14.45" hidden="1">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c r="AN922" s="97"/>
      <c r="AO922" s="97"/>
      <c r="AP922" s="97"/>
      <c r="AQ922" s="97"/>
      <c r="AR922" s="97"/>
      <c r="AS922" s="97"/>
      <c r="AT922" s="97"/>
      <c r="AU922" s="97"/>
      <c r="AV922" s="97"/>
      <c r="AW922" s="97"/>
      <c r="AX922" s="97"/>
      <c r="AY922" s="97"/>
      <c r="AZ922" s="97"/>
      <c r="BA922" s="97"/>
      <c r="BB922" s="97"/>
      <c r="BC922" s="97"/>
      <c r="BD922" s="97"/>
      <c r="BE922" s="97"/>
      <c r="BF922" s="97"/>
      <c r="BG922" s="97"/>
      <c r="BH922" s="97"/>
      <c r="BI922" s="97"/>
      <c r="BJ922" s="97"/>
      <c r="BK922" s="97"/>
      <c r="BL922" s="97"/>
      <c r="BM922" s="97"/>
      <c r="BN922" s="97"/>
      <c r="BO922" s="97"/>
      <c r="BP922" s="97"/>
      <c r="BQ922" s="97"/>
      <c r="BR922" s="97"/>
      <c r="BS922" s="97"/>
      <c r="BT922" s="97"/>
      <c r="BU922" s="97"/>
      <c r="BV922" s="97"/>
      <c r="BW922" s="97"/>
      <c r="BX922" s="97"/>
      <c r="BY922" s="97"/>
      <c r="BZ922" s="97"/>
      <c r="CA922" s="97"/>
      <c r="CB922" s="97"/>
      <c r="CC922" s="97"/>
      <c r="CD922" s="97"/>
      <c r="CE922" s="97"/>
      <c r="CF922" s="97"/>
      <c r="CG922" s="97"/>
      <c r="CH922" s="97"/>
      <c r="CI922" s="97"/>
      <c r="CJ922" s="97"/>
      <c r="CK922" s="97"/>
      <c r="CL922" s="97"/>
      <c r="CM922" s="97"/>
      <c r="CN922" s="97"/>
      <c r="CO922" s="97"/>
      <c r="CP922" s="97"/>
      <c r="CQ922" s="97"/>
    </row>
    <row r="923" spans="1:95" ht="14.45" hidden="1">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c r="AN923" s="97"/>
      <c r="AO923" s="97"/>
      <c r="AP923" s="97"/>
      <c r="AQ923" s="97"/>
      <c r="AR923" s="97"/>
      <c r="AS923" s="97"/>
      <c r="AT923" s="97"/>
      <c r="AU923" s="97"/>
      <c r="AV923" s="97"/>
      <c r="AW923" s="97"/>
      <c r="AX923" s="97"/>
      <c r="AY923" s="97"/>
      <c r="AZ923" s="97"/>
      <c r="BA923" s="97"/>
      <c r="BB923" s="97"/>
      <c r="BC923" s="97"/>
      <c r="BD923" s="97"/>
      <c r="BE923" s="97"/>
      <c r="BF923" s="97"/>
      <c r="BG923" s="97"/>
      <c r="BH923" s="97"/>
      <c r="BI923" s="97"/>
      <c r="BJ923" s="97"/>
      <c r="BK923" s="97"/>
      <c r="BL923" s="97"/>
      <c r="BM923" s="97"/>
      <c r="BN923" s="97"/>
      <c r="BO923" s="97"/>
      <c r="BP923" s="97"/>
      <c r="BQ923" s="97"/>
      <c r="BR923" s="97"/>
      <c r="BS923" s="97"/>
      <c r="BT923" s="97"/>
      <c r="BU923" s="97"/>
      <c r="BV923" s="97"/>
      <c r="BW923" s="97"/>
      <c r="BX923" s="97"/>
      <c r="BY923" s="97"/>
      <c r="BZ923" s="97"/>
      <c r="CA923" s="97"/>
      <c r="CB923" s="97"/>
      <c r="CC923" s="97"/>
      <c r="CD923" s="97"/>
      <c r="CE923" s="97"/>
      <c r="CF923" s="97"/>
      <c r="CG923" s="97"/>
      <c r="CH923" s="97"/>
      <c r="CI923" s="97"/>
      <c r="CJ923" s="97"/>
      <c r="CK923" s="97"/>
      <c r="CL923" s="97"/>
      <c r="CM923" s="97"/>
      <c r="CN923" s="97"/>
      <c r="CO923" s="97"/>
      <c r="CP923" s="97"/>
      <c r="CQ923" s="97"/>
    </row>
    <row r="924" spans="1:95" ht="14.45" hidden="1">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c r="AN924" s="97"/>
      <c r="AO924" s="97"/>
      <c r="AP924" s="97"/>
      <c r="AQ924" s="97"/>
      <c r="AR924" s="97"/>
      <c r="AS924" s="97"/>
      <c r="AT924" s="97"/>
      <c r="AU924" s="97"/>
      <c r="AV924" s="97"/>
      <c r="AW924" s="97"/>
      <c r="AX924" s="97"/>
      <c r="AY924" s="97"/>
      <c r="AZ924" s="97"/>
      <c r="BA924" s="97"/>
      <c r="BB924" s="97"/>
      <c r="BC924" s="97"/>
      <c r="BD924" s="97"/>
      <c r="BE924" s="97"/>
      <c r="BF924" s="97"/>
      <c r="BG924" s="97"/>
      <c r="BH924" s="97"/>
      <c r="BI924" s="97"/>
      <c r="BJ924" s="97"/>
      <c r="BK924" s="97"/>
      <c r="BL924" s="97"/>
      <c r="BM924" s="97"/>
      <c r="BN924" s="97"/>
      <c r="BO924" s="97"/>
      <c r="BP924" s="97"/>
      <c r="BQ924" s="97"/>
      <c r="BR924" s="97"/>
      <c r="BS924" s="97"/>
      <c r="BT924" s="97"/>
      <c r="BU924" s="97"/>
      <c r="BV924" s="97"/>
      <c r="BW924" s="97"/>
      <c r="BX924" s="97"/>
      <c r="BY924" s="97"/>
      <c r="BZ924" s="97"/>
      <c r="CA924" s="97"/>
      <c r="CB924" s="97"/>
      <c r="CC924" s="97"/>
      <c r="CD924" s="97"/>
      <c r="CE924" s="97"/>
      <c r="CF924" s="97"/>
      <c r="CG924" s="97"/>
      <c r="CH924" s="97"/>
      <c r="CI924" s="97"/>
      <c r="CJ924" s="97"/>
      <c r="CK924" s="97"/>
      <c r="CL924" s="97"/>
      <c r="CM924" s="97"/>
      <c r="CN924" s="97"/>
      <c r="CO924" s="97"/>
      <c r="CP924" s="97"/>
      <c r="CQ924" s="97"/>
    </row>
    <row r="925" spans="1:95" ht="14.45" hidden="1">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c r="AN925" s="97"/>
      <c r="AO925" s="97"/>
      <c r="AP925" s="97"/>
      <c r="AQ925" s="97"/>
      <c r="AR925" s="97"/>
      <c r="AS925" s="97"/>
      <c r="AT925" s="97"/>
      <c r="AU925" s="97"/>
      <c r="AV925" s="97"/>
      <c r="AW925" s="97"/>
      <c r="AX925" s="97"/>
      <c r="AY925" s="97"/>
      <c r="AZ925" s="97"/>
      <c r="BA925" s="97"/>
      <c r="BB925" s="97"/>
      <c r="BC925" s="97"/>
      <c r="BD925" s="97"/>
      <c r="BE925" s="97"/>
      <c r="BF925" s="97"/>
      <c r="BG925" s="97"/>
      <c r="BH925" s="97"/>
      <c r="BI925" s="97"/>
      <c r="BJ925" s="97"/>
      <c r="BK925" s="97"/>
      <c r="BL925" s="97"/>
      <c r="BM925" s="97"/>
      <c r="BN925" s="97"/>
      <c r="BO925" s="97"/>
      <c r="BP925" s="97"/>
      <c r="BQ925" s="97"/>
      <c r="BR925" s="97"/>
      <c r="BS925" s="97"/>
      <c r="BT925" s="97"/>
      <c r="BU925" s="97"/>
      <c r="BV925" s="97"/>
      <c r="BW925" s="97"/>
      <c r="BX925" s="97"/>
      <c r="BY925" s="97"/>
      <c r="BZ925" s="97"/>
      <c r="CA925" s="97"/>
      <c r="CB925" s="97"/>
      <c r="CC925" s="97"/>
      <c r="CD925" s="97"/>
      <c r="CE925" s="97"/>
      <c r="CF925" s="97"/>
      <c r="CG925" s="97"/>
      <c r="CH925" s="97"/>
      <c r="CI925" s="97"/>
      <c r="CJ925" s="97"/>
      <c r="CK925" s="97"/>
      <c r="CL925" s="97"/>
      <c r="CM925" s="97"/>
      <c r="CN925" s="97"/>
      <c r="CO925" s="97"/>
      <c r="CP925" s="97"/>
      <c r="CQ925" s="97"/>
    </row>
    <row r="926" spans="1:95" ht="14.45" hidden="1">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L926" s="97"/>
      <c r="BM926" s="97"/>
      <c r="BN926" s="97"/>
      <c r="BO926" s="97"/>
      <c r="BP926" s="97"/>
      <c r="BQ926" s="97"/>
      <c r="BR926" s="97"/>
      <c r="BS926" s="97"/>
      <c r="BT926" s="97"/>
      <c r="BU926" s="97"/>
      <c r="BV926" s="97"/>
      <c r="BW926" s="97"/>
      <c r="BX926" s="97"/>
      <c r="BY926" s="97"/>
      <c r="BZ926" s="97"/>
      <c r="CA926" s="97"/>
      <c r="CB926" s="97"/>
      <c r="CC926" s="97"/>
      <c r="CD926" s="97"/>
      <c r="CE926" s="97"/>
      <c r="CF926" s="97"/>
      <c r="CG926" s="97"/>
      <c r="CH926" s="97"/>
      <c r="CI926" s="97"/>
      <c r="CJ926" s="97"/>
      <c r="CK926" s="97"/>
      <c r="CL926" s="97"/>
      <c r="CM926" s="97"/>
      <c r="CN926" s="97"/>
      <c r="CO926" s="97"/>
      <c r="CP926" s="97"/>
      <c r="CQ926" s="97"/>
    </row>
    <row r="927" spans="1:95" ht="14.45" hidden="1">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c r="AN927" s="97"/>
      <c r="AO927" s="97"/>
      <c r="AP927" s="97"/>
      <c r="AQ927" s="97"/>
      <c r="AR927" s="97"/>
      <c r="AS927" s="97"/>
      <c r="AT927" s="97"/>
      <c r="AU927" s="97"/>
      <c r="AV927" s="97"/>
      <c r="AW927" s="97"/>
      <c r="AX927" s="97"/>
      <c r="AY927" s="97"/>
      <c r="AZ927" s="97"/>
      <c r="BA927" s="97"/>
      <c r="BB927" s="97"/>
      <c r="BC927" s="97"/>
      <c r="BD927" s="97"/>
      <c r="BE927" s="97"/>
      <c r="BF927" s="97"/>
      <c r="BG927" s="97"/>
      <c r="BH927" s="97"/>
      <c r="BI927" s="97"/>
      <c r="BJ927" s="97"/>
      <c r="BK927" s="97"/>
      <c r="BL927" s="97"/>
      <c r="BM927" s="97"/>
      <c r="BN927" s="97"/>
      <c r="BO927" s="97"/>
      <c r="BP927" s="97"/>
      <c r="BQ927" s="97"/>
      <c r="BR927" s="97"/>
      <c r="BS927" s="97"/>
      <c r="BT927" s="97"/>
      <c r="BU927" s="97"/>
      <c r="BV927" s="97"/>
      <c r="BW927" s="97"/>
      <c r="BX927" s="97"/>
      <c r="BY927" s="97"/>
      <c r="BZ927" s="97"/>
      <c r="CA927" s="97"/>
      <c r="CB927" s="97"/>
      <c r="CC927" s="97"/>
      <c r="CD927" s="97"/>
      <c r="CE927" s="97"/>
      <c r="CF927" s="97"/>
      <c r="CG927" s="97"/>
      <c r="CH927" s="97"/>
      <c r="CI927" s="97"/>
      <c r="CJ927" s="97"/>
      <c r="CK927" s="97"/>
      <c r="CL927" s="97"/>
      <c r="CM927" s="97"/>
      <c r="CN927" s="97"/>
      <c r="CO927" s="97"/>
      <c r="CP927" s="97"/>
      <c r="CQ927" s="97"/>
    </row>
    <row r="928" spans="1:95" ht="14.45" hidden="1">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c r="AN928" s="97"/>
      <c r="AO928" s="97"/>
      <c r="AP928" s="97"/>
      <c r="AQ928" s="97"/>
      <c r="AR928" s="97"/>
      <c r="AS928" s="97"/>
      <c r="AT928" s="97"/>
      <c r="AU928" s="97"/>
      <c r="AV928" s="97"/>
      <c r="AW928" s="97"/>
      <c r="AX928" s="97"/>
      <c r="AY928" s="97"/>
      <c r="AZ928" s="97"/>
      <c r="BA928" s="97"/>
      <c r="BB928" s="97"/>
      <c r="BC928" s="97"/>
      <c r="BD928" s="97"/>
      <c r="BE928" s="97"/>
      <c r="BF928" s="97"/>
      <c r="BG928" s="97"/>
      <c r="BH928" s="97"/>
      <c r="BI928" s="97"/>
      <c r="BJ928" s="97"/>
      <c r="BK928" s="97"/>
      <c r="BL928" s="97"/>
      <c r="BM928" s="97"/>
      <c r="BN928" s="97"/>
      <c r="BO928" s="97"/>
      <c r="BP928" s="97"/>
      <c r="BQ928" s="97"/>
      <c r="BR928" s="97"/>
      <c r="BS928" s="97"/>
      <c r="BT928" s="97"/>
      <c r="BU928" s="97"/>
      <c r="BV928" s="97"/>
      <c r="BW928" s="97"/>
      <c r="BX928" s="97"/>
      <c r="BY928" s="97"/>
      <c r="BZ928" s="97"/>
      <c r="CA928" s="97"/>
      <c r="CB928" s="97"/>
      <c r="CC928" s="97"/>
      <c r="CD928" s="97"/>
      <c r="CE928" s="97"/>
      <c r="CF928" s="97"/>
      <c r="CG928" s="97"/>
      <c r="CH928" s="97"/>
      <c r="CI928" s="97"/>
      <c r="CJ928" s="97"/>
      <c r="CK928" s="97"/>
      <c r="CL928" s="97"/>
      <c r="CM928" s="97"/>
      <c r="CN928" s="97"/>
      <c r="CO928" s="97"/>
      <c r="CP928" s="97"/>
      <c r="CQ928" s="97"/>
    </row>
    <row r="929" spans="1:95" ht="14.45" hidden="1">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c r="AN929" s="97"/>
      <c r="AO929" s="97"/>
      <c r="AP929" s="97"/>
      <c r="AQ929" s="97"/>
      <c r="AR929" s="97"/>
      <c r="AS929" s="97"/>
      <c r="AT929" s="97"/>
      <c r="AU929" s="97"/>
      <c r="AV929" s="97"/>
      <c r="AW929" s="97"/>
      <c r="AX929" s="97"/>
      <c r="AY929" s="97"/>
      <c r="AZ929" s="97"/>
      <c r="BA929" s="97"/>
      <c r="BB929" s="97"/>
      <c r="BC929" s="97"/>
      <c r="BD929" s="97"/>
      <c r="BE929" s="97"/>
      <c r="BF929" s="97"/>
      <c r="BG929" s="97"/>
      <c r="BH929" s="97"/>
      <c r="BI929" s="97"/>
      <c r="BJ929" s="97"/>
      <c r="BK929" s="97"/>
      <c r="BL929" s="97"/>
      <c r="BM929" s="97"/>
      <c r="BN929" s="97"/>
      <c r="BO929" s="97"/>
      <c r="BP929" s="97"/>
      <c r="BQ929" s="97"/>
      <c r="BR929" s="97"/>
      <c r="BS929" s="97"/>
      <c r="BT929" s="97"/>
      <c r="BU929" s="97"/>
      <c r="BV929" s="97"/>
      <c r="BW929" s="97"/>
      <c r="BX929" s="97"/>
      <c r="BY929" s="97"/>
      <c r="BZ929" s="97"/>
      <c r="CA929" s="97"/>
      <c r="CB929" s="97"/>
      <c r="CC929" s="97"/>
      <c r="CD929" s="97"/>
      <c r="CE929" s="97"/>
      <c r="CF929" s="97"/>
      <c r="CG929" s="97"/>
      <c r="CH929" s="97"/>
      <c r="CI929" s="97"/>
      <c r="CJ929" s="97"/>
      <c r="CK929" s="97"/>
      <c r="CL929" s="97"/>
      <c r="CM929" s="97"/>
      <c r="CN929" s="97"/>
      <c r="CO929" s="97"/>
      <c r="CP929" s="97"/>
      <c r="CQ929" s="97"/>
    </row>
    <row r="930" spans="1:95" ht="14.45" hidden="1">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c r="AN930" s="97"/>
      <c r="AO930" s="97"/>
      <c r="AP930" s="97"/>
      <c r="AQ930" s="97"/>
      <c r="AR930" s="97"/>
      <c r="AS930" s="97"/>
      <c r="AT930" s="97"/>
      <c r="AU930" s="97"/>
      <c r="AV930" s="97"/>
      <c r="AW930" s="97"/>
      <c r="AX930" s="97"/>
      <c r="AY930" s="97"/>
      <c r="AZ930" s="97"/>
      <c r="BA930" s="97"/>
      <c r="BB930" s="97"/>
      <c r="BC930" s="97"/>
      <c r="BD930" s="97"/>
      <c r="BE930" s="97"/>
      <c r="BF930" s="97"/>
      <c r="BG930" s="97"/>
      <c r="BH930" s="97"/>
      <c r="BI930" s="97"/>
      <c r="BJ930" s="97"/>
      <c r="BK930" s="97"/>
      <c r="BL930" s="97"/>
      <c r="BM930" s="97"/>
      <c r="BN930" s="97"/>
      <c r="BO930" s="97"/>
      <c r="BP930" s="97"/>
      <c r="BQ930" s="97"/>
      <c r="BR930" s="97"/>
      <c r="BS930" s="97"/>
      <c r="BT930" s="97"/>
      <c r="BU930" s="97"/>
      <c r="BV930" s="97"/>
      <c r="BW930" s="97"/>
      <c r="BX930" s="97"/>
      <c r="BY930" s="97"/>
      <c r="BZ930" s="97"/>
      <c r="CA930" s="97"/>
      <c r="CB930" s="97"/>
      <c r="CC930" s="97"/>
      <c r="CD930" s="97"/>
      <c r="CE930" s="97"/>
      <c r="CF930" s="97"/>
      <c r="CG930" s="97"/>
      <c r="CH930" s="97"/>
      <c r="CI930" s="97"/>
      <c r="CJ930" s="97"/>
      <c r="CK930" s="97"/>
      <c r="CL930" s="97"/>
      <c r="CM930" s="97"/>
      <c r="CN930" s="97"/>
      <c r="CO930" s="97"/>
      <c r="CP930" s="97"/>
      <c r="CQ930" s="97"/>
    </row>
    <row r="931" spans="1:95" ht="14.45" hidden="1">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c r="AN931" s="97"/>
      <c r="AO931" s="97"/>
      <c r="AP931" s="97"/>
      <c r="AQ931" s="97"/>
      <c r="AR931" s="97"/>
      <c r="AS931" s="97"/>
      <c r="AT931" s="97"/>
      <c r="AU931" s="97"/>
      <c r="AV931" s="97"/>
      <c r="AW931" s="97"/>
      <c r="AX931" s="97"/>
      <c r="AY931" s="97"/>
      <c r="AZ931" s="97"/>
      <c r="BA931" s="97"/>
      <c r="BB931" s="97"/>
      <c r="BC931" s="97"/>
      <c r="BD931" s="97"/>
      <c r="BE931" s="97"/>
      <c r="BF931" s="97"/>
      <c r="BG931" s="97"/>
      <c r="BH931" s="97"/>
      <c r="BI931" s="97"/>
      <c r="BJ931" s="97"/>
      <c r="BK931" s="97"/>
      <c r="BL931" s="97"/>
      <c r="BM931" s="97"/>
      <c r="BN931" s="97"/>
      <c r="BO931" s="97"/>
      <c r="BP931" s="97"/>
      <c r="BQ931" s="97"/>
      <c r="BR931" s="97"/>
      <c r="BS931" s="97"/>
      <c r="BT931" s="97"/>
      <c r="BU931" s="97"/>
      <c r="BV931" s="97"/>
      <c r="BW931" s="97"/>
      <c r="BX931" s="97"/>
      <c r="BY931" s="97"/>
      <c r="BZ931" s="97"/>
      <c r="CA931" s="97"/>
      <c r="CB931" s="97"/>
      <c r="CC931" s="97"/>
      <c r="CD931" s="97"/>
      <c r="CE931" s="97"/>
      <c r="CF931" s="97"/>
      <c r="CG931" s="97"/>
      <c r="CH931" s="97"/>
      <c r="CI931" s="97"/>
      <c r="CJ931" s="97"/>
      <c r="CK931" s="97"/>
      <c r="CL931" s="97"/>
      <c r="CM931" s="97"/>
      <c r="CN931" s="97"/>
      <c r="CO931" s="97"/>
      <c r="CP931" s="97"/>
      <c r="CQ931" s="97"/>
    </row>
    <row r="932" spans="1:95" ht="14.45" hidden="1">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c r="AN932" s="97"/>
      <c r="AO932" s="97"/>
      <c r="AP932" s="97"/>
      <c r="AQ932" s="97"/>
      <c r="AR932" s="97"/>
      <c r="AS932" s="97"/>
      <c r="AT932" s="97"/>
      <c r="AU932" s="97"/>
      <c r="AV932" s="97"/>
      <c r="AW932" s="97"/>
      <c r="AX932" s="97"/>
      <c r="AY932" s="97"/>
      <c r="AZ932" s="97"/>
      <c r="BA932" s="97"/>
      <c r="BB932" s="97"/>
      <c r="BC932" s="97"/>
      <c r="BD932" s="97"/>
      <c r="BE932" s="97"/>
      <c r="BF932" s="97"/>
      <c r="BG932" s="97"/>
      <c r="BH932" s="97"/>
      <c r="BI932" s="97"/>
      <c r="BJ932" s="97"/>
      <c r="BK932" s="97"/>
      <c r="BL932" s="97"/>
      <c r="BM932" s="97"/>
      <c r="BN932" s="97"/>
      <c r="BO932" s="97"/>
      <c r="BP932" s="97"/>
      <c r="BQ932" s="97"/>
      <c r="BR932" s="97"/>
      <c r="BS932" s="97"/>
      <c r="BT932" s="97"/>
      <c r="BU932" s="97"/>
      <c r="BV932" s="97"/>
      <c r="BW932" s="97"/>
      <c r="BX932" s="97"/>
      <c r="BY932" s="97"/>
      <c r="BZ932" s="97"/>
      <c r="CA932" s="97"/>
      <c r="CB932" s="97"/>
      <c r="CC932" s="97"/>
      <c r="CD932" s="97"/>
      <c r="CE932" s="97"/>
      <c r="CF932" s="97"/>
      <c r="CG932" s="97"/>
      <c r="CH932" s="97"/>
      <c r="CI932" s="97"/>
      <c r="CJ932" s="97"/>
      <c r="CK932" s="97"/>
      <c r="CL932" s="97"/>
      <c r="CM932" s="97"/>
      <c r="CN932" s="97"/>
      <c r="CO932" s="97"/>
      <c r="CP932" s="97"/>
      <c r="CQ932" s="97"/>
    </row>
    <row r="933" spans="1:95" ht="14.45" hidden="1">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c r="AN933" s="97"/>
      <c r="AO933" s="97"/>
      <c r="AP933" s="97"/>
      <c r="AQ933" s="97"/>
      <c r="AR933" s="97"/>
      <c r="AS933" s="97"/>
      <c r="AT933" s="97"/>
      <c r="AU933" s="97"/>
      <c r="AV933" s="97"/>
      <c r="AW933" s="97"/>
      <c r="AX933" s="97"/>
      <c r="AY933" s="97"/>
      <c r="AZ933" s="97"/>
      <c r="BA933" s="97"/>
      <c r="BB933" s="97"/>
      <c r="BC933" s="97"/>
      <c r="BD933" s="97"/>
      <c r="BE933" s="97"/>
      <c r="BF933" s="97"/>
      <c r="BG933" s="97"/>
      <c r="BH933" s="97"/>
      <c r="BI933" s="97"/>
      <c r="BJ933" s="97"/>
      <c r="BK933" s="97"/>
      <c r="BL933" s="97"/>
      <c r="BM933" s="97"/>
      <c r="BN933" s="97"/>
      <c r="BO933" s="97"/>
      <c r="BP933" s="97"/>
      <c r="BQ933" s="97"/>
      <c r="BR933" s="97"/>
      <c r="BS933" s="97"/>
      <c r="BT933" s="97"/>
      <c r="BU933" s="97"/>
      <c r="BV933" s="97"/>
      <c r="BW933" s="97"/>
      <c r="BX933" s="97"/>
      <c r="BY933" s="97"/>
      <c r="BZ933" s="97"/>
      <c r="CA933" s="97"/>
      <c r="CB933" s="97"/>
      <c r="CC933" s="97"/>
      <c r="CD933" s="97"/>
      <c r="CE933" s="97"/>
      <c r="CF933" s="97"/>
      <c r="CG933" s="97"/>
      <c r="CH933" s="97"/>
      <c r="CI933" s="97"/>
      <c r="CJ933" s="97"/>
      <c r="CK933" s="97"/>
      <c r="CL933" s="97"/>
      <c r="CM933" s="97"/>
      <c r="CN933" s="97"/>
      <c r="CO933" s="97"/>
      <c r="CP933" s="97"/>
      <c r="CQ933" s="97"/>
    </row>
    <row r="934" spans="1:95" ht="14.45" hidden="1">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c r="AN934" s="97"/>
      <c r="AO934" s="97"/>
      <c r="AP934" s="97"/>
      <c r="AQ934" s="97"/>
      <c r="AR934" s="97"/>
      <c r="AS934" s="97"/>
      <c r="AT934" s="97"/>
      <c r="AU934" s="97"/>
      <c r="AV934" s="97"/>
      <c r="AW934" s="97"/>
      <c r="AX934" s="97"/>
      <c r="AY934" s="97"/>
      <c r="AZ934" s="97"/>
      <c r="BA934" s="97"/>
      <c r="BB934" s="97"/>
      <c r="BC934" s="97"/>
      <c r="BD934" s="97"/>
      <c r="BE934" s="97"/>
      <c r="BF934" s="97"/>
      <c r="BG934" s="97"/>
      <c r="BH934" s="97"/>
      <c r="BI934" s="97"/>
      <c r="BJ934" s="97"/>
      <c r="BK934" s="97"/>
      <c r="BL934" s="97"/>
      <c r="BM934" s="97"/>
      <c r="BN934" s="97"/>
      <c r="BO934" s="97"/>
      <c r="BP934" s="97"/>
      <c r="BQ934" s="97"/>
      <c r="BR934" s="97"/>
      <c r="BS934" s="97"/>
      <c r="BT934" s="97"/>
      <c r="BU934" s="97"/>
      <c r="BV934" s="97"/>
      <c r="BW934" s="97"/>
      <c r="BX934" s="97"/>
      <c r="BY934" s="97"/>
      <c r="BZ934" s="97"/>
      <c r="CA934" s="97"/>
      <c r="CB934" s="97"/>
      <c r="CC934" s="97"/>
      <c r="CD934" s="97"/>
      <c r="CE934" s="97"/>
      <c r="CF934" s="97"/>
      <c r="CG934" s="97"/>
      <c r="CH934" s="97"/>
      <c r="CI934" s="97"/>
      <c r="CJ934" s="97"/>
      <c r="CK934" s="97"/>
      <c r="CL934" s="97"/>
      <c r="CM934" s="97"/>
      <c r="CN934" s="97"/>
      <c r="CO934" s="97"/>
      <c r="CP934" s="97"/>
      <c r="CQ934" s="97"/>
    </row>
    <row r="935" spans="1:95" ht="14.45" hidden="1">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c r="AN935" s="97"/>
      <c r="AO935" s="97"/>
      <c r="AP935" s="97"/>
      <c r="AQ935" s="97"/>
      <c r="AR935" s="97"/>
      <c r="AS935" s="97"/>
      <c r="AT935" s="97"/>
      <c r="AU935" s="97"/>
      <c r="AV935" s="97"/>
      <c r="AW935" s="97"/>
      <c r="AX935" s="97"/>
      <c r="AY935" s="97"/>
      <c r="AZ935" s="97"/>
      <c r="BA935" s="97"/>
      <c r="BB935" s="97"/>
      <c r="BC935" s="97"/>
      <c r="BD935" s="97"/>
      <c r="BE935" s="97"/>
      <c r="BF935" s="97"/>
      <c r="BG935" s="97"/>
      <c r="BH935" s="97"/>
      <c r="BI935" s="97"/>
      <c r="BJ935" s="97"/>
      <c r="BK935" s="97"/>
      <c r="BL935" s="97"/>
      <c r="BM935" s="97"/>
      <c r="BN935" s="97"/>
      <c r="BO935" s="97"/>
      <c r="BP935" s="97"/>
      <c r="BQ935" s="97"/>
      <c r="BR935" s="97"/>
      <c r="BS935" s="97"/>
      <c r="BT935" s="97"/>
      <c r="BU935" s="97"/>
      <c r="BV935" s="97"/>
      <c r="BW935" s="97"/>
      <c r="BX935" s="97"/>
      <c r="BY935" s="97"/>
      <c r="BZ935" s="97"/>
      <c r="CA935" s="97"/>
      <c r="CB935" s="97"/>
      <c r="CC935" s="97"/>
      <c r="CD935" s="97"/>
      <c r="CE935" s="97"/>
      <c r="CF935" s="97"/>
      <c r="CG935" s="97"/>
      <c r="CH935" s="97"/>
      <c r="CI935" s="97"/>
      <c r="CJ935" s="97"/>
      <c r="CK935" s="97"/>
      <c r="CL935" s="97"/>
      <c r="CM935" s="97"/>
      <c r="CN935" s="97"/>
      <c r="CO935" s="97"/>
      <c r="CP935" s="97"/>
      <c r="CQ935" s="97"/>
    </row>
    <row r="936" spans="1:95" ht="14.45" hidden="1">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c r="AN936" s="97"/>
      <c r="AO936" s="97"/>
      <c r="AP936" s="97"/>
      <c r="AQ936" s="97"/>
      <c r="AR936" s="97"/>
      <c r="AS936" s="97"/>
      <c r="AT936" s="97"/>
      <c r="AU936" s="97"/>
      <c r="AV936" s="97"/>
      <c r="AW936" s="97"/>
      <c r="AX936" s="97"/>
      <c r="AY936" s="97"/>
      <c r="AZ936" s="97"/>
      <c r="BA936" s="97"/>
      <c r="BB936" s="97"/>
      <c r="BC936" s="97"/>
      <c r="BD936" s="97"/>
      <c r="BE936" s="97"/>
      <c r="BF936" s="97"/>
      <c r="BG936" s="97"/>
      <c r="BH936" s="97"/>
      <c r="BI936" s="97"/>
      <c r="BJ936" s="97"/>
      <c r="BK936" s="97"/>
      <c r="BL936" s="97"/>
      <c r="BM936" s="97"/>
      <c r="BN936" s="97"/>
      <c r="BO936" s="97"/>
      <c r="BP936" s="97"/>
      <c r="BQ936" s="97"/>
      <c r="BR936" s="97"/>
      <c r="BS936" s="97"/>
      <c r="BT936" s="97"/>
      <c r="BU936" s="97"/>
      <c r="BV936" s="97"/>
      <c r="BW936" s="97"/>
      <c r="BX936" s="97"/>
      <c r="BY936" s="97"/>
      <c r="BZ936" s="97"/>
      <c r="CA936" s="97"/>
      <c r="CB936" s="97"/>
      <c r="CC936" s="97"/>
      <c r="CD936" s="97"/>
      <c r="CE936" s="97"/>
      <c r="CF936" s="97"/>
      <c r="CG936" s="97"/>
      <c r="CH936" s="97"/>
      <c r="CI936" s="97"/>
      <c r="CJ936" s="97"/>
      <c r="CK936" s="97"/>
      <c r="CL936" s="97"/>
      <c r="CM936" s="97"/>
      <c r="CN936" s="97"/>
      <c r="CO936" s="97"/>
      <c r="CP936" s="97"/>
      <c r="CQ936" s="97"/>
    </row>
    <row r="937" spans="1:95" ht="14.45" hidden="1">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c r="AN937" s="97"/>
      <c r="AO937" s="97"/>
      <c r="AP937" s="97"/>
      <c r="AQ937" s="97"/>
      <c r="AR937" s="97"/>
      <c r="AS937" s="97"/>
      <c r="AT937" s="97"/>
      <c r="AU937" s="97"/>
      <c r="AV937" s="97"/>
      <c r="AW937" s="97"/>
      <c r="AX937" s="97"/>
      <c r="AY937" s="97"/>
      <c r="AZ937" s="97"/>
      <c r="BA937" s="97"/>
      <c r="BB937" s="97"/>
      <c r="BC937" s="97"/>
      <c r="BD937" s="97"/>
      <c r="BE937" s="97"/>
      <c r="BF937" s="97"/>
      <c r="BG937" s="97"/>
      <c r="BH937" s="97"/>
      <c r="BI937" s="97"/>
      <c r="BJ937" s="97"/>
      <c r="BK937" s="97"/>
      <c r="BL937" s="97"/>
      <c r="BM937" s="97"/>
      <c r="BN937" s="97"/>
      <c r="BO937" s="97"/>
      <c r="BP937" s="97"/>
      <c r="BQ937" s="97"/>
      <c r="BR937" s="97"/>
      <c r="BS937" s="97"/>
      <c r="BT937" s="97"/>
      <c r="BU937" s="97"/>
      <c r="BV937" s="97"/>
      <c r="BW937" s="97"/>
      <c r="BX937" s="97"/>
      <c r="BY937" s="97"/>
      <c r="BZ937" s="97"/>
      <c r="CA937" s="97"/>
      <c r="CB937" s="97"/>
      <c r="CC937" s="97"/>
      <c r="CD937" s="97"/>
      <c r="CE937" s="97"/>
      <c r="CF937" s="97"/>
      <c r="CG937" s="97"/>
      <c r="CH937" s="97"/>
      <c r="CI937" s="97"/>
      <c r="CJ937" s="97"/>
      <c r="CK937" s="97"/>
      <c r="CL937" s="97"/>
      <c r="CM937" s="97"/>
      <c r="CN937" s="97"/>
      <c r="CO937" s="97"/>
      <c r="CP937" s="97"/>
      <c r="CQ937" s="97"/>
    </row>
    <row r="938" spans="1:95" ht="14.45" hidden="1">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c r="AN938" s="97"/>
      <c r="AO938" s="97"/>
      <c r="AP938" s="97"/>
      <c r="AQ938" s="97"/>
      <c r="AR938" s="97"/>
      <c r="AS938" s="97"/>
      <c r="AT938" s="97"/>
      <c r="AU938" s="97"/>
      <c r="AV938" s="97"/>
      <c r="AW938" s="97"/>
      <c r="AX938" s="97"/>
      <c r="AY938" s="97"/>
      <c r="AZ938" s="97"/>
      <c r="BA938" s="97"/>
      <c r="BB938" s="97"/>
      <c r="BC938" s="97"/>
      <c r="BD938" s="97"/>
      <c r="BE938" s="97"/>
      <c r="BF938" s="97"/>
      <c r="BG938" s="97"/>
      <c r="BH938" s="97"/>
      <c r="BI938" s="97"/>
      <c r="BJ938" s="97"/>
      <c r="BK938" s="97"/>
      <c r="BL938" s="97"/>
      <c r="BM938" s="97"/>
      <c r="BN938" s="97"/>
      <c r="BO938" s="97"/>
      <c r="BP938" s="97"/>
      <c r="BQ938" s="97"/>
      <c r="BR938" s="97"/>
      <c r="BS938" s="97"/>
      <c r="BT938" s="97"/>
      <c r="BU938" s="97"/>
      <c r="BV938" s="97"/>
      <c r="BW938" s="97"/>
      <c r="BX938" s="97"/>
      <c r="BY938" s="97"/>
      <c r="BZ938" s="97"/>
      <c r="CA938" s="97"/>
      <c r="CB938" s="97"/>
      <c r="CC938" s="97"/>
      <c r="CD938" s="97"/>
      <c r="CE938" s="97"/>
      <c r="CF938" s="97"/>
      <c r="CG938" s="97"/>
      <c r="CH938" s="97"/>
      <c r="CI938" s="97"/>
      <c r="CJ938" s="97"/>
      <c r="CK938" s="97"/>
      <c r="CL938" s="97"/>
      <c r="CM938" s="97"/>
      <c r="CN938" s="97"/>
      <c r="CO938" s="97"/>
      <c r="CP938" s="97"/>
      <c r="CQ938" s="97"/>
    </row>
    <row r="939" spans="1:95" ht="14.45" hidden="1">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c r="AN939" s="97"/>
      <c r="AO939" s="97"/>
      <c r="AP939" s="97"/>
      <c r="AQ939" s="97"/>
      <c r="AR939" s="97"/>
      <c r="AS939" s="97"/>
      <c r="AT939" s="97"/>
      <c r="AU939" s="97"/>
      <c r="AV939" s="97"/>
      <c r="AW939" s="97"/>
      <c r="AX939" s="97"/>
      <c r="AY939" s="97"/>
      <c r="AZ939" s="97"/>
      <c r="BA939" s="97"/>
      <c r="BB939" s="97"/>
      <c r="BC939" s="97"/>
      <c r="BD939" s="97"/>
      <c r="BE939" s="97"/>
      <c r="BF939" s="97"/>
      <c r="BG939" s="97"/>
      <c r="BH939" s="97"/>
      <c r="BI939" s="97"/>
      <c r="BJ939" s="97"/>
      <c r="BK939" s="97"/>
      <c r="BL939" s="97"/>
      <c r="BM939" s="97"/>
      <c r="BN939" s="97"/>
      <c r="BO939" s="97"/>
      <c r="BP939" s="97"/>
      <c r="BQ939" s="97"/>
      <c r="BR939" s="97"/>
      <c r="BS939" s="97"/>
      <c r="BT939" s="97"/>
      <c r="BU939" s="97"/>
      <c r="BV939" s="97"/>
      <c r="BW939" s="97"/>
      <c r="BX939" s="97"/>
      <c r="BY939" s="97"/>
      <c r="BZ939" s="97"/>
      <c r="CA939" s="97"/>
      <c r="CB939" s="97"/>
      <c r="CC939" s="97"/>
      <c r="CD939" s="97"/>
      <c r="CE939" s="97"/>
      <c r="CF939" s="97"/>
      <c r="CG939" s="97"/>
      <c r="CH939" s="97"/>
      <c r="CI939" s="97"/>
      <c r="CJ939" s="97"/>
      <c r="CK939" s="97"/>
      <c r="CL939" s="97"/>
      <c r="CM939" s="97"/>
      <c r="CN939" s="97"/>
      <c r="CO939" s="97"/>
      <c r="CP939" s="97"/>
      <c r="CQ939" s="97"/>
    </row>
    <row r="940" spans="1:95" ht="14.45" hidden="1">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c r="AN940" s="97"/>
      <c r="AO940" s="97"/>
      <c r="AP940" s="97"/>
      <c r="AQ940" s="97"/>
      <c r="AR940" s="97"/>
      <c r="AS940" s="97"/>
      <c r="AT940" s="97"/>
      <c r="AU940" s="97"/>
      <c r="AV940" s="97"/>
      <c r="AW940" s="97"/>
      <c r="AX940" s="97"/>
      <c r="AY940" s="97"/>
      <c r="AZ940" s="97"/>
      <c r="BA940" s="97"/>
      <c r="BB940" s="97"/>
      <c r="BC940" s="97"/>
      <c r="BD940" s="97"/>
      <c r="BE940" s="97"/>
      <c r="BF940" s="97"/>
      <c r="BG940" s="97"/>
      <c r="BH940" s="97"/>
      <c r="BI940" s="97"/>
      <c r="BJ940" s="97"/>
      <c r="BK940" s="97"/>
      <c r="BL940" s="97"/>
      <c r="BM940" s="97"/>
      <c r="BN940" s="97"/>
      <c r="BO940" s="97"/>
      <c r="BP940" s="97"/>
      <c r="BQ940" s="97"/>
      <c r="BR940" s="97"/>
      <c r="BS940" s="97"/>
      <c r="BT940" s="97"/>
      <c r="BU940" s="97"/>
      <c r="BV940" s="97"/>
      <c r="BW940" s="97"/>
      <c r="BX940" s="97"/>
      <c r="BY940" s="97"/>
      <c r="BZ940" s="97"/>
      <c r="CA940" s="97"/>
      <c r="CB940" s="97"/>
      <c r="CC940" s="97"/>
      <c r="CD940" s="97"/>
      <c r="CE940" s="97"/>
      <c r="CF940" s="97"/>
      <c r="CG940" s="97"/>
      <c r="CH940" s="97"/>
      <c r="CI940" s="97"/>
      <c r="CJ940" s="97"/>
      <c r="CK940" s="97"/>
      <c r="CL940" s="97"/>
      <c r="CM940" s="97"/>
      <c r="CN940" s="97"/>
      <c r="CO940" s="97"/>
      <c r="CP940" s="97"/>
      <c r="CQ940" s="97"/>
    </row>
    <row r="941" spans="1:95" ht="14.45" hidden="1">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c r="AN941" s="97"/>
      <c r="AO941" s="97"/>
      <c r="AP941" s="97"/>
      <c r="AQ941" s="97"/>
      <c r="AR941" s="97"/>
      <c r="AS941" s="97"/>
      <c r="AT941" s="97"/>
      <c r="AU941" s="97"/>
      <c r="AV941" s="97"/>
      <c r="AW941" s="97"/>
      <c r="AX941" s="97"/>
      <c r="AY941" s="97"/>
      <c r="AZ941" s="97"/>
      <c r="BA941" s="97"/>
      <c r="BB941" s="97"/>
      <c r="BC941" s="97"/>
      <c r="BD941" s="97"/>
      <c r="BE941" s="97"/>
      <c r="BF941" s="97"/>
      <c r="BG941" s="97"/>
      <c r="BH941" s="97"/>
      <c r="BI941" s="97"/>
      <c r="BJ941" s="97"/>
      <c r="BK941" s="97"/>
      <c r="BL941" s="97"/>
      <c r="BM941" s="97"/>
      <c r="BN941" s="97"/>
      <c r="BO941" s="97"/>
      <c r="BP941" s="97"/>
      <c r="BQ941" s="97"/>
      <c r="BR941" s="97"/>
      <c r="BS941" s="97"/>
      <c r="BT941" s="97"/>
      <c r="BU941" s="97"/>
      <c r="BV941" s="97"/>
      <c r="BW941" s="97"/>
      <c r="BX941" s="97"/>
      <c r="BY941" s="97"/>
      <c r="BZ941" s="97"/>
      <c r="CA941" s="97"/>
      <c r="CB941" s="97"/>
      <c r="CC941" s="97"/>
      <c r="CD941" s="97"/>
      <c r="CE941" s="97"/>
      <c r="CF941" s="97"/>
      <c r="CG941" s="97"/>
      <c r="CH941" s="97"/>
      <c r="CI941" s="97"/>
      <c r="CJ941" s="97"/>
      <c r="CK941" s="97"/>
      <c r="CL941" s="97"/>
      <c r="CM941" s="97"/>
      <c r="CN941" s="97"/>
      <c r="CO941" s="97"/>
      <c r="CP941" s="97"/>
      <c r="CQ941" s="97"/>
    </row>
    <row r="942" spans="1:95"/>
    <row r="943" spans="1:95"/>
    <row r="944" spans="1:95"/>
    <row r="945"/>
  </sheetData>
  <mergeCells count="15">
    <mergeCell ref="B308:B309"/>
    <mergeCell ref="B327:B328"/>
    <mergeCell ref="B279:B280"/>
    <mergeCell ref="B183:B184"/>
    <mergeCell ref="B260:B261"/>
    <mergeCell ref="B212:B213"/>
    <mergeCell ref="B231:B232"/>
    <mergeCell ref="B302:B303"/>
    <mergeCell ref="B109:B110"/>
    <mergeCell ref="B158:B159"/>
    <mergeCell ref="B254:B255"/>
    <mergeCell ref="B206:B207"/>
    <mergeCell ref="B164:B165"/>
    <mergeCell ref="B116:B117"/>
    <mergeCell ref="B135:B1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7"/>
  <sheetViews>
    <sheetView zoomScale="54" workbookViewId="0">
      <selection activeCell="B55" sqref="B55"/>
    </sheetView>
  </sheetViews>
  <sheetFormatPr defaultRowHeight="12.6"/>
  <sheetData>
    <row r="1" spans="2:18" ht="29.1">
      <c r="B1" s="122"/>
      <c r="C1" s="60" t="s">
        <v>79</v>
      </c>
      <c r="D1" s="61" t="s">
        <v>80</v>
      </c>
      <c r="E1" s="104" t="s">
        <v>81</v>
      </c>
      <c r="F1" s="104" t="s">
        <v>82</v>
      </c>
      <c r="G1" s="104" t="s">
        <v>83</v>
      </c>
      <c r="H1" s="104" t="s">
        <v>84</v>
      </c>
      <c r="I1" s="104" t="s">
        <v>85</v>
      </c>
      <c r="J1" s="104" t="s">
        <v>86</v>
      </c>
      <c r="K1" s="104" t="s">
        <v>87</v>
      </c>
      <c r="L1" s="104" t="s">
        <v>88</v>
      </c>
      <c r="M1" s="104" t="s">
        <v>89</v>
      </c>
      <c r="N1" s="104" t="s">
        <v>90</v>
      </c>
      <c r="O1" s="104" t="s">
        <v>91</v>
      </c>
      <c r="P1" s="104" t="s">
        <v>92</v>
      </c>
      <c r="Q1" s="104" t="s">
        <v>93</v>
      </c>
    </row>
    <row r="2" spans="2:18" ht="29.1">
      <c r="B2" s="60" t="s">
        <v>94</v>
      </c>
      <c r="C2" s="129"/>
      <c r="D2" s="129"/>
      <c r="E2" s="129"/>
      <c r="F2" s="129"/>
      <c r="G2" s="129"/>
      <c r="H2" s="129"/>
      <c r="I2" s="129"/>
      <c r="J2" s="129"/>
      <c r="K2" s="129"/>
      <c r="L2" s="129"/>
      <c r="M2" s="129"/>
      <c r="N2" s="129"/>
      <c r="O2" s="129"/>
      <c r="P2" s="129"/>
      <c r="Q2" s="130"/>
    </row>
    <row r="3" spans="2:18" ht="14.45">
      <c r="B3" s="61" t="s">
        <v>80</v>
      </c>
      <c r="C3" s="105"/>
      <c r="D3" s="131">
        <f t="shared" ref="D3:Q3" si="0">Without_45_with_xx_amenity_value+Without_45_with_xx_AMI_value+Without_45_with_xx_dementia_value+Without_45_with_xx_stroke_value+Without_45_with_xx_sleep_disturbance_value</f>
        <v>0</v>
      </c>
      <c r="E3" s="131">
        <f t="shared" si="0"/>
        <v>-14.975680162320256</v>
      </c>
      <c r="F3" s="131">
        <f t="shared" si="0"/>
        <v>-61.283261978715458</v>
      </c>
      <c r="G3" s="131">
        <f t="shared" si="0"/>
        <v>-127.01060585884093</v>
      </c>
      <c r="H3" s="131">
        <f t="shared" si="0"/>
        <v>-266.57657696922951</v>
      </c>
      <c r="I3" s="131">
        <f t="shared" si="0"/>
        <v>-441.7729472274662</v>
      </c>
      <c r="J3" s="131">
        <f t="shared" si="0"/>
        <v>-660.41862217763696</v>
      </c>
      <c r="K3" s="131">
        <f t="shared" si="0"/>
        <v>-925.94126262469445</v>
      </c>
      <c r="L3" s="131">
        <f t="shared" si="0"/>
        <v>-1242.292702637119</v>
      </c>
      <c r="M3" s="131">
        <f t="shared" si="0"/>
        <v>-1613.4247839608811</v>
      </c>
      <c r="N3" s="131">
        <f t="shared" si="0"/>
        <v>-2043.2893560914586</v>
      </c>
      <c r="O3" s="131">
        <f t="shared" si="0"/>
        <v>-2529.987157769945</v>
      </c>
      <c r="P3" s="131">
        <f t="shared" si="0"/>
        <v>-3039.4658192047127</v>
      </c>
      <c r="Q3" s="131">
        <f t="shared" si="0"/>
        <v>-3552.559308230032</v>
      </c>
      <c r="R3" s="22" t="s">
        <v>785</v>
      </c>
    </row>
    <row r="4" spans="2:18" ht="14.45">
      <c r="B4" s="104" t="s">
        <v>81</v>
      </c>
      <c r="C4" s="132"/>
      <c r="D4" s="131">
        <f t="shared" ref="D4:Q4" si="1">Without_45_48_with_xx_amenity_value+Without_45_48_with_xx_AMI_value+Without_45_48_with_xx_dementia_value+Without_45_48_with_xx_stroke_value+Without_45_48_with_xx_sleep_disturbance_value</f>
        <v>14.975680162320256</v>
      </c>
      <c r="E4" s="131">
        <f t="shared" si="1"/>
        <v>0</v>
      </c>
      <c r="F4" s="131">
        <f t="shared" si="1"/>
        <v>-46.307581816395199</v>
      </c>
      <c r="G4" s="131">
        <f t="shared" si="1"/>
        <v>-112.03492569652067</v>
      </c>
      <c r="H4" s="131">
        <f t="shared" si="1"/>
        <v>-251.60089680690925</v>
      </c>
      <c r="I4" s="131">
        <f t="shared" si="1"/>
        <v>-426.79726706514595</v>
      </c>
      <c r="J4" s="131">
        <f t="shared" si="1"/>
        <v>-645.4429420153167</v>
      </c>
      <c r="K4" s="131">
        <f t="shared" si="1"/>
        <v>-910.96558246237419</v>
      </c>
      <c r="L4" s="131">
        <f t="shared" si="1"/>
        <v>-1227.3170224747987</v>
      </c>
      <c r="M4" s="131">
        <f t="shared" si="1"/>
        <v>-1598.4491037985608</v>
      </c>
      <c r="N4" s="131">
        <f t="shared" si="1"/>
        <v>-2028.3136759291383</v>
      </c>
      <c r="O4" s="131">
        <f t="shared" si="1"/>
        <v>-2515.0114776076243</v>
      </c>
      <c r="P4" s="131">
        <f t="shared" si="1"/>
        <v>-3024.4901390423925</v>
      </c>
      <c r="Q4" s="131">
        <f t="shared" si="1"/>
        <v>-3537.5836280677117</v>
      </c>
      <c r="R4" s="22" t="s">
        <v>786</v>
      </c>
    </row>
    <row r="5" spans="2:18" ht="14.45">
      <c r="B5" s="104" t="s">
        <v>82</v>
      </c>
      <c r="C5" s="132"/>
      <c r="D5" s="131">
        <f t="shared" ref="D5:Q5" si="2">Without_48_51_with_xx_amenity_value+Without_48_51_with_xx_AMI_value+Without_48_51_with_xx_dementia_value+Without_48_51_with_xx_stroke_value+Without_48_51_with_xx_sleep_disturbance_value</f>
        <v>61.283261978715458</v>
      </c>
      <c r="E5" s="131">
        <f t="shared" si="2"/>
        <v>46.307581816395199</v>
      </c>
      <c r="F5" s="131">
        <f t="shared" si="2"/>
        <v>0</v>
      </c>
      <c r="G5" s="131">
        <f t="shared" si="2"/>
        <v>-65.727343880125474</v>
      </c>
      <c r="H5" s="131">
        <f t="shared" si="2"/>
        <v>-205.29331499051403</v>
      </c>
      <c r="I5" s="131">
        <f t="shared" si="2"/>
        <v>-380.48968524875073</v>
      </c>
      <c r="J5" s="131">
        <f t="shared" si="2"/>
        <v>-599.13536019892149</v>
      </c>
      <c r="K5" s="131">
        <f t="shared" si="2"/>
        <v>-864.65800064597886</v>
      </c>
      <c r="L5" s="131">
        <f t="shared" si="2"/>
        <v>-1181.0094406584035</v>
      </c>
      <c r="M5" s="131">
        <f t="shared" si="2"/>
        <v>-1552.1415219821656</v>
      </c>
      <c r="N5" s="131">
        <f t="shared" si="2"/>
        <v>-1982.0060941127429</v>
      </c>
      <c r="O5" s="131">
        <f t="shared" si="2"/>
        <v>-2468.7038957912291</v>
      </c>
      <c r="P5" s="131">
        <f t="shared" si="2"/>
        <v>-2978.1825572259972</v>
      </c>
      <c r="Q5" s="131">
        <f t="shared" si="2"/>
        <v>-3491.2760462513165</v>
      </c>
      <c r="R5" s="22" t="s">
        <v>787</v>
      </c>
    </row>
    <row r="6" spans="2:18" ht="14.45">
      <c r="B6" s="104" t="s">
        <v>83</v>
      </c>
      <c r="C6" s="132"/>
      <c r="D6" s="131">
        <f t="shared" ref="D6:Q6" si="3">Without_51_54_with_xx_amenity_value+Without_51_54_with_xx_AMI_value+Without_51_54_with_xx_dementia_value+Without_51_54_with_xx_stroke_value+Without_51_54_with_xx_sleep_disturbance_value</f>
        <v>127.01060585884093</v>
      </c>
      <c r="E6" s="131">
        <f t="shared" si="3"/>
        <v>112.03492569652067</v>
      </c>
      <c r="F6" s="131">
        <f t="shared" si="3"/>
        <v>65.727343880125474</v>
      </c>
      <c r="G6" s="131">
        <f t="shared" si="3"/>
        <v>0</v>
      </c>
      <c r="H6" s="131">
        <f t="shared" si="3"/>
        <v>-139.56597111038855</v>
      </c>
      <c r="I6" s="131">
        <f t="shared" si="3"/>
        <v>-314.76234136862524</v>
      </c>
      <c r="J6" s="131">
        <f t="shared" si="3"/>
        <v>-533.40801631879606</v>
      </c>
      <c r="K6" s="131">
        <f t="shared" si="3"/>
        <v>-798.93065676585343</v>
      </c>
      <c r="L6" s="131">
        <f t="shared" si="3"/>
        <v>-1115.2820967782782</v>
      </c>
      <c r="M6" s="131">
        <f t="shared" si="3"/>
        <v>-1486.4141781020403</v>
      </c>
      <c r="N6" s="131">
        <f t="shared" si="3"/>
        <v>-1916.2787502326173</v>
      </c>
      <c r="O6" s="131">
        <f t="shared" si="3"/>
        <v>-2402.9765519111033</v>
      </c>
      <c r="P6" s="131">
        <f t="shared" si="3"/>
        <v>-2912.4552133458719</v>
      </c>
      <c r="Q6" s="131">
        <f t="shared" si="3"/>
        <v>-3425.5487023711912</v>
      </c>
      <c r="R6" s="22" t="s">
        <v>788</v>
      </c>
    </row>
    <row r="7" spans="2:18" ht="14.45">
      <c r="B7" s="104" t="s">
        <v>84</v>
      </c>
      <c r="C7" s="132"/>
      <c r="D7" s="131">
        <f t="shared" ref="D7:Q7" si="4">Without_54_57_with_xx_amenity_value+Without_54_57_with_xx_AMI_value+Without_54_57_with_xx_dementia_value+Without_54_57_with_xx_stroke_value+Without_54_57_with_xx_sleep_disturbance_value</f>
        <v>266.57657696922951</v>
      </c>
      <c r="E7" s="131">
        <f t="shared" si="4"/>
        <v>251.60089680690925</v>
      </c>
      <c r="F7" s="131">
        <f t="shared" si="4"/>
        <v>205.29331499051403</v>
      </c>
      <c r="G7" s="131">
        <f t="shared" si="4"/>
        <v>139.56597111038855</v>
      </c>
      <c r="H7" s="131">
        <f t="shared" si="4"/>
        <v>0</v>
      </c>
      <c r="I7" s="131">
        <f t="shared" si="4"/>
        <v>-175.1963702582367</v>
      </c>
      <c r="J7" s="131">
        <f t="shared" si="4"/>
        <v>-393.84204520840757</v>
      </c>
      <c r="K7" s="131">
        <f t="shared" si="4"/>
        <v>-659.36468565546488</v>
      </c>
      <c r="L7" s="131">
        <f t="shared" si="4"/>
        <v>-975.7161256678894</v>
      </c>
      <c r="M7" s="131">
        <f t="shared" si="4"/>
        <v>-1346.8482069916518</v>
      </c>
      <c r="N7" s="131">
        <f t="shared" si="4"/>
        <v>-1776.7127791222288</v>
      </c>
      <c r="O7" s="131">
        <f t="shared" si="4"/>
        <v>-2263.4105808007153</v>
      </c>
      <c r="P7" s="131">
        <f t="shared" si="4"/>
        <v>-2772.8892422354834</v>
      </c>
      <c r="Q7" s="131">
        <f t="shared" si="4"/>
        <v>-3285.9827312608022</v>
      </c>
      <c r="R7" s="22" t="s">
        <v>789</v>
      </c>
    </row>
    <row r="8" spans="2:18" ht="14.45">
      <c r="B8" s="104" t="s">
        <v>85</v>
      </c>
      <c r="C8" s="132"/>
      <c r="D8" s="131">
        <f t="shared" ref="D8:Q8" si="5">Without_57_60_with_xx_amenity_value+Without_57_60_with_xx_AMI_value+Without_57_60_with_xx_dementia_value+Without_57_60_with_xx_stroke_value+Without_57_60_with_xx_sleep_disturbance_value</f>
        <v>441.7729472274662</v>
      </c>
      <c r="E8" s="131">
        <f t="shared" si="5"/>
        <v>426.79726706514595</v>
      </c>
      <c r="F8" s="131">
        <f t="shared" si="5"/>
        <v>380.48968524875073</v>
      </c>
      <c r="G8" s="131">
        <f t="shared" si="5"/>
        <v>314.76234136862524</v>
      </c>
      <c r="H8" s="131">
        <f t="shared" si="5"/>
        <v>175.1963702582367</v>
      </c>
      <c r="I8" s="131">
        <f t="shared" si="5"/>
        <v>0</v>
      </c>
      <c r="J8" s="131">
        <f t="shared" si="5"/>
        <v>-218.64567495017087</v>
      </c>
      <c r="K8" s="131">
        <f t="shared" si="5"/>
        <v>-484.16831539722818</v>
      </c>
      <c r="L8" s="131">
        <f t="shared" si="5"/>
        <v>-800.51975540965282</v>
      </c>
      <c r="M8" s="131">
        <f t="shared" si="5"/>
        <v>-1171.6518367334152</v>
      </c>
      <c r="N8" s="131">
        <f t="shared" si="5"/>
        <v>-1601.5164088639922</v>
      </c>
      <c r="O8" s="131">
        <f t="shared" si="5"/>
        <v>-2088.2142105424787</v>
      </c>
      <c r="P8" s="131">
        <f t="shared" si="5"/>
        <v>-2597.6928719772468</v>
      </c>
      <c r="Q8" s="131">
        <f t="shared" si="5"/>
        <v>-3110.7863610025661</v>
      </c>
      <c r="R8" s="22" t="s">
        <v>790</v>
      </c>
    </row>
    <row r="9" spans="2:18" ht="14.45">
      <c r="B9" s="104" t="s">
        <v>86</v>
      </c>
      <c r="C9" s="132"/>
      <c r="D9" s="131">
        <f t="shared" ref="D9:Q9" si="6">Without_60_63_with_xx_amenity_value+Without_60_63_with_xx_AMI_value+Without_60_63_with_xx_dementia_value+Without_60_63_with_xx_stroke_value+Without_60_63_with_xx_sleep_disturbance_value</f>
        <v>660.41862217763696</v>
      </c>
      <c r="E9" s="131">
        <f t="shared" si="6"/>
        <v>645.4429420153167</v>
      </c>
      <c r="F9" s="131">
        <f t="shared" si="6"/>
        <v>599.13536019892149</v>
      </c>
      <c r="G9" s="131">
        <f t="shared" si="6"/>
        <v>533.40801631879606</v>
      </c>
      <c r="H9" s="131">
        <f t="shared" si="6"/>
        <v>393.84204520840757</v>
      </c>
      <c r="I9" s="131">
        <f t="shared" si="6"/>
        <v>218.64567495017087</v>
      </c>
      <c r="J9" s="131">
        <f t="shared" si="6"/>
        <v>0</v>
      </c>
      <c r="K9" s="131">
        <f t="shared" si="6"/>
        <v>-265.52264044705726</v>
      </c>
      <c r="L9" s="131">
        <f t="shared" si="6"/>
        <v>-581.874080459482</v>
      </c>
      <c r="M9" s="131">
        <f t="shared" si="6"/>
        <v>-953.00616178324412</v>
      </c>
      <c r="N9" s="131">
        <f t="shared" si="6"/>
        <v>-1382.8707339138214</v>
      </c>
      <c r="O9" s="131">
        <f t="shared" si="6"/>
        <v>-1869.5685355923079</v>
      </c>
      <c r="P9" s="131">
        <f t="shared" si="6"/>
        <v>-2379.047197027076</v>
      </c>
      <c r="Q9" s="131">
        <f t="shared" si="6"/>
        <v>-2892.1406860523953</v>
      </c>
      <c r="R9" s="22" t="s">
        <v>791</v>
      </c>
    </row>
    <row r="10" spans="2:18" ht="14.45">
      <c r="B10" s="104" t="s">
        <v>87</v>
      </c>
      <c r="C10" s="132"/>
      <c r="D10" s="131">
        <f t="shared" ref="D10:Q10" si="7">Without_63_66_with_xx_amenity_value+Without_63_66_with_xx_AMI_value+Without_63_66_with_xx_dementia_value+Without_63_66_with_xx_stroke_value+Without_63_66_with_xx_sleep_disturbance_value</f>
        <v>925.94126262469445</v>
      </c>
      <c r="E10" s="131">
        <f t="shared" si="7"/>
        <v>910.96558246237419</v>
      </c>
      <c r="F10" s="131">
        <f t="shared" si="7"/>
        <v>864.65800064597886</v>
      </c>
      <c r="G10" s="131">
        <f t="shared" si="7"/>
        <v>798.93065676585343</v>
      </c>
      <c r="H10" s="131">
        <f t="shared" si="7"/>
        <v>659.36468565546488</v>
      </c>
      <c r="I10" s="131">
        <f t="shared" si="7"/>
        <v>484.16831539722818</v>
      </c>
      <c r="J10" s="131">
        <f t="shared" si="7"/>
        <v>265.52264044705726</v>
      </c>
      <c r="K10" s="131">
        <f t="shared" si="7"/>
        <v>0</v>
      </c>
      <c r="L10" s="131">
        <f t="shared" si="7"/>
        <v>-316.35144001242463</v>
      </c>
      <c r="M10" s="131">
        <f t="shared" si="7"/>
        <v>-687.48352133618687</v>
      </c>
      <c r="N10" s="131">
        <f t="shared" si="7"/>
        <v>-1117.3480934667641</v>
      </c>
      <c r="O10" s="131">
        <f t="shared" si="7"/>
        <v>-1604.0458951452501</v>
      </c>
      <c r="P10" s="131">
        <f t="shared" si="7"/>
        <v>-2113.5245565800183</v>
      </c>
      <c r="Q10" s="131">
        <f t="shared" si="7"/>
        <v>-2626.618045605338</v>
      </c>
      <c r="R10" s="22" t="s">
        <v>792</v>
      </c>
    </row>
    <row r="11" spans="2:18" ht="14.45">
      <c r="B11" s="104" t="s">
        <v>88</v>
      </c>
      <c r="C11" s="132"/>
      <c r="D11" s="131">
        <f t="shared" ref="D11:Q11" si="8">Without_66_69_with_xx_amenity_value+Without_66_69_with_xx_AMI_value+Without_66_69_with_xx_dementia_value+Without_66_69_with_xx_stroke_value+Without_66_69_with_xx_sleep_disturbance_value</f>
        <v>1242.292702637119</v>
      </c>
      <c r="E11" s="131">
        <f t="shared" si="8"/>
        <v>1227.3170224747987</v>
      </c>
      <c r="F11" s="131">
        <f t="shared" si="8"/>
        <v>1181.0094406584035</v>
      </c>
      <c r="G11" s="131">
        <f t="shared" si="8"/>
        <v>1115.2820967782782</v>
      </c>
      <c r="H11" s="131">
        <f t="shared" si="8"/>
        <v>975.7161256678894</v>
      </c>
      <c r="I11" s="131">
        <f t="shared" si="8"/>
        <v>800.51975540965282</v>
      </c>
      <c r="J11" s="131">
        <f t="shared" si="8"/>
        <v>581.874080459482</v>
      </c>
      <c r="K11" s="131">
        <f t="shared" si="8"/>
        <v>316.35144001242463</v>
      </c>
      <c r="L11" s="131">
        <f t="shared" si="8"/>
        <v>0</v>
      </c>
      <c r="M11" s="131">
        <f t="shared" si="8"/>
        <v>-371.13208132376229</v>
      </c>
      <c r="N11" s="131">
        <f t="shared" si="8"/>
        <v>-800.99665345433948</v>
      </c>
      <c r="O11" s="131">
        <f t="shared" si="8"/>
        <v>-1287.6944551328256</v>
      </c>
      <c r="P11" s="131">
        <f t="shared" si="8"/>
        <v>-1797.1731165675938</v>
      </c>
      <c r="Q11" s="131">
        <f t="shared" si="8"/>
        <v>-2310.2666055929139</v>
      </c>
      <c r="R11" s="22" t="s">
        <v>793</v>
      </c>
    </row>
    <row r="12" spans="2:18" ht="14.45">
      <c r="B12" s="104" t="s">
        <v>89</v>
      </c>
      <c r="C12" s="132"/>
      <c r="D12" s="131">
        <f t="shared" ref="D12:Q12" si="9">Without_69_72_with_xx_amenity_value+Without_69_72_with_xx_AMI_value+Without_69_72_with_xx_dementia_value+Without_69_72_with_xx_stroke_value+Without_69_72_with_xx_sleep_disturbance_value</f>
        <v>1613.4247839608811</v>
      </c>
      <c r="E12" s="131">
        <f t="shared" si="9"/>
        <v>1598.4491037985608</v>
      </c>
      <c r="F12" s="131">
        <f t="shared" si="9"/>
        <v>1552.1415219821656</v>
      </c>
      <c r="G12" s="131">
        <f t="shared" si="9"/>
        <v>1486.4141781020403</v>
      </c>
      <c r="H12" s="131">
        <f t="shared" si="9"/>
        <v>1346.8482069916518</v>
      </c>
      <c r="I12" s="131">
        <f t="shared" si="9"/>
        <v>1171.6518367334152</v>
      </c>
      <c r="J12" s="131">
        <f t="shared" si="9"/>
        <v>953.00616178324412</v>
      </c>
      <c r="K12" s="131">
        <f t="shared" si="9"/>
        <v>687.48352133618687</v>
      </c>
      <c r="L12" s="131">
        <f t="shared" si="9"/>
        <v>371.13208132376229</v>
      </c>
      <c r="M12" s="131">
        <f t="shared" si="9"/>
        <v>0</v>
      </c>
      <c r="N12" s="131">
        <f t="shared" si="9"/>
        <v>-429.86457213057724</v>
      </c>
      <c r="O12" s="131">
        <f t="shared" si="9"/>
        <v>-916.56237380906339</v>
      </c>
      <c r="P12" s="131">
        <f t="shared" si="9"/>
        <v>-1426.0410352438316</v>
      </c>
      <c r="Q12" s="131">
        <f t="shared" si="9"/>
        <v>-1939.1345242691511</v>
      </c>
      <c r="R12" s="22" t="s">
        <v>794</v>
      </c>
    </row>
    <row r="13" spans="2:18" ht="14.45">
      <c r="B13" s="104" t="s">
        <v>90</v>
      </c>
      <c r="C13" s="132"/>
      <c r="D13" s="131">
        <f t="shared" ref="D13:Q13" si="10">Without_72_75_with_xx_amenity_value+Without_72_75_with_xx_AMI_value+Without_72_75_with_xx_dementia_value+Without_72_75_with_xx_stroke_value+Without_72_75_with_xx_sleep_disturbance_value</f>
        <v>2043.2893560914586</v>
      </c>
      <c r="E13" s="131">
        <f t="shared" si="10"/>
        <v>2028.3136759291383</v>
      </c>
      <c r="F13" s="131">
        <f t="shared" si="10"/>
        <v>1982.0060941127429</v>
      </c>
      <c r="G13" s="131">
        <f t="shared" si="10"/>
        <v>1916.2787502326173</v>
      </c>
      <c r="H13" s="131">
        <f t="shared" si="10"/>
        <v>1776.7127791222288</v>
      </c>
      <c r="I13" s="131">
        <f t="shared" si="10"/>
        <v>1601.5164088639922</v>
      </c>
      <c r="J13" s="131">
        <f t="shared" si="10"/>
        <v>1382.8707339138214</v>
      </c>
      <c r="K13" s="131">
        <f t="shared" si="10"/>
        <v>1117.3480934667641</v>
      </c>
      <c r="L13" s="131">
        <f t="shared" si="10"/>
        <v>800.99665345433948</v>
      </c>
      <c r="M13" s="131">
        <f t="shared" si="10"/>
        <v>429.86457213057724</v>
      </c>
      <c r="N13" s="131">
        <f t="shared" si="10"/>
        <v>0</v>
      </c>
      <c r="O13" s="131">
        <f t="shared" si="10"/>
        <v>-486.69780167848626</v>
      </c>
      <c r="P13" s="131">
        <f t="shared" si="10"/>
        <v>-996.17646311325439</v>
      </c>
      <c r="Q13" s="131">
        <f t="shared" si="10"/>
        <v>-1509.2699521385739</v>
      </c>
      <c r="R13" s="22" t="s">
        <v>795</v>
      </c>
    </row>
    <row r="14" spans="2:18" ht="14.45">
      <c r="B14" s="104" t="s">
        <v>91</v>
      </c>
      <c r="C14" s="132"/>
      <c r="D14" s="131">
        <f t="shared" ref="D14:Q14" si="11">Without_75_78_with_xx_amenity_value+Without_75_78_with_xx_AMI_value+Without_75_78_with_xx_dementia_value+Without_75_78_with_xx_stroke_value+Without_75_78_with_xx_sleep_disturbance_value</f>
        <v>2529.987157769945</v>
      </c>
      <c r="E14" s="131">
        <f t="shared" si="11"/>
        <v>2515.0114776076243</v>
      </c>
      <c r="F14" s="131">
        <f t="shared" si="11"/>
        <v>2468.7038957912291</v>
      </c>
      <c r="G14" s="131">
        <f t="shared" si="11"/>
        <v>2402.9765519111033</v>
      </c>
      <c r="H14" s="131">
        <f t="shared" si="11"/>
        <v>2263.4105808007153</v>
      </c>
      <c r="I14" s="131">
        <f t="shared" si="11"/>
        <v>2088.2142105424787</v>
      </c>
      <c r="J14" s="131">
        <f t="shared" si="11"/>
        <v>1869.5685355923079</v>
      </c>
      <c r="K14" s="131">
        <f t="shared" si="11"/>
        <v>1604.0458951452501</v>
      </c>
      <c r="L14" s="131">
        <f t="shared" si="11"/>
        <v>1287.6944551328256</v>
      </c>
      <c r="M14" s="131">
        <f t="shared" si="11"/>
        <v>916.56237380906339</v>
      </c>
      <c r="N14" s="131">
        <f t="shared" si="11"/>
        <v>486.69780167848626</v>
      </c>
      <c r="O14" s="131">
        <f t="shared" si="11"/>
        <v>0</v>
      </c>
      <c r="P14" s="131">
        <f t="shared" si="11"/>
        <v>-509.47866143476813</v>
      </c>
      <c r="Q14" s="131">
        <f t="shared" si="11"/>
        <v>-1022.5721504600876</v>
      </c>
      <c r="R14" s="22" t="s">
        <v>796</v>
      </c>
    </row>
    <row r="15" spans="2:18" ht="14.45">
      <c r="B15" s="104" t="s">
        <v>92</v>
      </c>
      <c r="C15" s="132"/>
      <c r="D15" s="131">
        <f t="shared" ref="D15:Q15" si="12">Without_78_81_with_xx_amenity_value+Without_78_81_with_xx_AMI_value+Without_78_81_with_xx_dementia_value+Without_78_81_with_xx_stroke_value+Without_78_81_with_xx_sleep_disturbance_value</f>
        <v>3039.4658192047127</v>
      </c>
      <c r="E15" s="131">
        <f t="shared" si="12"/>
        <v>3024.4901390423925</v>
      </c>
      <c r="F15" s="131">
        <f t="shared" si="12"/>
        <v>2978.1825572259972</v>
      </c>
      <c r="G15" s="131">
        <f t="shared" si="12"/>
        <v>2912.4552133458719</v>
      </c>
      <c r="H15" s="131">
        <f t="shared" si="12"/>
        <v>2772.8892422354834</v>
      </c>
      <c r="I15" s="131">
        <f t="shared" si="12"/>
        <v>2597.6928719772468</v>
      </c>
      <c r="J15" s="131">
        <f t="shared" si="12"/>
        <v>2379.047197027076</v>
      </c>
      <c r="K15" s="131">
        <f t="shared" si="12"/>
        <v>2113.5245565800183</v>
      </c>
      <c r="L15" s="131">
        <f t="shared" si="12"/>
        <v>1797.1731165675938</v>
      </c>
      <c r="M15" s="131">
        <f t="shared" si="12"/>
        <v>1426.0410352438316</v>
      </c>
      <c r="N15" s="131">
        <f t="shared" si="12"/>
        <v>996.17646311325439</v>
      </c>
      <c r="O15" s="131">
        <f t="shared" si="12"/>
        <v>509.47866143476813</v>
      </c>
      <c r="P15" s="131">
        <f t="shared" si="12"/>
        <v>0</v>
      </c>
      <c r="Q15" s="131">
        <f t="shared" si="12"/>
        <v>-513.0934890253194</v>
      </c>
      <c r="R15" s="22" t="s">
        <v>797</v>
      </c>
    </row>
    <row r="16" spans="2:18" ht="14.45">
      <c r="B16" s="104" t="s">
        <v>93</v>
      </c>
      <c r="C16" s="133"/>
      <c r="D16" s="131">
        <f t="shared" ref="D16:Q16" si="13">Without_81_with_xx_amenity_value+Without_81_with_xx_AMI_value+Without_81_with_xx_dementia_value+Without_81_with_xx_stroke_value+Without_81_with_xx_sleep_disturbance_value</f>
        <v>3552.559308230032</v>
      </c>
      <c r="E16" s="131">
        <f t="shared" si="13"/>
        <v>3537.5836280677117</v>
      </c>
      <c r="F16" s="131">
        <f t="shared" si="13"/>
        <v>3491.2760462513165</v>
      </c>
      <c r="G16" s="131">
        <f t="shared" si="13"/>
        <v>3425.5487023711912</v>
      </c>
      <c r="H16" s="131">
        <f t="shared" si="13"/>
        <v>3285.9827312608022</v>
      </c>
      <c r="I16" s="131">
        <f t="shared" si="13"/>
        <v>3110.7863610025661</v>
      </c>
      <c r="J16" s="131">
        <f t="shared" si="13"/>
        <v>2892.1406860523953</v>
      </c>
      <c r="K16" s="131">
        <f t="shared" si="13"/>
        <v>2626.618045605338</v>
      </c>
      <c r="L16" s="131">
        <f t="shared" si="13"/>
        <v>2310.2666055929139</v>
      </c>
      <c r="M16" s="131">
        <f t="shared" si="13"/>
        <v>1939.1345242691511</v>
      </c>
      <c r="N16" s="131">
        <f t="shared" si="13"/>
        <v>1509.2699521385739</v>
      </c>
      <c r="O16" s="131">
        <f t="shared" si="13"/>
        <v>1022.5721504600876</v>
      </c>
      <c r="P16" s="131">
        <f t="shared" si="13"/>
        <v>513.0934890253194</v>
      </c>
      <c r="Q16" s="131">
        <f t="shared" si="13"/>
        <v>0</v>
      </c>
      <c r="R16" s="22" t="s">
        <v>798</v>
      </c>
    </row>
    <row r="18" spans="2:18" ht="29.1">
      <c r="B18" s="122"/>
      <c r="C18" s="60" t="s">
        <v>79</v>
      </c>
      <c r="D18" s="61" t="s">
        <v>80</v>
      </c>
      <c r="E18" s="104" t="s">
        <v>81</v>
      </c>
      <c r="F18" s="104" t="s">
        <v>82</v>
      </c>
      <c r="G18" s="104" t="s">
        <v>83</v>
      </c>
      <c r="H18" s="104" t="s">
        <v>84</v>
      </c>
      <c r="I18" s="104" t="s">
        <v>85</v>
      </c>
      <c r="J18" s="104" t="s">
        <v>86</v>
      </c>
      <c r="K18" s="104" t="s">
        <v>87</v>
      </c>
      <c r="L18" s="104" t="s">
        <v>88</v>
      </c>
      <c r="M18" s="104" t="s">
        <v>89</v>
      </c>
      <c r="N18" s="104" t="s">
        <v>90</v>
      </c>
      <c r="O18" s="104" t="s">
        <v>91</v>
      </c>
      <c r="P18" s="104" t="s">
        <v>92</v>
      </c>
      <c r="Q18" s="104" t="s">
        <v>93</v>
      </c>
      <c r="R18" s="97"/>
    </row>
    <row r="19" spans="2:18" ht="29.1">
      <c r="B19" s="60" t="s">
        <v>94</v>
      </c>
      <c r="C19" s="130"/>
      <c r="D19" s="135"/>
      <c r="E19" s="129"/>
      <c r="F19" s="129"/>
      <c r="G19" s="129"/>
      <c r="H19" s="129"/>
      <c r="I19" s="129"/>
      <c r="J19" s="129"/>
      <c r="K19" s="129"/>
      <c r="L19" s="129"/>
      <c r="M19" s="129"/>
      <c r="N19" s="129"/>
      <c r="O19" s="129"/>
      <c r="P19" s="129"/>
      <c r="Q19" s="130"/>
      <c r="R19" s="97"/>
    </row>
    <row r="20" spans="2:18" ht="14.45">
      <c r="B20" s="61" t="s">
        <v>80</v>
      </c>
      <c r="C20" s="136"/>
      <c r="D20" s="131">
        <f t="shared" ref="D20:Q20" si="14">Opening_without_45_with_xx*Without_45_with_xx_composite_value</f>
        <v>0</v>
      </c>
      <c r="E20" s="131">
        <f t="shared" si="14"/>
        <v>0</v>
      </c>
      <c r="F20" s="131">
        <f t="shared" si="14"/>
        <v>0</v>
      </c>
      <c r="G20" s="131">
        <f t="shared" si="14"/>
        <v>0</v>
      </c>
      <c r="H20" s="131">
        <f t="shared" si="14"/>
        <v>0</v>
      </c>
      <c r="I20" s="131">
        <f t="shared" si="14"/>
        <v>0</v>
      </c>
      <c r="J20" s="131">
        <f t="shared" si="14"/>
        <v>0</v>
      </c>
      <c r="K20" s="131">
        <f t="shared" si="14"/>
        <v>0</v>
      </c>
      <c r="L20" s="131">
        <f t="shared" si="14"/>
        <v>0</v>
      </c>
      <c r="M20" s="131">
        <f t="shared" si="14"/>
        <v>0</v>
      </c>
      <c r="N20" s="131">
        <f t="shared" si="14"/>
        <v>0</v>
      </c>
      <c r="O20" s="131">
        <f t="shared" si="14"/>
        <v>0</v>
      </c>
      <c r="P20" s="131">
        <f t="shared" si="14"/>
        <v>0</v>
      </c>
      <c r="Q20" s="131">
        <f t="shared" si="14"/>
        <v>0</v>
      </c>
      <c r="R20" s="22" t="s">
        <v>799</v>
      </c>
    </row>
    <row r="21" spans="2:18" ht="14.45">
      <c r="B21" s="104" t="s">
        <v>81</v>
      </c>
      <c r="C21" s="138"/>
      <c r="D21" s="131">
        <f t="shared" ref="D21:Q21" si="15">Opening_without_45_48_with_xx*Without_45_48_with_xx_composite_value</f>
        <v>0</v>
      </c>
      <c r="E21" s="131">
        <f t="shared" si="15"/>
        <v>0</v>
      </c>
      <c r="F21" s="131">
        <f t="shared" si="15"/>
        <v>0</v>
      </c>
      <c r="G21" s="131">
        <f t="shared" si="15"/>
        <v>0</v>
      </c>
      <c r="H21" s="131">
        <f t="shared" si="15"/>
        <v>0</v>
      </c>
      <c r="I21" s="131">
        <f t="shared" si="15"/>
        <v>0</v>
      </c>
      <c r="J21" s="131">
        <f t="shared" si="15"/>
        <v>0</v>
      </c>
      <c r="K21" s="131">
        <f t="shared" si="15"/>
        <v>0</v>
      </c>
      <c r="L21" s="131">
        <f t="shared" si="15"/>
        <v>0</v>
      </c>
      <c r="M21" s="131">
        <f t="shared" si="15"/>
        <v>0</v>
      </c>
      <c r="N21" s="131">
        <f t="shared" si="15"/>
        <v>0</v>
      </c>
      <c r="O21" s="131">
        <f t="shared" si="15"/>
        <v>0</v>
      </c>
      <c r="P21" s="131">
        <f t="shared" si="15"/>
        <v>0</v>
      </c>
      <c r="Q21" s="131">
        <f t="shared" si="15"/>
        <v>0</v>
      </c>
      <c r="R21" s="22" t="s">
        <v>800</v>
      </c>
    </row>
    <row r="22" spans="2:18" ht="14.45">
      <c r="B22" s="104" t="s">
        <v>82</v>
      </c>
      <c r="C22" s="138"/>
      <c r="D22" s="131">
        <f t="shared" ref="D22:Q22" si="16">Opening_without_48_51_with_xx*Without_48_51_with_xx_composite_value</f>
        <v>0</v>
      </c>
      <c r="E22" s="131">
        <f t="shared" si="16"/>
        <v>0</v>
      </c>
      <c r="F22" s="131">
        <f t="shared" si="16"/>
        <v>0</v>
      </c>
      <c r="G22" s="131">
        <f t="shared" si="16"/>
        <v>0</v>
      </c>
      <c r="H22" s="131">
        <f t="shared" si="16"/>
        <v>0</v>
      </c>
      <c r="I22" s="131">
        <f t="shared" si="16"/>
        <v>0</v>
      </c>
      <c r="J22" s="131">
        <f t="shared" si="16"/>
        <v>0</v>
      </c>
      <c r="K22" s="131">
        <f t="shared" si="16"/>
        <v>0</v>
      </c>
      <c r="L22" s="131">
        <f t="shared" si="16"/>
        <v>0</v>
      </c>
      <c r="M22" s="131">
        <f t="shared" si="16"/>
        <v>0</v>
      </c>
      <c r="N22" s="131">
        <f t="shared" si="16"/>
        <v>0</v>
      </c>
      <c r="O22" s="131">
        <f t="shared" si="16"/>
        <v>0</v>
      </c>
      <c r="P22" s="131">
        <f t="shared" si="16"/>
        <v>0</v>
      </c>
      <c r="Q22" s="131">
        <f t="shared" si="16"/>
        <v>0</v>
      </c>
      <c r="R22" s="22" t="s">
        <v>801</v>
      </c>
    </row>
    <row r="23" spans="2:18" ht="14.45">
      <c r="B23" s="104" t="s">
        <v>83</v>
      </c>
      <c r="C23" s="138"/>
      <c r="D23" s="131">
        <f t="shared" ref="D23:Q23" si="17">Opening_without_51_54_with_xx*Without_51_54_with_xx_composite_value</f>
        <v>0</v>
      </c>
      <c r="E23" s="131">
        <f t="shared" si="17"/>
        <v>0</v>
      </c>
      <c r="F23" s="131">
        <f t="shared" si="17"/>
        <v>0</v>
      </c>
      <c r="G23" s="131">
        <f t="shared" si="17"/>
        <v>0</v>
      </c>
      <c r="H23" s="131">
        <f t="shared" si="17"/>
        <v>0</v>
      </c>
      <c r="I23" s="131">
        <f t="shared" si="17"/>
        <v>0</v>
      </c>
      <c r="J23" s="131">
        <f t="shared" si="17"/>
        <v>0</v>
      </c>
      <c r="K23" s="131">
        <f t="shared" si="17"/>
        <v>0</v>
      </c>
      <c r="L23" s="131">
        <f t="shared" si="17"/>
        <v>0</v>
      </c>
      <c r="M23" s="131">
        <f t="shared" si="17"/>
        <v>0</v>
      </c>
      <c r="N23" s="131">
        <f t="shared" si="17"/>
        <v>0</v>
      </c>
      <c r="O23" s="131">
        <f t="shared" si="17"/>
        <v>0</v>
      </c>
      <c r="P23" s="131">
        <f t="shared" si="17"/>
        <v>0</v>
      </c>
      <c r="Q23" s="131">
        <f t="shared" si="17"/>
        <v>0</v>
      </c>
      <c r="R23" s="22" t="s">
        <v>802</v>
      </c>
    </row>
    <row r="24" spans="2:18" ht="14.45">
      <c r="B24" s="104" t="s">
        <v>84</v>
      </c>
      <c r="C24" s="138"/>
      <c r="D24" s="131">
        <f t="shared" ref="D24:Q24" si="18">Opening_without_54_57_with_xx*Without_54_57_with_xx_composite_value</f>
        <v>0</v>
      </c>
      <c r="E24" s="131">
        <f t="shared" si="18"/>
        <v>0</v>
      </c>
      <c r="F24" s="131">
        <f t="shared" si="18"/>
        <v>0</v>
      </c>
      <c r="G24" s="131">
        <f t="shared" si="18"/>
        <v>0</v>
      </c>
      <c r="H24" s="131">
        <f t="shared" si="18"/>
        <v>0</v>
      </c>
      <c r="I24" s="131">
        <f t="shared" si="18"/>
        <v>0</v>
      </c>
      <c r="J24" s="131">
        <f t="shared" si="18"/>
        <v>0</v>
      </c>
      <c r="K24" s="131">
        <f t="shared" si="18"/>
        <v>0</v>
      </c>
      <c r="L24" s="131">
        <f t="shared" si="18"/>
        <v>0</v>
      </c>
      <c r="M24" s="131">
        <f t="shared" si="18"/>
        <v>0</v>
      </c>
      <c r="N24" s="131">
        <f t="shared" si="18"/>
        <v>0</v>
      </c>
      <c r="O24" s="131">
        <f t="shared" si="18"/>
        <v>0</v>
      </c>
      <c r="P24" s="131">
        <f t="shared" si="18"/>
        <v>0</v>
      </c>
      <c r="Q24" s="131">
        <f t="shared" si="18"/>
        <v>0</v>
      </c>
      <c r="R24" s="22" t="s">
        <v>803</v>
      </c>
    </row>
    <row r="25" spans="2:18" ht="14.45">
      <c r="B25" s="104" t="s">
        <v>85</v>
      </c>
      <c r="C25" s="138"/>
      <c r="D25" s="131">
        <f t="shared" ref="D25:Q25" si="19">Opening_without_57_60_with_xx*Without_57_60_with_xx_composite_value</f>
        <v>0</v>
      </c>
      <c r="E25" s="131">
        <f t="shared" si="19"/>
        <v>0</v>
      </c>
      <c r="F25" s="131">
        <f t="shared" si="19"/>
        <v>0</v>
      </c>
      <c r="G25" s="131">
        <f t="shared" si="19"/>
        <v>0</v>
      </c>
      <c r="H25" s="131">
        <f t="shared" si="19"/>
        <v>0</v>
      </c>
      <c r="I25" s="131">
        <f t="shared" si="19"/>
        <v>0</v>
      </c>
      <c r="J25" s="131">
        <f t="shared" si="19"/>
        <v>0</v>
      </c>
      <c r="K25" s="131">
        <f t="shared" si="19"/>
        <v>0</v>
      </c>
      <c r="L25" s="131">
        <f t="shared" si="19"/>
        <v>0</v>
      </c>
      <c r="M25" s="131">
        <f t="shared" si="19"/>
        <v>0</v>
      </c>
      <c r="N25" s="131">
        <f t="shared" si="19"/>
        <v>0</v>
      </c>
      <c r="O25" s="131">
        <f t="shared" si="19"/>
        <v>0</v>
      </c>
      <c r="P25" s="131">
        <f t="shared" si="19"/>
        <v>0</v>
      </c>
      <c r="Q25" s="131">
        <f t="shared" si="19"/>
        <v>0</v>
      </c>
      <c r="R25" s="22" t="s">
        <v>804</v>
      </c>
    </row>
    <row r="26" spans="2:18" ht="14.45">
      <c r="B26" s="104" t="s">
        <v>86</v>
      </c>
      <c r="C26" s="138"/>
      <c r="D26" s="131">
        <f t="shared" ref="D26:Q26" si="20">Opening_without_60_63_with_xx*Without_60_63_with_xx_composite_value</f>
        <v>0</v>
      </c>
      <c r="E26" s="131">
        <f t="shared" si="20"/>
        <v>0</v>
      </c>
      <c r="F26" s="131">
        <f t="shared" si="20"/>
        <v>0</v>
      </c>
      <c r="G26" s="131">
        <f t="shared" si="20"/>
        <v>0</v>
      </c>
      <c r="H26" s="131">
        <f t="shared" si="20"/>
        <v>0</v>
      </c>
      <c r="I26" s="131">
        <f t="shared" si="20"/>
        <v>0</v>
      </c>
      <c r="J26" s="131">
        <f t="shared" si="20"/>
        <v>0</v>
      </c>
      <c r="K26" s="131">
        <f t="shared" si="20"/>
        <v>0</v>
      </c>
      <c r="L26" s="131">
        <f t="shared" si="20"/>
        <v>0</v>
      </c>
      <c r="M26" s="131">
        <f t="shared" si="20"/>
        <v>0</v>
      </c>
      <c r="N26" s="131">
        <f t="shared" si="20"/>
        <v>0</v>
      </c>
      <c r="O26" s="131">
        <f t="shared" si="20"/>
        <v>0</v>
      </c>
      <c r="P26" s="131">
        <f t="shared" si="20"/>
        <v>0</v>
      </c>
      <c r="Q26" s="131">
        <f t="shared" si="20"/>
        <v>0</v>
      </c>
      <c r="R26" s="22" t="s">
        <v>805</v>
      </c>
    </row>
    <row r="27" spans="2:18" ht="14.45">
      <c r="B27" s="104" t="s">
        <v>87</v>
      </c>
      <c r="C27" s="138"/>
      <c r="D27" s="131">
        <f t="shared" ref="D27:Q27" si="21">Opening_without_63_66_with_xx*Without_63_66_with_xx_composite_value</f>
        <v>0</v>
      </c>
      <c r="E27" s="131">
        <f t="shared" si="21"/>
        <v>0</v>
      </c>
      <c r="F27" s="131">
        <f t="shared" si="21"/>
        <v>0</v>
      </c>
      <c r="G27" s="131">
        <f t="shared" si="21"/>
        <v>0</v>
      </c>
      <c r="H27" s="131">
        <f t="shared" si="21"/>
        <v>0</v>
      </c>
      <c r="I27" s="131">
        <f t="shared" si="21"/>
        <v>0</v>
      </c>
      <c r="J27" s="131">
        <f t="shared" si="21"/>
        <v>0</v>
      </c>
      <c r="K27" s="131">
        <f t="shared" si="21"/>
        <v>0</v>
      </c>
      <c r="L27" s="131">
        <f t="shared" si="21"/>
        <v>0</v>
      </c>
      <c r="M27" s="131">
        <f t="shared" si="21"/>
        <v>0</v>
      </c>
      <c r="N27" s="131">
        <f t="shared" si="21"/>
        <v>0</v>
      </c>
      <c r="O27" s="131">
        <f t="shared" si="21"/>
        <v>0</v>
      </c>
      <c r="P27" s="131">
        <f t="shared" si="21"/>
        <v>0</v>
      </c>
      <c r="Q27" s="131">
        <f t="shared" si="21"/>
        <v>0</v>
      </c>
      <c r="R27" s="22" t="s">
        <v>806</v>
      </c>
    </row>
    <row r="28" spans="2:18" ht="14.45">
      <c r="B28" s="104" t="s">
        <v>88</v>
      </c>
      <c r="C28" s="138"/>
      <c r="D28" s="131">
        <f t="shared" ref="D28:Q28" si="22">Opening_without_66_69_with_xx*Without_66_69_with_xx_composite_value</f>
        <v>0</v>
      </c>
      <c r="E28" s="131">
        <f t="shared" si="22"/>
        <v>0</v>
      </c>
      <c r="F28" s="131">
        <f t="shared" si="22"/>
        <v>0</v>
      </c>
      <c r="G28" s="131">
        <f t="shared" si="22"/>
        <v>0</v>
      </c>
      <c r="H28" s="131">
        <f t="shared" si="22"/>
        <v>0</v>
      </c>
      <c r="I28" s="131">
        <f t="shared" si="22"/>
        <v>0</v>
      </c>
      <c r="J28" s="131">
        <f t="shared" si="22"/>
        <v>0</v>
      </c>
      <c r="K28" s="131">
        <f t="shared" si="22"/>
        <v>0</v>
      </c>
      <c r="L28" s="131">
        <f t="shared" si="22"/>
        <v>0</v>
      </c>
      <c r="M28" s="131">
        <f t="shared" si="22"/>
        <v>0</v>
      </c>
      <c r="N28" s="131">
        <f t="shared" si="22"/>
        <v>0</v>
      </c>
      <c r="O28" s="131">
        <f t="shared" si="22"/>
        <v>0</v>
      </c>
      <c r="P28" s="131">
        <f t="shared" si="22"/>
        <v>0</v>
      </c>
      <c r="Q28" s="131">
        <f t="shared" si="22"/>
        <v>0</v>
      </c>
      <c r="R28" s="22" t="s">
        <v>807</v>
      </c>
    </row>
    <row r="29" spans="2:18" ht="14.45">
      <c r="B29" s="104" t="s">
        <v>89</v>
      </c>
      <c r="C29" s="138"/>
      <c r="D29" s="131">
        <f t="shared" ref="D29:Q29" si="23">Opening_without_69_72_with_xx*Without_69_72_with_xx_composite_value</f>
        <v>0</v>
      </c>
      <c r="E29" s="131">
        <f t="shared" si="23"/>
        <v>0</v>
      </c>
      <c r="F29" s="131">
        <f t="shared" si="23"/>
        <v>0</v>
      </c>
      <c r="G29" s="131">
        <f t="shared" si="23"/>
        <v>0</v>
      </c>
      <c r="H29" s="131">
        <f t="shared" si="23"/>
        <v>0</v>
      </c>
      <c r="I29" s="131">
        <f t="shared" si="23"/>
        <v>0</v>
      </c>
      <c r="J29" s="131">
        <f t="shared" si="23"/>
        <v>0</v>
      </c>
      <c r="K29" s="131">
        <f t="shared" si="23"/>
        <v>0</v>
      </c>
      <c r="L29" s="131">
        <f t="shared" si="23"/>
        <v>0</v>
      </c>
      <c r="M29" s="131">
        <f t="shared" si="23"/>
        <v>0</v>
      </c>
      <c r="N29" s="131">
        <f t="shared" si="23"/>
        <v>0</v>
      </c>
      <c r="O29" s="131">
        <f t="shared" si="23"/>
        <v>0</v>
      </c>
      <c r="P29" s="131">
        <f t="shared" si="23"/>
        <v>0</v>
      </c>
      <c r="Q29" s="131">
        <f t="shared" si="23"/>
        <v>0</v>
      </c>
      <c r="R29" s="22" t="s">
        <v>808</v>
      </c>
    </row>
    <row r="30" spans="2:18" ht="14.45">
      <c r="B30" s="104" t="s">
        <v>90</v>
      </c>
      <c r="C30" s="138"/>
      <c r="D30" s="131">
        <f t="shared" ref="D30:Q30" si="24">Opening_without_72_75_with_xx*Without_72_75_with_xx_composite_value</f>
        <v>0</v>
      </c>
      <c r="E30" s="131">
        <f t="shared" si="24"/>
        <v>0</v>
      </c>
      <c r="F30" s="131">
        <f t="shared" si="24"/>
        <v>0</v>
      </c>
      <c r="G30" s="131">
        <f t="shared" si="24"/>
        <v>0</v>
      </c>
      <c r="H30" s="131">
        <f t="shared" si="24"/>
        <v>0</v>
      </c>
      <c r="I30" s="131">
        <f t="shared" si="24"/>
        <v>0</v>
      </c>
      <c r="J30" s="131">
        <f t="shared" si="24"/>
        <v>0</v>
      </c>
      <c r="K30" s="131">
        <f t="shared" si="24"/>
        <v>0</v>
      </c>
      <c r="L30" s="131">
        <f t="shared" si="24"/>
        <v>0</v>
      </c>
      <c r="M30" s="131">
        <f t="shared" si="24"/>
        <v>0</v>
      </c>
      <c r="N30" s="131">
        <f t="shared" si="24"/>
        <v>0</v>
      </c>
      <c r="O30" s="131">
        <f t="shared" si="24"/>
        <v>0</v>
      </c>
      <c r="P30" s="131">
        <f t="shared" si="24"/>
        <v>0</v>
      </c>
      <c r="Q30" s="131">
        <f t="shared" si="24"/>
        <v>0</v>
      </c>
      <c r="R30" s="22" t="s">
        <v>809</v>
      </c>
    </row>
    <row r="31" spans="2:18" ht="14.45">
      <c r="B31" s="104" t="s">
        <v>91</v>
      </c>
      <c r="C31" s="138"/>
      <c r="D31" s="131">
        <f t="shared" ref="D31:Q31" si="25">Opening_without_75_78_with_xx*Without_75_78_with_xx_composite_value</f>
        <v>0</v>
      </c>
      <c r="E31" s="131">
        <f t="shared" si="25"/>
        <v>0</v>
      </c>
      <c r="F31" s="131">
        <f t="shared" si="25"/>
        <v>0</v>
      </c>
      <c r="G31" s="131">
        <f t="shared" si="25"/>
        <v>0</v>
      </c>
      <c r="H31" s="131">
        <f t="shared" si="25"/>
        <v>0</v>
      </c>
      <c r="I31" s="131">
        <f t="shared" si="25"/>
        <v>0</v>
      </c>
      <c r="J31" s="131">
        <f t="shared" si="25"/>
        <v>0</v>
      </c>
      <c r="K31" s="131">
        <f t="shared" si="25"/>
        <v>0</v>
      </c>
      <c r="L31" s="131">
        <f t="shared" si="25"/>
        <v>0</v>
      </c>
      <c r="M31" s="131">
        <f t="shared" si="25"/>
        <v>0</v>
      </c>
      <c r="N31" s="131">
        <f t="shared" si="25"/>
        <v>0</v>
      </c>
      <c r="O31" s="131">
        <f t="shared" si="25"/>
        <v>0</v>
      </c>
      <c r="P31" s="131">
        <f t="shared" si="25"/>
        <v>0</v>
      </c>
      <c r="Q31" s="131">
        <f t="shared" si="25"/>
        <v>0</v>
      </c>
      <c r="R31" s="22" t="s">
        <v>810</v>
      </c>
    </row>
    <row r="32" spans="2:18" ht="14.45">
      <c r="B32" s="104" t="s">
        <v>92</v>
      </c>
      <c r="C32" s="138"/>
      <c r="D32" s="131">
        <f t="shared" ref="D32:Q32" si="26">Opening_without_78_81_with_xx*Without_78_81_with_xx_composite_value</f>
        <v>0</v>
      </c>
      <c r="E32" s="131">
        <f t="shared" si="26"/>
        <v>0</v>
      </c>
      <c r="F32" s="131">
        <f t="shared" si="26"/>
        <v>0</v>
      </c>
      <c r="G32" s="131">
        <f t="shared" si="26"/>
        <v>0</v>
      </c>
      <c r="H32" s="131">
        <f t="shared" si="26"/>
        <v>0</v>
      </c>
      <c r="I32" s="131">
        <f t="shared" si="26"/>
        <v>0</v>
      </c>
      <c r="J32" s="131">
        <f t="shared" si="26"/>
        <v>0</v>
      </c>
      <c r="K32" s="131">
        <f t="shared" si="26"/>
        <v>0</v>
      </c>
      <c r="L32" s="131">
        <f t="shared" si="26"/>
        <v>0</v>
      </c>
      <c r="M32" s="131">
        <f t="shared" si="26"/>
        <v>0</v>
      </c>
      <c r="N32" s="131">
        <f t="shared" si="26"/>
        <v>0</v>
      </c>
      <c r="O32" s="131">
        <f t="shared" si="26"/>
        <v>0</v>
      </c>
      <c r="P32" s="131">
        <f t="shared" si="26"/>
        <v>0</v>
      </c>
      <c r="Q32" s="131">
        <f t="shared" si="26"/>
        <v>0</v>
      </c>
      <c r="R32" s="22" t="s">
        <v>811</v>
      </c>
    </row>
    <row r="33" spans="2:18" ht="14.45">
      <c r="B33" s="104" t="s">
        <v>93</v>
      </c>
      <c r="C33" s="139"/>
      <c r="D33" s="131">
        <f t="shared" ref="D33:Q33" si="27">Opening_without_81_with_xx*Without_81_with_xx_composite_value</f>
        <v>0</v>
      </c>
      <c r="E33" s="131">
        <f t="shared" si="27"/>
        <v>0</v>
      </c>
      <c r="F33" s="131">
        <f t="shared" si="27"/>
        <v>0</v>
      </c>
      <c r="G33" s="131">
        <f t="shared" si="27"/>
        <v>0</v>
      </c>
      <c r="H33" s="131">
        <f t="shared" si="27"/>
        <v>0</v>
      </c>
      <c r="I33" s="131">
        <f t="shared" si="27"/>
        <v>0</v>
      </c>
      <c r="J33" s="131">
        <f t="shared" si="27"/>
        <v>0</v>
      </c>
      <c r="K33" s="131">
        <f t="shared" si="27"/>
        <v>0</v>
      </c>
      <c r="L33" s="131">
        <f t="shared" si="27"/>
        <v>0</v>
      </c>
      <c r="M33" s="131">
        <f t="shared" si="27"/>
        <v>0</v>
      </c>
      <c r="N33" s="131">
        <f t="shared" si="27"/>
        <v>0</v>
      </c>
      <c r="O33" s="131">
        <f t="shared" si="27"/>
        <v>0</v>
      </c>
      <c r="P33" s="131">
        <f t="shared" si="27"/>
        <v>0</v>
      </c>
      <c r="Q33" s="131">
        <f t="shared" si="27"/>
        <v>0</v>
      </c>
      <c r="R33" s="22" t="s">
        <v>812</v>
      </c>
    </row>
    <row r="34" spans="2:18" ht="14.45">
      <c r="B34" s="134"/>
      <c r="C34" s="134"/>
      <c r="D34" s="134"/>
      <c r="E34" s="134"/>
      <c r="F34" s="134"/>
      <c r="G34" s="134"/>
      <c r="H34" s="134"/>
      <c r="I34" s="134"/>
      <c r="J34" s="134"/>
      <c r="K34" s="134"/>
      <c r="L34" s="134"/>
      <c r="M34" s="134"/>
      <c r="N34" s="134"/>
      <c r="O34" s="97"/>
      <c r="P34" s="97"/>
      <c r="Q34" s="97"/>
      <c r="R34" s="97"/>
    </row>
    <row r="35" spans="2:18" ht="14.45">
      <c r="B35" s="142" t="s">
        <v>535</v>
      </c>
      <c r="C35" s="141">
        <f>SUM(Opening_without_45_with_xx_composite_cost,Opening_without_45_48_with_xx_composite_cost,Opening_without_48_51_with_xx_composite_cost,Opening_without_51_54_with_xx_composite_cost,Opening_without_54_57_with_xx_composite_cost,Opening_without_57_60_with_xx_composite_cost,Opening_without_60_63_with_xx_composite_cost,Opening_without_63_66_with_xx_composite_cost,Opening_without_66_69_with_xx_composite_cost,Opening_without_69_72_with_xx_composite_cost,Opening_without_72_75_with_xx_composite_cost,Opening_without_75_78_with_xx_composite_cost,Opening_without_78_81_with_xx_composite_cost,Opening_without_81_with_xx_composite_cost)</f>
        <v>0</v>
      </c>
      <c r="D35" s="24" t="s">
        <v>813</v>
      </c>
      <c r="E35" s="134"/>
      <c r="F35" s="134"/>
      <c r="G35" s="134"/>
      <c r="H35" s="134"/>
      <c r="I35" s="134"/>
      <c r="J35" s="134"/>
      <c r="K35" s="134"/>
      <c r="L35" s="134"/>
      <c r="M35" s="134"/>
      <c r="N35" s="134"/>
      <c r="O35" s="97"/>
      <c r="P35" s="97"/>
      <c r="Q35" s="97"/>
      <c r="R35" s="97"/>
    </row>
    <row r="36" spans="2:18" ht="14.45">
      <c r="B36" s="134"/>
      <c r="C36" s="134"/>
      <c r="D36" s="134"/>
      <c r="E36" s="134"/>
      <c r="F36" s="134"/>
      <c r="G36" s="134"/>
      <c r="H36" s="134"/>
      <c r="I36" s="134"/>
      <c r="J36" s="134"/>
      <c r="K36" s="134"/>
      <c r="L36" s="134"/>
      <c r="M36" s="134"/>
      <c r="N36" s="134"/>
      <c r="O36" s="97"/>
      <c r="P36" s="97"/>
      <c r="Q36" s="97"/>
      <c r="R36" s="97"/>
    </row>
    <row r="37" spans="2:18" ht="14.45">
      <c r="B37" s="134"/>
      <c r="C37" s="134"/>
      <c r="D37" s="134"/>
      <c r="E37" s="134"/>
      <c r="F37" s="134"/>
      <c r="G37" s="134"/>
      <c r="H37" s="134"/>
      <c r="I37" s="134"/>
      <c r="J37" s="134"/>
      <c r="K37" s="134"/>
      <c r="L37" s="134"/>
      <c r="M37" s="134"/>
      <c r="N37" s="134"/>
      <c r="O37" s="97"/>
      <c r="P37" s="97"/>
      <c r="Q37" s="97"/>
      <c r="R37" s="97"/>
    </row>
    <row r="38" spans="2:18" ht="29.1">
      <c r="B38" s="122"/>
      <c r="C38" s="60" t="s">
        <v>79</v>
      </c>
      <c r="D38" s="61" t="s">
        <v>80</v>
      </c>
      <c r="E38" s="104" t="s">
        <v>81</v>
      </c>
      <c r="F38" s="104" t="s">
        <v>82</v>
      </c>
      <c r="G38" s="104" t="s">
        <v>83</v>
      </c>
      <c r="H38" s="104" t="s">
        <v>84</v>
      </c>
      <c r="I38" s="104" t="s">
        <v>85</v>
      </c>
      <c r="J38" s="104" t="s">
        <v>86</v>
      </c>
      <c r="K38" s="104" t="s">
        <v>87</v>
      </c>
      <c r="L38" s="104" t="s">
        <v>88</v>
      </c>
      <c r="M38" s="104" t="s">
        <v>89</v>
      </c>
      <c r="N38" s="104" t="s">
        <v>90</v>
      </c>
      <c r="O38" s="104" t="s">
        <v>91</v>
      </c>
      <c r="P38" s="104" t="s">
        <v>92</v>
      </c>
      <c r="Q38" s="104" t="s">
        <v>93</v>
      </c>
      <c r="R38" s="97"/>
    </row>
    <row r="39" spans="2:18" ht="29.1">
      <c r="B39" s="60" t="s">
        <v>94</v>
      </c>
      <c r="C39" s="130"/>
      <c r="D39" s="135"/>
      <c r="E39" s="129"/>
      <c r="F39" s="129"/>
      <c r="G39" s="129"/>
      <c r="H39" s="129"/>
      <c r="I39" s="129"/>
      <c r="J39" s="129"/>
      <c r="K39" s="129"/>
      <c r="L39" s="129"/>
      <c r="M39" s="129"/>
      <c r="N39" s="129"/>
      <c r="O39" s="129"/>
      <c r="P39" s="129"/>
      <c r="Q39" s="130"/>
      <c r="R39" s="97"/>
    </row>
    <row r="40" spans="2:18" ht="14.45">
      <c r="B40" s="61" t="s">
        <v>80</v>
      </c>
      <c r="C40" s="136"/>
      <c r="D40" s="131">
        <f t="shared" ref="D40:Q40" si="28">Forecast_without_45_with_xx*Without_45_with_xx_composite_value</f>
        <v>0</v>
      </c>
      <c r="E40" s="131">
        <f t="shared" si="28"/>
        <v>0</v>
      </c>
      <c r="F40" s="131">
        <f t="shared" si="28"/>
        <v>0</v>
      </c>
      <c r="G40" s="131">
        <f t="shared" si="28"/>
        <v>0</v>
      </c>
      <c r="H40" s="131">
        <f t="shared" si="28"/>
        <v>0</v>
      </c>
      <c r="I40" s="131">
        <f t="shared" si="28"/>
        <v>0</v>
      </c>
      <c r="J40" s="131">
        <f t="shared" si="28"/>
        <v>0</v>
      </c>
      <c r="K40" s="131">
        <f t="shared" si="28"/>
        <v>0</v>
      </c>
      <c r="L40" s="131">
        <f t="shared" si="28"/>
        <v>0</v>
      </c>
      <c r="M40" s="131">
        <f t="shared" si="28"/>
        <v>0</v>
      </c>
      <c r="N40" s="131">
        <f t="shared" si="28"/>
        <v>0</v>
      </c>
      <c r="O40" s="131">
        <f t="shared" si="28"/>
        <v>0</v>
      </c>
      <c r="P40" s="131">
        <f t="shared" si="28"/>
        <v>0</v>
      </c>
      <c r="Q40" s="131">
        <f t="shared" si="28"/>
        <v>0</v>
      </c>
      <c r="R40" s="22" t="s">
        <v>814</v>
      </c>
    </row>
    <row r="41" spans="2:18" ht="14.45">
      <c r="B41" s="104" t="s">
        <v>81</v>
      </c>
      <c r="C41" s="138"/>
      <c r="D41" s="131">
        <f t="shared" ref="D41:Q41" si="29">Forecast_without_45_48_with_xx*Without_45_48_with_xx_composite_value</f>
        <v>0</v>
      </c>
      <c r="E41" s="131">
        <f t="shared" si="29"/>
        <v>0</v>
      </c>
      <c r="F41" s="131">
        <f t="shared" si="29"/>
        <v>0</v>
      </c>
      <c r="G41" s="131">
        <f t="shared" si="29"/>
        <v>0</v>
      </c>
      <c r="H41" s="131">
        <f t="shared" si="29"/>
        <v>0</v>
      </c>
      <c r="I41" s="131">
        <f t="shared" si="29"/>
        <v>0</v>
      </c>
      <c r="J41" s="131">
        <f t="shared" si="29"/>
        <v>0</v>
      </c>
      <c r="K41" s="131">
        <f t="shared" si="29"/>
        <v>0</v>
      </c>
      <c r="L41" s="131">
        <f t="shared" si="29"/>
        <v>0</v>
      </c>
      <c r="M41" s="131">
        <f t="shared" si="29"/>
        <v>0</v>
      </c>
      <c r="N41" s="131">
        <f t="shared" si="29"/>
        <v>0</v>
      </c>
      <c r="O41" s="131">
        <f t="shared" si="29"/>
        <v>0</v>
      </c>
      <c r="P41" s="131">
        <f t="shared" si="29"/>
        <v>0</v>
      </c>
      <c r="Q41" s="131">
        <f t="shared" si="29"/>
        <v>0</v>
      </c>
      <c r="R41" s="22" t="s">
        <v>815</v>
      </c>
    </row>
    <row r="42" spans="2:18" ht="14.45">
      <c r="B42" s="104" t="s">
        <v>82</v>
      </c>
      <c r="C42" s="138"/>
      <c r="D42" s="131">
        <f t="shared" ref="D42:Q42" si="30">Forecast_without_48_51_with_xx*Without_48_51_with_xx_composite_value</f>
        <v>0</v>
      </c>
      <c r="E42" s="131">
        <f t="shared" si="30"/>
        <v>0</v>
      </c>
      <c r="F42" s="131">
        <f t="shared" si="30"/>
        <v>0</v>
      </c>
      <c r="G42" s="131">
        <f t="shared" si="30"/>
        <v>0</v>
      </c>
      <c r="H42" s="131">
        <f t="shared" si="30"/>
        <v>0</v>
      </c>
      <c r="I42" s="131">
        <f t="shared" si="30"/>
        <v>0</v>
      </c>
      <c r="J42" s="131">
        <f t="shared" si="30"/>
        <v>0</v>
      </c>
      <c r="K42" s="131">
        <f t="shared" si="30"/>
        <v>0</v>
      </c>
      <c r="L42" s="131">
        <f t="shared" si="30"/>
        <v>0</v>
      </c>
      <c r="M42" s="131">
        <f t="shared" si="30"/>
        <v>0</v>
      </c>
      <c r="N42" s="131">
        <f t="shared" si="30"/>
        <v>0</v>
      </c>
      <c r="O42" s="131">
        <f t="shared" si="30"/>
        <v>0</v>
      </c>
      <c r="P42" s="131">
        <f t="shared" si="30"/>
        <v>0</v>
      </c>
      <c r="Q42" s="131">
        <f t="shared" si="30"/>
        <v>0</v>
      </c>
      <c r="R42" s="22" t="s">
        <v>816</v>
      </c>
    </row>
    <row r="43" spans="2:18" ht="14.45">
      <c r="B43" s="104" t="s">
        <v>83</v>
      </c>
      <c r="C43" s="138"/>
      <c r="D43" s="131">
        <f t="shared" ref="D43:Q43" si="31">Forecast_without_51_54_with_xx*Without_51_54_with_xx_composite_value</f>
        <v>0</v>
      </c>
      <c r="E43" s="131">
        <f t="shared" si="31"/>
        <v>0</v>
      </c>
      <c r="F43" s="131">
        <f t="shared" si="31"/>
        <v>0</v>
      </c>
      <c r="G43" s="131">
        <f t="shared" si="31"/>
        <v>0</v>
      </c>
      <c r="H43" s="131">
        <f t="shared" si="31"/>
        <v>0</v>
      </c>
      <c r="I43" s="131">
        <f t="shared" si="31"/>
        <v>0</v>
      </c>
      <c r="J43" s="131">
        <f t="shared" si="31"/>
        <v>0</v>
      </c>
      <c r="K43" s="131">
        <f t="shared" si="31"/>
        <v>0</v>
      </c>
      <c r="L43" s="131">
        <f t="shared" si="31"/>
        <v>0</v>
      </c>
      <c r="M43" s="131">
        <f t="shared" si="31"/>
        <v>0</v>
      </c>
      <c r="N43" s="131">
        <f t="shared" si="31"/>
        <v>0</v>
      </c>
      <c r="O43" s="131">
        <f t="shared" si="31"/>
        <v>0</v>
      </c>
      <c r="P43" s="131">
        <f t="shared" si="31"/>
        <v>0</v>
      </c>
      <c r="Q43" s="131">
        <f t="shared" si="31"/>
        <v>0</v>
      </c>
      <c r="R43" s="22" t="s">
        <v>817</v>
      </c>
    </row>
    <row r="44" spans="2:18" ht="14.45">
      <c r="B44" s="104" t="s">
        <v>84</v>
      </c>
      <c r="C44" s="138"/>
      <c r="D44" s="131">
        <f t="shared" ref="D44:Q44" si="32">Forecast_without_54_57_with_xx*Without_54_57_with_xx_composite_value</f>
        <v>0</v>
      </c>
      <c r="E44" s="131">
        <f t="shared" si="32"/>
        <v>0</v>
      </c>
      <c r="F44" s="131">
        <f t="shared" si="32"/>
        <v>0</v>
      </c>
      <c r="G44" s="131">
        <f t="shared" si="32"/>
        <v>0</v>
      </c>
      <c r="H44" s="131">
        <f t="shared" si="32"/>
        <v>0</v>
      </c>
      <c r="I44" s="131">
        <f t="shared" si="32"/>
        <v>0</v>
      </c>
      <c r="J44" s="131">
        <f t="shared" si="32"/>
        <v>0</v>
      </c>
      <c r="K44" s="131">
        <f t="shared" si="32"/>
        <v>0</v>
      </c>
      <c r="L44" s="131">
        <f t="shared" si="32"/>
        <v>0</v>
      </c>
      <c r="M44" s="131">
        <f t="shared" si="32"/>
        <v>0</v>
      </c>
      <c r="N44" s="131">
        <f t="shared" si="32"/>
        <v>0</v>
      </c>
      <c r="O44" s="131">
        <f t="shared" si="32"/>
        <v>0</v>
      </c>
      <c r="P44" s="131">
        <f t="shared" si="32"/>
        <v>0</v>
      </c>
      <c r="Q44" s="131">
        <f t="shared" si="32"/>
        <v>0</v>
      </c>
      <c r="R44" s="22" t="s">
        <v>818</v>
      </c>
    </row>
    <row r="45" spans="2:18" ht="14.45">
      <c r="B45" s="104" t="s">
        <v>85</v>
      </c>
      <c r="C45" s="138"/>
      <c r="D45" s="131">
        <f t="shared" ref="D45:Q45" si="33">Forecast_without_57_60_with_xx*Without_57_60_with_xx_composite_value</f>
        <v>0</v>
      </c>
      <c r="E45" s="131">
        <f t="shared" si="33"/>
        <v>0</v>
      </c>
      <c r="F45" s="131">
        <f t="shared" si="33"/>
        <v>0</v>
      </c>
      <c r="G45" s="131">
        <f t="shared" si="33"/>
        <v>0</v>
      </c>
      <c r="H45" s="131">
        <f t="shared" si="33"/>
        <v>0</v>
      </c>
      <c r="I45" s="131">
        <f t="shared" si="33"/>
        <v>0</v>
      </c>
      <c r="J45" s="131">
        <f t="shared" si="33"/>
        <v>0</v>
      </c>
      <c r="K45" s="131">
        <f t="shared" si="33"/>
        <v>0</v>
      </c>
      <c r="L45" s="131">
        <f t="shared" si="33"/>
        <v>0</v>
      </c>
      <c r="M45" s="131">
        <f t="shared" si="33"/>
        <v>0</v>
      </c>
      <c r="N45" s="131">
        <f t="shared" si="33"/>
        <v>0</v>
      </c>
      <c r="O45" s="131">
        <f t="shared" si="33"/>
        <v>0</v>
      </c>
      <c r="P45" s="131">
        <f t="shared" si="33"/>
        <v>0</v>
      </c>
      <c r="Q45" s="131">
        <f t="shared" si="33"/>
        <v>0</v>
      </c>
      <c r="R45" s="22" t="s">
        <v>819</v>
      </c>
    </row>
    <row r="46" spans="2:18" ht="14.45">
      <c r="B46" s="104" t="s">
        <v>86</v>
      </c>
      <c r="C46" s="138"/>
      <c r="D46" s="131">
        <f t="shared" ref="D46:Q46" si="34">Forecast_without_60_63_with_xx*Without_60_63_with_xx_composite_value</f>
        <v>0</v>
      </c>
      <c r="E46" s="131">
        <f t="shared" si="34"/>
        <v>0</v>
      </c>
      <c r="F46" s="131">
        <f t="shared" si="34"/>
        <v>0</v>
      </c>
      <c r="G46" s="131">
        <f t="shared" si="34"/>
        <v>0</v>
      </c>
      <c r="H46" s="131">
        <f t="shared" si="34"/>
        <v>0</v>
      </c>
      <c r="I46" s="131">
        <f t="shared" si="34"/>
        <v>0</v>
      </c>
      <c r="J46" s="131">
        <f t="shared" si="34"/>
        <v>0</v>
      </c>
      <c r="K46" s="131">
        <f t="shared" si="34"/>
        <v>0</v>
      </c>
      <c r="L46" s="131">
        <f t="shared" si="34"/>
        <v>0</v>
      </c>
      <c r="M46" s="131">
        <f t="shared" si="34"/>
        <v>0</v>
      </c>
      <c r="N46" s="131">
        <f t="shared" si="34"/>
        <v>0</v>
      </c>
      <c r="O46" s="131">
        <f t="shared" si="34"/>
        <v>0</v>
      </c>
      <c r="P46" s="131">
        <f t="shared" si="34"/>
        <v>0</v>
      </c>
      <c r="Q46" s="131">
        <f t="shared" si="34"/>
        <v>0</v>
      </c>
      <c r="R46" s="22" t="s">
        <v>820</v>
      </c>
    </row>
    <row r="47" spans="2:18" ht="14.45">
      <c r="B47" s="104" t="s">
        <v>87</v>
      </c>
      <c r="C47" s="138"/>
      <c r="D47" s="131">
        <f t="shared" ref="D47:Q47" si="35">Forecast_without_63_66_with_xx*Without_63_66_with_xx_composite_value</f>
        <v>0</v>
      </c>
      <c r="E47" s="131">
        <f t="shared" si="35"/>
        <v>0</v>
      </c>
      <c r="F47" s="131">
        <f t="shared" si="35"/>
        <v>0</v>
      </c>
      <c r="G47" s="131">
        <f t="shared" si="35"/>
        <v>0</v>
      </c>
      <c r="H47" s="131">
        <f t="shared" si="35"/>
        <v>0</v>
      </c>
      <c r="I47" s="131">
        <f t="shared" si="35"/>
        <v>0</v>
      </c>
      <c r="J47" s="131">
        <f t="shared" si="35"/>
        <v>0</v>
      </c>
      <c r="K47" s="131">
        <f t="shared" si="35"/>
        <v>0</v>
      </c>
      <c r="L47" s="131">
        <f t="shared" si="35"/>
        <v>0</v>
      </c>
      <c r="M47" s="131">
        <f t="shared" si="35"/>
        <v>0</v>
      </c>
      <c r="N47" s="131">
        <f t="shared" si="35"/>
        <v>0</v>
      </c>
      <c r="O47" s="131">
        <f t="shared" si="35"/>
        <v>0</v>
      </c>
      <c r="P47" s="131">
        <f t="shared" si="35"/>
        <v>0</v>
      </c>
      <c r="Q47" s="131">
        <f t="shared" si="35"/>
        <v>0</v>
      </c>
      <c r="R47" s="22" t="s">
        <v>821</v>
      </c>
    </row>
    <row r="48" spans="2:18" ht="14.45">
      <c r="B48" s="104" t="s">
        <v>88</v>
      </c>
      <c r="C48" s="138"/>
      <c r="D48" s="131">
        <f t="shared" ref="D48:Q48" si="36">Forecast_without_66_69_with_xx*Without_66_69_with_xx_composite_value</f>
        <v>0</v>
      </c>
      <c r="E48" s="131">
        <f t="shared" si="36"/>
        <v>0</v>
      </c>
      <c r="F48" s="131">
        <f t="shared" si="36"/>
        <v>0</v>
      </c>
      <c r="G48" s="131">
        <f t="shared" si="36"/>
        <v>0</v>
      </c>
      <c r="H48" s="131">
        <f t="shared" si="36"/>
        <v>0</v>
      </c>
      <c r="I48" s="131">
        <f t="shared" si="36"/>
        <v>0</v>
      </c>
      <c r="J48" s="131">
        <f t="shared" si="36"/>
        <v>0</v>
      </c>
      <c r="K48" s="131">
        <f t="shared" si="36"/>
        <v>0</v>
      </c>
      <c r="L48" s="131">
        <f t="shared" si="36"/>
        <v>0</v>
      </c>
      <c r="M48" s="131">
        <f t="shared" si="36"/>
        <v>0</v>
      </c>
      <c r="N48" s="131">
        <f t="shared" si="36"/>
        <v>0</v>
      </c>
      <c r="O48" s="131">
        <f t="shared" si="36"/>
        <v>0</v>
      </c>
      <c r="P48" s="131">
        <f t="shared" si="36"/>
        <v>0</v>
      </c>
      <c r="Q48" s="131">
        <f t="shared" si="36"/>
        <v>0</v>
      </c>
      <c r="R48" s="22" t="s">
        <v>822</v>
      </c>
    </row>
    <row r="49" spans="2:18" ht="14.45">
      <c r="B49" s="104" t="s">
        <v>89</v>
      </c>
      <c r="C49" s="138"/>
      <c r="D49" s="131">
        <f t="shared" ref="D49:Q49" si="37">Forecast_without_69_72_with_xx*Without_69_72_with_xx_composite_value</f>
        <v>0</v>
      </c>
      <c r="E49" s="131">
        <f t="shared" si="37"/>
        <v>0</v>
      </c>
      <c r="F49" s="131">
        <f t="shared" si="37"/>
        <v>0</v>
      </c>
      <c r="G49" s="131">
        <f t="shared" si="37"/>
        <v>0</v>
      </c>
      <c r="H49" s="131">
        <f t="shared" si="37"/>
        <v>0</v>
      </c>
      <c r="I49" s="131">
        <f t="shared" si="37"/>
        <v>0</v>
      </c>
      <c r="J49" s="131">
        <f t="shared" si="37"/>
        <v>0</v>
      </c>
      <c r="K49" s="131">
        <f t="shared" si="37"/>
        <v>0</v>
      </c>
      <c r="L49" s="131">
        <f t="shared" si="37"/>
        <v>0</v>
      </c>
      <c r="M49" s="131">
        <f t="shared" si="37"/>
        <v>0</v>
      </c>
      <c r="N49" s="131">
        <f t="shared" si="37"/>
        <v>0</v>
      </c>
      <c r="O49" s="131">
        <f t="shared" si="37"/>
        <v>0</v>
      </c>
      <c r="P49" s="131">
        <f t="shared" si="37"/>
        <v>0</v>
      </c>
      <c r="Q49" s="131">
        <f t="shared" si="37"/>
        <v>0</v>
      </c>
      <c r="R49" s="22" t="s">
        <v>823</v>
      </c>
    </row>
    <row r="50" spans="2:18" ht="14.45">
      <c r="B50" s="104" t="s">
        <v>90</v>
      </c>
      <c r="C50" s="138"/>
      <c r="D50" s="131">
        <f t="shared" ref="D50:Q50" si="38">Forecast_without_72_75_with_xx*Without_72_75_with_xx_composite_value</f>
        <v>0</v>
      </c>
      <c r="E50" s="131">
        <f t="shared" si="38"/>
        <v>0</v>
      </c>
      <c r="F50" s="131">
        <f t="shared" si="38"/>
        <v>0</v>
      </c>
      <c r="G50" s="131">
        <f t="shared" si="38"/>
        <v>0</v>
      </c>
      <c r="H50" s="131">
        <f t="shared" si="38"/>
        <v>0</v>
      </c>
      <c r="I50" s="131">
        <f t="shared" si="38"/>
        <v>0</v>
      </c>
      <c r="J50" s="131">
        <f t="shared" si="38"/>
        <v>0</v>
      </c>
      <c r="K50" s="131">
        <f t="shared" si="38"/>
        <v>0</v>
      </c>
      <c r="L50" s="131">
        <f t="shared" si="38"/>
        <v>0</v>
      </c>
      <c r="M50" s="131">
        <f t="shared" si="38"/>
        <v>0</v>
      </c>
      <c r="N50" s="131">
        <f t="shared" si="38"/>
        <v>0</v>
      </c>
      <c r="O50" s="131">
        <f t="shared" si="38"/>
        <v>0</v>
      </c>
      <c r="P50" s="131">
        <f t="shared" si="38"/>
        <v>0</v>
      </c>
      <c r="Q50" s="131">
        <f t="shared" si="38"/>
        <v>0</v>
      </c>
      <c r="R50" s="22" t="s">
        <v>824</v>
      </c>
    </row>
    <row r="51" spans="2:18" ht="14.45">
      <c r="B51" s="104" t="s">
        <v>91</v>
      </c>
      <c r="C51" s="138"/>
      <c r="D51" s="131">
        <f t="shared" ref="D51:Q51" si="39">Forecast_without_75_78_with_xx*Without_75_78_with_xx_composite_value</f>
        <v>0</v>
      </c>
      <c r="E51" s="131">
        <f t="shared" si="39"/>
        <v>0</v>
      </c>
      <c r="F51" s="131">
        <f t="shared" si="39"/>
        <v>0</v>
      </c>
      <c r="G51" s="131">
        <f t="shared" si="39"/>
        <v>0</v>
      </c>
      <c r="H51" s="131">
        <f t="shared" si="39"/>
        <v>0</v>
      </c>
      <c r="I51" s="131">
        <f t="shared" si="39"/>
        <v>0</v>
      </c>
      <c r="J51" s="131">
        <f t="shared" si="39"/>
        <v>0</v>
      </c>
      <c r="K51" s="131">
        <f t="shared" si="39"/>
        <v>0</v>
      </c>
      <c r="L51" s="131">
        <f t="shared" si="39"/>
        <v>0</v>
      </c>
      <c r="M51" s="131">
        <f t="shared" si="39"/>
        <v>0</v>
      </c>
      <c r="N51" s="131">
        <f t="shared" si="39"/>
        <v>0</v>
      </c>
      <c r="O51" s="131">
        <f t="shared" si="39"/>
        <v>0</v>
      </c>
      <c r="P51" s="131">
        <f t="shared" si="39"/>
        <v>0</v>
      </c>
      <c r="Q51" s="131">
        <f t="shared" si="39"/>
        <v>0</v>
      </c>
      <c r="R51" s="22" t="s">
        <v>825</v>
      </c>
    </row>
    <row r="52" spans="2:18" ht="14.45">
      <c r="B52" s="104" t="s">
        <v>92</v>
      </c>
      <c r="C52" s="138"/>
      <c r="D52" s="131">
        <f t="shared" ref="D52:Q52" si="40">Forecast_without_78_81_with_xx*Without_78_81_with_xx_composite_value</f>
        <v>0</v>
      </c>
      <c r="E52" s="131">
        <f t="shared" si="40"/>
        <v>0</v>
      </c>
      <c r="F52" s="131">
        <f t="shared" si="40"/>
        <v>0</v>
      </c>
      <c r="G52" s="131">
        <f t="shared" si="40"/>
        <v>0</v>
      </c>
      <c r="H52" s="131">
        <f t="shared" si="40"/>
        <v>0</v>
      </c>
      <c r="I52" s="131">
        <f t="shared" si="40"/>
        <v>0</v>
      </c>
      <c r="J52" s="131">
        <f t="shared" si="40"/>
        <v>0</v>
      </c>
      <c r="K52" s="131">
        <f t="shared" si="40"/>
        <v>0</v>
      </c>
      <c r="L52" s="131">
        <f t="shared" si="40"/>
        <v>0</v>
      </c>
      <c r="M52" s="131">
        <f t="shared" si="40"/>
        <v>0</v>
      </c>
      <c r="N52" s="131">
        <f t="shared" si="40"/>
        <v>0</v>
      </c>
      <c r="O52" s="131">
        <f t="shared" si="40"/>
        <v>0</v>
      </c>
      <c r="P52" s="131">
        <f t="shared" si="40"/>
        <v>0</v>
      </c>
      <c r="Q52" s="131">
        <f t="shared" si="40"/>
        <v>0</v>
      </c>
      <c r="R52" s="22" t="s">
        <v>826</v>
      </c>
    </row>
    <row r="53" spans="2:18" ht="14.45">
      <c r="B53" s="104" t="s">
        <v>93</v>
      </c>
      <c r="C53" s="139"/>
      <c r="D53" s="131">
        <f t="shared" ref="D53:Q53" si="41">Forecast_without_81_with_xx*Without_81_with_xx_composite_value</f>
        <v>0</v>
      </c>
      <c r="E53" s="131">
        <f t="shared" si="41"/>
        <v>0</v>
      </c>
      <c r="F53" s="131">
        <f t="shared" si="41"/>
        <v>0</v>
      </c>
      <c r="G53" s="131">
        <f t="shared" si="41"/>
        <v>0</v>
      </c>
      <c r="H53" s="131">
        <f t="shared" si="41"/>
        <v>0</v>
      </c>
      <c r="I53" s="131">
        <f t="shared" si="41"/>
        <v>0</v>
      </c>
      <c r="J53" s="131">
        <f t="shared" si="41"/>
        <v>0</v>
      </c>
      <c r="K53" s="131">
        <f t="shared" si="41"/>
        <v>0</v>
      </c>
      <c r="L53" s="131">
        <f t="shared" si="41"/>
        <v>0</v>
      </c>
      <c r="M53" s="131">
        <f t="shared" si="41"/>
        <v>0</v>
      </c>
      <c r="N53" s="131">
        <f t="shared" si="41"/>
        <v>0</v>
      </c>
      <c r="O53" s="131">
        <f t="shared" si="41"/>
        <v>0</v>
      </c>
      <c r="P53" s="131">
        <f t="shared" si="41"/>
        <v>0</v>
      </c>
      <c r="Q53" s="131">
        <f t="shared" si="41"/>
        <v>0</v>
      </c>
      <c r="R53" s="22" t="s">
        <v>827</v>
      </c>
    </row>
    <row r="54" spans="2:18" ht="14.45">
      <c r="B54" s="134"/>
      <c r="C54" s="134"/>
      <c r="D54" s="134"/>
      <c r="E54" s="134"/>
      <c r="F54" s="134"/>
      <c r="G54" s="134"/>
      <c r="H54" s="134"/>
      <c r="I54" s="134"/>
      <c r="J54" s="134"/>
      <c r="K54" s="134"/>
      <c r="L54" s="134"/>
      <c r="M54" s="134"/>
      <c r="N54" s="134"/>
      <c r="O54" s="97"/>
      <c r="P54" s="97"/>
      <c r="Q54" s="97"/>
      <c r="R54" s="97"/>
    </row>
    <row r="55" spans="2:18" ht="14.45">
      <c r="B55" s="142" t="s">
        <v>552</v>
      </c>
      <c r="C55" s="141">
        <f>SUM(Forecast_without_45_with_xx_composite_cost,Forecast_without_45_48_with_xx_composite_cost,Forecast_without_48_51_with_xx_composite_cost,Forecast_without_51_54_with_xx_composite_cost,Forecast_without_54_57_with_xx_composite_cost,Forecast_without_57_60_with_xx_composite_cost,Forecast_without_60_63_with_xx_composite_cost,Forecast_without_63_66_with_xx_composite_cost,Forecast_without_66_69_with_xx_composite_cost,Forecast_without_69_72_with_xx_composite_cost,Forecast_without_72_75_with_xx_composite_cost,Forecast_without_75_78_with_xx_composite_cost,Forecast_without_78_81_with_xx_composite_cost,Forecast_without_81_with_xx_composite_cost)</f>
        <v>0</v>
      </c>
      <c r="D55" s="24" t="s">
        <v>828</v>
      </c>
      <c r="E55" s="134"/>
      <c r="F55" s="134"/>
      <c r="G55" s="134"/>
      <c r="H55" s="134"/>
      <c r="I55" s="134"/>
      <c r="J55" s="134"/>
      <c r="K55" s="134"/>
      <c r="L55" s="134"/>
      <c r="M55" s="134"/>
      <c r="N55" s="134"/>
      <c r="O55" s="97"/>
      <c r="P55" s="97"/>
      <c r="Q55" s="97"/>
      <c r="R55" s="97"/>
    </row>
    <row r="56" spans="2:18" ht="14.45">
      <c r="B56" s="134"/>
      <c r="C56" s="134"/>
      <c r="D56" s="24"/>
      <c r="E56" s="134"/>
      <c r="F56" s="134"/>
      <c r="G56" s="134"/>
      <c r="H56" s="134"/>
      <c r="I56" s="134"/>
      <c r="J56" s="134"/>
      <c r="K56" s="134"/>
      <c r="L56" s="134"/>
      <c r="M56" s="134"/>
      <c r="N56" s="134"/>
      <c r="O56" s="97"/>
      <c r="P56" s="97"/>
      <c r="Q56" s="97"/>
      <c r="R56" s="97"/>
    </row>
    <row r="57" spans="2:18" ht="14.45">
      <c r="B57" s="134" t="s">
        <v>829</v>
      </c>
      <c r="C57" s="141">
        <f>Forecast_year_composite_cost-Opening_year_composite_cost</f>
        <v>0</v>
      </c>
      <c r="D57" s="24" t="s">
        <v>555</v>
      </c>
      <c r="E57" s="134"/>
      <c r="F57" s="134"/>
      <c r="G57" s="134"/>
      <c r="H57" s="134"/>
      <c r="I57" s="134"/>
      <c r="J57" s="134"/>
      <c r="K57" s="134"/>
      <c r="L57" s="134"/>
      <c r="M57" s="134"/>
      <c r="N57" s="134"/>
      <c r="O57" s="97"/>
      <c r="P57" s="97"/>
      <c r="Q57" s="97"/>
      <c r="R57" s="9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VW130"/>
  <sheetViews>
    <sheetView showGridLines="0" zoomScaleNormal="100" workbookViewId="0">
      <selection activeCell="E8" sqref="E8"/>
    </sheetView>
  </sheetViews>
  <sheetFormatPr defaultColWidth="0" defaultRowHeight="15" customHeight="1" zeroHeight="1"/>
  <cols>
    <col min="1" max="1" width="6.28515625" style="29" customWidth="1"/>
    <col min="2" max="2" width="8.85546875" style="29" customWidth="1"/>
    <col min="3" max="3" width="11.85546875" style="29" customWidth="1"/>
    <col min="4" max="4" width="17.140625" style="29" customWidth="1"/>
    <col min="5" max="5" width="17.28515625" style="29" customWidth="1"/>
    <col min="6" max="7" width="22.85546875" style="29" customWidth="1"/>
    <col min="8" max="8" width="17.28515625" style="29" customWidth="1"/>
    <col min="9" max="9" width="6.28515625" style="29" customWidth="1"/>
    <col min="10" max="12" width="17.5703125" style="29" hidden="1" customWidth="1"/>
    <col min="13" max="13" width="6.140625" style="29" hidden="1" customWidth="1"/>
    <col min="14" max="14" width="15.5703125" style="29" hidden="1" customWidth="1"/>
    <col min="15" max="256" width="9.140625" style="29" hidden="1" customWidth="1"/>
    <col min="257" max="257" width="8.85546875" style="29" hidden="1" customWidth="1"/>
    <col min="258" max="258" width="11.85546875" style="29" hidden="1" customWidth="1"/>
    <col min="259" max="260" width="17.5703125" style="29" hidden="1" customWidth="1"/>
    <col min="261" max="261" width="12.42578125" style="29" hidden="1" customWidth="1"/>
    <col min="262" max="262" width="11.140625" style="29" hidden="1" customWidth="1"/>
    <col min="263" max="263" width="18.42578125" style="29" hidden="1" customWidth="1"/>
    <col min="264" max="268" width="17.5703125" style="29" hidden="1" customWidth="1"/>
    <col min="269" max="269" width="6.140625" style="29" hidden="1" customWidth="1"/>
    <col min="270" max="270" width="15.5703125" style="29" hidden="1" customWidth="1"/>
    <col min="271" max="512" width="9.140625" style="29" hidden="1" customWidth="1"/>
    <col min="513" max="513" width="8.85546875" style="29" hidden="1" customWidth="1"/>
    <col min="514" max="514" width="11.85546875" style="29" hidden="1" customWidth="1"/>
    <col min="515" max="516" width="17.5703125" style="29" hidden="1" customWidth="1"/>
    <col min="517" max="517" width="12.42578125" style="29" hidden="1" customWidth="1"/>
    <col min="518" max="518" width="11.140625" style="29" hidden="1" customWidth="1"/>
    <col min="519" max="519" width="18.42578125" style="29" hidden="1" customWidth="1"/>
    <col min="520" max="524" width="17.5703125" style="29" hidden="1" customWidth="1"/>
    <col min="525" max="525" width="6.140625" style="29" hidden="1" customWidth="1"/>
    <col min="526" max="526" width="15.5703125" style="29" hidden="1" customWidth="1"/>
    <col min="527" max="768" width="9.140625" style="29" hidden="1" customWidth="1"/>
    <col min="769" max="769" width="8.85546875" style="29" hidden="1" customWidth="1"/>
    <col min="770" max="770" width="11.85546875" style="29" hidden="1" customWidth="1"/>
    <col min="771" max="772" width="17.5703125" style="29" hidden="1" customWidth="1"/>
    <col min="773" max="773" width="12.42578125" style="29" hidden="1" customWidth="1"/>
    <col min="774" max="774" width="11.140625" style="29" hidden="1" customWidth="1"/>
    <col min="775" max="775" width="18.42578125" style="29" hidden="1" customWidth="1"/>
    <col min="776" max="780" width="17.5703125" style="29" hidden="1" customWidth="1"/>
    <col min="781" max="781" width="6.140625" style="29" hidden="1" customWidth="1"/>
    <col min="782" max="782" width="15.5703125" style="29" hidden="1" customWidth="1"/>
    <col min="783" max="1024" width="9.140625" style="29" hidden="1"/>
    <col min="1025" max="1025" width="8.85546875" style="29" hidden="1" customWidth="1"/>
    <col min="1026" max="1026" width="11.85546875" style="29" hidden="1" customWidth="1"/>
    <col min="1027" max="1028" width="17.5703125" style="29" hidden="1" customWidth="1"/>
    <col min="1029" max="1029" width="12.42578125" style="29" hidden="1" customWidth="1"/>
    <col min="1030" max="1030" width="11.140625" style="29" hidden="1" customWidth="1"/>
    <col min="1031" max="1031" width="18.42578125" style="29" hidden="1" customWidth="1"/>
    <col min="1032" max="1036" width="17.5703125" style="29" hidden="1" customWidth="1"/>
    <col min="1037" max="1037" width="6.140625" style="29" hidden="1" customWidth="1"/>
    <col min="1038" max="1038" width="15.5703125" style="29" hidden="1" customWidth="1"/>
    <col min="1039" max="1280" width="9.140625" style="29" hidden="1" customWidth="1"/>
    <col min="1281" max="1281" width="8.85546875" style="29" hidden="1" customWidth="1"/>
    <col min="1282" max="1282" width="11.85546875" style="29" hidden="1" customWidth="1"/>
    <col min="1283" max="1284" width="17.5703125" style="29" hidden="1" customWidth="1"/>
    <col min="1285" max="1285" width="12.42578125" style="29" hidden="1" customWidth="1"/>
    <col min="1286" max="1286" width="11.140625" style="29" hidden="1" customWidth="1"/>
    <col min="1287" max="1287" width="18.42578125" style="29" hidden="1" customWidth="1"/>
    <col min="1288" max="1292" width="17.5703125" style="29" hidden="1" customWidth="1"/>
    <col min="1293" max="1293" width="6.140625" style="29" hidden="1" customWidth="1"/>
    <col min="1294" max="1294" width="15.5703125" style="29" hidden="1" customWidth="1"/>
    <col min="1295" max="1536" width="9.140625" style="29" hidden="1" customWidth="1"/>
    <col min="1537" max="1537" width="8.85546875" style="29" hidden="1" customWidth="1"/>
    <col min="1538" max="1538" width="11.85546875" style="29" hidden="1" customWidth="1"/>
    <col min="1539" max="1540" width="17.5703125" style="29" hidden="1" customWidth="1"/>
    <col min="1541" max="1541" width="12.42578125" style="29" hidden="1" customWidth="1"/>
    <col min="1542" max="1542" width="11.140625" style="29" hidden="1" customWidth="1"/>
    <col min="1543" max="1543" width="18.42578125" style="29" hidden="1" customWidth="1"/>
    <col min="1544" max="1548" width="17.5703125" style="29" hidden="1" customWidth="1"/>
    <col min="1549" max="1549" width="6.140625" style="29" hidden="1" customWidth="1"/>
    <col min="1550" max="1550" width="15.5703125" style="29" hidden="1" customWidth="1"/>
    <col min="1551" max="1792" width="9.140625" style="29" hidden="1" customWidth="1"/>
    <col min="1793" max="1793" width="8.85546875" style="29" hidden="1" customWidth="1"/>
    <col min="1794" max="1794" width="11.85546875" style="29" hidden="1" customWidth="1"/>
    <col min="1795" max="1796" width="17.5703125" style="29" hidden="1" customWidth="1"/>
    <col min="1797" max="1797" width="12.42578125" style="29" hidden="1" customWidth="1"/>
    <col min="1798" max="1798" width="11.140625" style="29" hidden="1" customWidth="1"/>
    <col min="1799" max="1799" width="18.42578125" style="29" hidden="1" customWidth="1"/>
    <col min="1800" max="1804" width="17.5703125" style="29" hidden="1" customWidth="1"/>
    <col min="1805" max="1805" width="6.140625" style="29" hidden="1" customWidth="1"/>
    <col min="1806" max="1806" width="15.5703125" style="29" hidden="1" customWidth="1"/>
    <col min="1807" max="2048" width="9.140625" style="29" hidden="1"/>
    <col min="2049" max="2049" width="8.85546875" style="29" hidden="1" customWidth="1"/>
    <col min="2050" max="2050" width="11.85546875" style="29" hidden="1" customWidth="1"/>
    <col min="2051" max="2052" width="17.5703125" style="29" hidden="1" customWidth="1"/>
    <col min="2053" max="2053" width="12.42578125" style="29" hidden="1" customWidth="1"/>
    <col min="2054" max="2054" width="11.140625" style="29" hidden="1" customWidth="1"/>
    <col min="2055" max="2055" width="18.42578125" style="29" hidden="1" customWidth="1"/>
    <col min="2056" max="2060" width="17.5703125" style="29" hidden="1" customWidth="1"/>
    <col min="2061" max="2061" width="6.140625" style="29" hidden="1" customWidth="1"/>
    <col min="2062" max="2062" width="15.5703125" style="29" hidden="1" customWidth="1"/>
    <col min="2063" max="2304" width="9.140625" style="29" hidden="1" customWidth="1"/>
    <col min="2305" max="2305" width="8.85546875" style="29" hidden="1" customWidth="1"/>
    <col min="2306" max="2306" width="11.85546875" style="29" hidden="1" customWidth="1"/>
    <col min="2307" max="2308" width="17.5703125" style="29" hidden="1" customWidth="1"/>
    <col min="2309" max="2309" width="12.42578125" style="29" hidden="1" customWidth="1"/>
    <col min="2310" max="2310" width="11.140625" style="29" hidden="1" customWidth="1"/>
    <col min="2311" max="2311" width="18.42578125" style="29" hidden="1" customWidth="1"/>
    <col min="2312" max="2316" width="17.5703125" style="29" hidden="1" customWidth="1"/>
    <col min="2317" max="2317" width="6.140625" style="29" hidden="1" customWidth="1"/>
    <col min="2318" max="2318" width="15.5703125" style="29" hidden="1" customWidth="1"/>
    <col min="2319" max="2560" width="9.140625" style="29" hidden="1" customWidth="1"/>
    <col min="2561" max="2561" width="8.85546875" style="29" hidden="1" customWidth="1"/>
    <col min="2562" max="2562" width="11.85546875" style="29" hidden="1" customWidth="1"/>
    <col min="2563" max="2564" width="17.5703125" style="29" hidden="1" customWidth="1"/>
    <col min="2565" max="2565" width="12.42578125" style="29" hidden="1" customWidth="1"/>
    <col min="2566" max="2566" width="11.140625" style="29" hidden="1" customWidth="1"/>
    <col min="2567" max="2567" width="18.42578125" style="29" hidden="1" customWidth="1"/>
    <col min="2568" max="2572" width="17.5703125" style="29" hidden="1" customWidth="1"/>
    <col min="2573" max="2573" width="6.140625" style="29" hidden="1" customWidth="1"/>
    <col min="2574" max="2574" width="15.5703125" style="29" hidden="1" customWidth="1"/>
    <col min="2575" max="2816" width="9.140625" style="29" hidden="1" customWidth="1"/>
    <col min="2817" max="2817" width="8.85546875" style="29" hidden="1" customWidth="1"/>
    <col min="2818" max="2818" width="11.85546875" style="29" hidden="1" customWidth="1"/>
    <col min="2819" max="2820" width="17.5703125" style="29" hidden="1" customWidth="1"/>
    <col min="2821" max="2821" width="12.42578125" style="29" hidden="1" customWidth="1"/>
    <col min="2822" max="2822" width="11.140625" style="29" hidden="1" customWidth="1"/>
    <col min="2823" max="2823" width="18.42578125" style="29" hidden="1" customWidth="1"/>
    <col min="2824" max="2828" width="17.5703125" style="29" hidden="1" customWidth="1"/>
    <col min="2829" max="2829" width="6.140625" style="29" hidden="1" customWidth="1"/>
    <col min="2830" max="2830" width="15.5703125" style="29" hidden="1" customWidth="1"/>
    <col min="2831" max="3072" width="9.140625" style="29" hidden="1"/>
    <col min="3073" max="3073" width="8.85546875" style="29" hidden="1" customWidth="1"/>
    <col min="3074" max="3074" width="11.85546875" style="29" hidden="1" customWidth="1"/>
    <col min="3075" max="3076" width="17.5703125" style="29" hidden="1" customWidth="1"/>
    <col min="3077" max="3077" width="12.42578125" style="29" hidden="1" customWidth="1"/>
    <col min="3078" max="3078" width="11.140625" style="29" hidden="1" customWidth="1"/>
    <col min="3079" max="3079" width="18.42578125" style="29" hidden="1" customWidth="1"/>
    <col min="3080" max="3084" width="17.5703125" style="29" hidden="1" customWidth="1"/>
    <col min="3085" max="3085" width="6.140625" style="29" hidden="1" customWidth="1"/>
    <col min="3086" max="3086" width="15.5703125" style="29" hidden="1" customWidth="1"/>
    <col min="3087" max="3328" width="9.140625" style="29" hidden="1" customWidth="1"/>
    <col min="3329" max="3329" width="8.85546875" style="29" hidden="1" customWidth="1"/>
    <col min="3330" max="3330" width="11.85546875" style="29" hidden="1" customWidth="1"/>
    <col min="3331" max="3332" width="17.5703125" style="29" hidden="1" customWidth="1"/>
    <col min="3333" max="3333" width="12.42578125" style="29" hidden="1" customWidth="1"/>
    <col min="3334" max="3334" width="11.140625" style="29" hidden="1" customWidth="1"/>
    <col min="3335" max="3335" width="18.42578125" style="29" hidden="1" customWidth="1"/>
    <col min="3336" max="3340" width="17.5703125" style="29" hidden="1" customWidth="1"/>
    <col min="3341" max="3341" width="6.140625" style="29" hidden="1" customWidth="1"/>
    <col min="3342" max="3342" width="15.5703125" style="29" hidden="1" customWidth="1"/>
    <col min="3343" max="3584" width="9.140625" style="29" hidden="1" customWidth="1"/>
    <col min="3585" max="3585" width="8.85546875" style="29" hidden="1" customWidth="1"/>
    <col min="3586" max="3586" width="11.85546875" style="29" hidden="1" customWidth="1"/>
    <col min="3587" max="3588" width="17.5703125" style="29" hidden="1" customWidth="1"/>
    <col min="3589" max="3589" width="12.42578125" style="29" hidden="1" customWidth="1"/>
    <col min="3590" max="3590" width="11.140625" style="29" hidden="1" customWidth="1"/>
    <col min="3591" max="3591" width="18.42578125" style="29" hidden="1" customWidth="1"/>
    <col min="3592" max="3596" width="17.5703125" style="29" hidden="1" customWidth="1"/>
    <col min="3597" max="3597" width="6.140625" style="29" hidden="1" customWidth="1"/>
    <col min="3598" max="3598" width="15.5703125" style="29" hidden="1" customWidth="1"/>
    <col min="3599" max="3840" width="9.140625" style="29" hidden="1" customWidth="1"/>
    <col min="3841" max="3841" width="8.85546875" style="29" hidden="1" customWidth="1"/>
    <col min="3842" max="3842" width="11.85546875" style="29" hidden="1" customWidth="1"/>
    <col min="3843" max="3844" width="17.5703125" style="29" hidden="1" customWidth="1"/>
    <col min="3845" max="3845" width="12.42578125" style="29" hidden="1" customWidth="1"/>
    <col min="3846" max="3846" width="11.140625" style="29" hidden="1" customWidth="1"/>
    <col min="3847" max="3847" width="18.42578125" style="29" hidden="1" customWidth="1"/>
    <col min="3848" max="3852" width="17.5703125" style="29" hidden="1" customWidth="1"/>
    <col min="3853" max="3853" width="6.140625" style="29" hidden="1" customWidth="1"/>
    <col min="3854" max="3854" width="15.5703125" style="29" hidden="1" customWidth="1"/>
    <col min="3855" max="4096" width="9.140625" style="29" hidden="1"/>
    <col min="4097" max="4097" width="8.85546875" style="29" hidden="1" customWidth="1"/>
    <col min="4098" max="4098" width="11.85546875" style="29" hidden="1" customWidth="1"/>
    <col min="4099" max="4100" width="17.5703125" style="29" hidden="1" customWidth="1"/>
    <col min="4101" max="4101" width="12.42578125" style="29" hidden="1" customWidth="1"/>
    <col min="4102" max="4102" width="11.140625" style="29" hidden="1" customWidth="1"/>
    <col min="4103" max="4103" width="18.42578125" style="29" hidden="1" customWidth="1"/>
    <col min="4104" max="4108" width="17.5703125" style="29" hidden="1" customWidth="1"/>
    <col min="4109" max="4109" width="6.140625" style="29" hidden="1" customWidth="1"/>
    <col min="4110" max="4110" width="15.5703125" style="29" hidden="1" customWidth="1"/>
    <col min="4111" max="4352" width="9.140625" style="29" hidden="1" customWidth="1"/>
    <col min="4353" max="4353" width="8.85546875" style="29" hidden="1" customWidth="1"/>
    <col min="4354" max="4354" width="11.85546875" style="29" hidden="1" customWidth="1"/>
    <col min="4355" max="4356" width="17.5703125" style="29" hidden="1" customWidth="1"/>
    <col min="4357" max="4357" width="12.42578125" style="29" hidden="1" customWidth="1"/>
    <col min="4358" max="4358" width="11.140625" style="29" hidden="1" customWidth="1"/>
    <col min="4359" max="4359" width="18.42578125" style="29" hidden="1" customWidth="1"/>
    <col min="4360" max="4364" width="17.5703125" style="29" hidden="1" customWidth="1"/>
    <col min="4365" max="4365" width="6.140625" style="29" hidden="1" customWidth="1"/>
    <col min="4366" max="4366" width="15.5703125" style="29" hidden="1" customWidth="1"/>
    <col min="4367" max="4608" width="9.140625" style="29" hidden="1" customWidth="1"/>
    <col min="4609" max="4609" width="8.85546875" style="29" hidden="1" customWidth="1"/>
    <col min="4610" max="4610" width="11.85546875" style="29" hidden="1" customWidth="1"/>
    <col min="4611" max="4612" width="17.5703125" style="29" hidden="1" customWidth="1"/>
    <col min="4613" max="4613" width="12.42578125" style="29" hidden="1" customWidth="1"/>
    <col min="4614" max="4614" width="11.140625" style="29" hidden="1" customWidth="1"/>
    <col min="4615" max="4615" width="18.42578125" style="29" hidden="1" customWidth="1"/>
    <col min="4616" max="4620" width="17.5703125" style="29" hidden="1" customWidth="1"/>
    <col min="4621" max="4621" width="6.140625" style="29" hidden="1" customWidth="1"/>
    <col min="4622" max="4622" width="15.5703125" style="29" hidden="1" customWidth="1"/>
    <col min="4623" max="4864" width="9.140625" style="29" hidden="1" customWidth="1"/>
    <col min="4865" max="4865" width="8.85546875" style="29" hidden="1" customWidth="1"/>
    <col min="4866" max="4866" width="11.85546875" style="29" hidden="1" customWidth="1"/>
    <col min="4867" max="4868" width="17.5703125" style="29" hidden="1" customWidth="1"/>
    <col min="4869" max="4869" width="12.42578125" style="29" hidden="1" customWidth="1"/>
    <col min="4870" max="4870" width="11.140625" style="29" hidden="1" customWidth="1"/>
    <col min="4871" max="4871" width="18.42578125" style="29" hidden="1" customWidth="1"/>
    <col min="4872" max="4876" width="17.5703125" style="29" hidden="1" customWidth="1"/>
    <col min="4877" max="4877" width="6.140625" style="29" hidden="1" customWidth="1"/>
    <col min="4878" max="4878" width="15.5703125" style="29" hidden="1" customWidth="1"/>
    <col min="4879" max="5120" width="9.140625" style="29" hidden="1"/>
    <col min="5121" max="5121" width="8.85546875" style="29" hidden="1" customWidth="1"/>
    <col min="5122" max="5122" width="11.85546875" style="29" hidden="1" customWidth="1"/>
    <col min="5123" max="5124" width="17.5703125" style="29" hidden="1" customWidth="1"/>
    <col min="5125" max="5125" width="12.42578125" style="29" hidden="1" customWidth="1"/>
    <col min="5126" max="5126" width="11.140625" style="29" hidden="1" customWidth="1"/>
    <col min="5127" max="5127" width="18.42578125" style="29" hidden="1" customWidth="1"/>
    <col min="5128" max="5132" width="17.5703125" style="29" hidden="1" customWidth="1"/>
    <col min="5133" max="5133" width="6.140625" style="29" hidden="1" customWidth="1"/>
    <col min="5134" max="5134" width="15.5703125" style="29" hidden="1" customWidth="1"/>
    <col min="5135" max="5376" width="9.140625" style="29" hidden="1" customWidth="1"/>
    <col min="5377" max="5377" width="8.85546875" style="29" hidden="1" customWidth="1"/>
    <col min="5378" max="5378" width="11.85546875" style="29" hidden="1" customWidth="1"/>
    <col min="5379" max="5380" width="17.5703125" style="29" hidden="1" customWidth="1"/>
    <col min="5381" max="5381" width="12.42578125" style="29" hidden="1" customWidth="1"/>
    <col min="5382" max="5382" width="11.140625" style="29" hidden="1" customWidth="1"/>
    <col min="5383" max="5383" width="18.42578125" style="29" hidden="1" customWidth="1"/>
    <col min="5384" max="5388" width="17.5703125" style="29" hidden="1" customWidth="1"/>
    <col min="5389" max="5389" width="6.140625" style="29" hidden="1" customWidth="1"/>
    <col min="5390" max="5390" width="15.5703125" style="29" hidden="1" customWidth="1"/>
    <col min="5391" max="5632" width="9.140625" style="29" hidden="1" customWidth="1"/>
    <col min="5633" max="5633" width="8.85546875" style="29" hidden="1" customWidth="1"/>
    <col min="5634" max="5634" width="11.85546875" style="29" hidden="1" customWidth="1"/>
    <col min="5635" max="5636" width="17.5703125" style="29" hidden="1" customWidth="1"/>
    <col min="5637" max="5637" width="12.42578125" style="29" hidden="1" customWidth="1"/>
    <col min="5638" max="5638" width="11.140625" style="29" hidden="1" customWidth="1"/>
    <col min="5639" max="5639" width="18.42578125" style="29" hidden="1" customWidth="1"/>
    <col min="5640" max="5644" width="17.5703125" style="29" hidden="1" customWidth="1"/>
    <col min="5645" max="5645" width="6.140625" style="29" hidden="1" customWidth="1"/>
    <col min="5646" max="5646" width="15.5703125" style="29" hidden="1" customWidth="1"/>
    <col min="5647" max="5888" width="9.140625" style="29" hidden="1" customWidth="1"/>
    <col min="5889" max="5889" width="8.85546875" style="29" hidden="1" customWidth="1"/>
    <col min="5890" max="5890" width="11.85546875" style="29" hidden="1" customWidth="1"/>
    <col min="5891" max="5892" width="17.5703125" style="29" hidden="1" customWidth="1"/>
    <col min="5893" max="5893" width="12.42578125" style="29" hidden="1" customWidth="1"/>
    <col min="5894" max="5894" width="11.140625" style="29" hidden="1" customWidth="1"/>
    <col min="5895" max="5895" width="18.42578125" style="29" hidden="1" customWidth="1"/>
    <col min="5896" max="5900" width="17.5703125" style="29" hidden="1" customWidth="1"/>
    <col min="5901" max="5901" width="6.140625" style="29" hidden="1" customWidth="1"/>
    <col min="5902" max="5902" width="15.5703125" style="29" hidden="1" customWidth="1"/>
    <col min="5903" max="6144" width="9.140625" style="29" hidden="1"/>
    <col min="6145" max="6145" width="8.85546875" style="29" hidden="1" customWidth="1"/>
    <col min="6146" max="6146" width="11.85546875" style="29" hidden="1" customWidth="1"/>
    <col min="6147" max="6148" width="17.5703125" style="29" hidden="1" customWidth="1"/>
    <col min="6149" max="6149" width="12.42578125" style="29" hidden="1" customWidth="1"/>
    <col min="6150" max="6150" width="11.140625" style="29" hidden="1" customWidth="1"/>
    <col min="6151" max="6151" width="18.42578125" style="29" hidden="1" customWidth="1"/>
    <col min="6152" max="6156" width="17.5703125" style="29" hidden="1" customWidth="1"/>
    <col min="6157" max="6157" width="6.140625" style="29" hidden="1" customWidth="1"/>
    <col min="6158" max="6158" width="15.5703125" style="29" hidden="1" customWidth="1"/>
    <col min="6159" max="6400" width="9.140625" style="29" hidden="1" customWidth="1"/>
    <col min="6401" max="6401" width="8.85546875" style="29" hidden="1" customWidth="1"/>
    <col min="6402" max="6402" width="11.85546875" style="29" hidden="1" customWidth="1"/>
    <col min="6403" max="6404" width="17.5703125" style="29" hidden="1" customWidth="1"/>
    <col min="6405" max="6405" width="12.42578125" style="29" hidden="1" customWidth="1"/>
    <col min="6406" max="6406" width="11.140625" style="29" hidden="1" customWidth="1"/>
    <col min="6407" max="6407" width="18.42578125" style="29" hidden="1" customWidth="1"/>
    <col min="6408" max="6412" width="17.5703125" style="29" hidden="1" customWidth="1"/>
    <col min="6413" max="6413" width="6.140625" style="29" hidden="1" customWidth="1"/>
    <col min="6414" max="6414" width="15.5703125" style="29" hidden="1" customWidth="1"/>
    <col min="6415" max="6656" width="9.140625" style="29" hidden="1" customWidth="1"/>
    <col min="6657" max="6657" width="8.85546875" style="29" hidden="1" customWidth="1"/>
    <col min="6658" max="6658" width="11.85546875" style="29" hidden="1" customWidth="1"/>
    <col min="6659" max="6660" width="17.5703125" style="29" hidden="1" customWidth="1"/>
    <col min="6661" max="6661" width="12.42578125" style="29" hidden="1" customWidth="1"/>
    <col min="6662" max="6662" width="11.140625" style="29" hidden="1" customWidth="1"/>
    <col min="6663" max="6663" width="18.42578125" style="29" hidden="1" customWidth="1"/>
    <col min="6664" max="6668" width="17.5703125" style="29" hidden="1" customWidth="1"/>
    <col min="6669" max="6669" width="6.140625" style="29" hidden="1" customWidth="1"/>
    <col min="6670" max="6670" width="15.5703125" style="29" hidden="1" customWidth="1"/>
    <col min="6671" max="6912" width="9.140625" style="29" hidden="1" customWidth="1"/>
    <col min="6913" max="6913" width="8.85546875" style="29" hidden="1" customWidth="1"/>
    <col min="6914" max="6914" width="11.85546875" style="29" hidden="1" customWidth="1"/>
    <col min="6915" max="6916" width="17.5703125" style="29" hidden="1" customWidth="1"/>
    <col min="6917" max="6917" width="12.42578125" style="29" hidden="1" customWidth="1"/>
    <col min="6918" max="6918" width="11.140625" style="29" hidden="1" customWidth="1"/>
    <col min="6919" max="6919" width="18.42578125" style="29" hidden="1" customWidth="1"/>
    <col min="6920" max="6924" width="17.5703125" style="29" hidden="1" customWidth="1"/>
    <col min="6925" max="6925" width="6.140625" style="29" hidden="1" customWidth="1"/>
    <col min="6926" max="6926" width="15.5703125" style="29" hidden="1" customWidth="1"/>
    <col min="6927" max="7168" width="9.140625" style="29" hidden="1"/>
    <col min="7169" max="7169" width="8.85546875" style="29" hidden="1" customWidth="1"/>
    <col min="7170" max="7170" width="11.85546875" style="29" hidden="1" customWidth="1"/>
    <col min="7171" max="7172" width="17.5703125" style="29" hidden="1" customWidth="1"/>
    <col min="7173" max="7173" width="12.42578125" style="29" hidden="1" customWidth="1"/>
    <col min="7174" max="7174" width="11.140625" style="29" hidden="1" customWidth="1"/>
    <col min="7175" max="7175" width="18.42578125" style="29" hidden="1" customWidth="1"/>
    <col min="7176" max="7180" width="17.5703125" style="29" hidden="1" customWidth="1"/>
    <col min="7181" max="7181" width="6.140625" style="29" hidden="1" customWidth="1"/>
    <col min="7182" max="7182" width="15.5703125" style="29" hidden="1" customWidth="1"/>
    <col min="7183" max="7424" width="9.140625" style="29" hidden="1" customWidth="1"/>
    <col min="7425" max="7425" width="8.85546875" style="29" hidden="1" customWidth="1"/>
    <col min="7426" max="7426" width="11.85546875" style="29" hidden="1" customWidth="1"/>
    <col min="7427" max="7428" width="17.5703125" style="29" hidden="1" customWidth="1"/>
    <col min="7429" max="7429" width="12.42578125" style="29" hidden="1" customWidth="1"/>
    <col min="7430" max="7430" width="11.140625" style="29" hidden="1" customWidth="1"/>
    <col min="7431" max="7431" width="18.42578125" style="29" hidden="1" customWidth="1"/>
    <col min="7432" max="7436" width="17.5703125" style="29" hidden="1" customWidth="1"/>
    <col min="7437" max="7437" width="6.140625" style="29" hidden="1" customWidth="1"/>
    <col min="7438" max="7438" width="15.5703125" style="29" hidden="1" customWidth="1"/>
    <col min="7439" max="7680" width="9.140625" style="29" hidden="1" customWidth="1"/>
    <col min="7681" max="7681" width="8.85546875" style="29" hidden="1" customWidth="1"/>
    <col min="7682" max="7682" width="11.85546875" style="29" hidden="1" customWidth="1"/>
    <col min="7683" max="7684" width="17.5703125" style="29" hidden="1" customWidth="1"/>
    <col min="7685" max="7685" width="12.42578125" style="29" hidden="1" customWidth="1"/>
    <col min="7686" max="7686" width="11.140625" style="29" hidden="1" customWidth="1"/>
    <col min="7687" max="7687" width="18.42578125" style="29" hidden="1" customWidth="1"/>
    <col min="7688" max="7692" width="17.5703125" style="29" hidden="1" customWidth="1"/>
    <col min="7693" max="7693" width="6.140625" style="29" hidden="1" customWidth="1"/>
    <col min="7694" max="7694" width="15.5703125" style="29" hidden="1" customWidth="1"/>
    <col min="7695" max="7936" width="9.140625" style="29" hidden="1" customWidth="1"/>
    <col min="7937" max="7937" width="8.85546875" style="29" hidden="1" customWidth="1"/>
    <col min="7938" max="7938" width="11.85546875" style="29" hidden="1" customWidth="1"/>
    <col min="7939" max="7940" width="17.5703125" style="29" hidden="1" customWidth="1"/>
    <col min="7941" max="7941" width="12.42578125" style="29" hidden="1" customWidth="1"/>
    <col min="7942" max="7942" width="11.140625" style="29" hidden="1" customWidth="1"/>
    <col min="7943" max="7943" width="18.42578125" style="29" hidden="1" customWidth="1"/>
    <col min="7944" max="7948" width="17.5703125" style="29" hidden="1" customWidth="1"/>
    <col min="7949" max="7949" width="6.140625" style="29" hidden="1" customWidth="1"/>
    <col min="7950" max="7950" width="15.5703125" style="29" hidden="1" customWidth="1"/>
    <col min="7951" max="8192" width="9.140625" style="29" hidden="1"/>
    <col min="8193" max="8193" width="8.85546875" style="29" hidden="1" customWidth="1"/>
    <col min="8194" max="8194" width="11.85546875" style="29" hidden="1" customWidth="1"/>
    <col min="8195" max="8196" width="17.5703125" style="29" hidden="1" customWidth="1"/>
    <col min="8197" max="8197" width="12.42578125" style="29" hidden="1" customWidth="1"/>
    <col min="8198" max="8198" width="11.140625" style="29" hidden="1" customWidth="1"/>
    <col min="8199" max="8199" width="18.42578125" style="29" hidden="1" customWidth="1"/>
    <col min="8200" max="8204" width="17.5703125" style="29" hidden="1" customWidth="1"/>
    <col min="8205" max="8205" width="6.140625" style="29" hidden="1" customWidth="1"/>
    <col min="8206" max="8206" width="15.5703125" style="29" hidden="1" customWidth="1"/>
    <col min="8207" max="8448" width="9.140625" style="29" hidden="1" customWidth="1"/>
    <col min="8449" max="8449" width="8.85546875" style="29" hidden="1" customWidth="1"/>
    <col min="8450" max="8450" width="11.85546875" style="29" hidden="1" customWidth="1"/>
    <col min="8451" max="8452" width="17.5703125" style="29" hidden="1" customWidth="1"/>
    <col min="8453" max="8453" width="12.42578125" style="29" hidden="1" customWidth="1"/>
    <col min="8454" max="8454" width="11.140625" style="29" hidden="1" customWidth="1"/>
    <col min="8455" max="8455" width="18.42578125" style="29" hidden="1" customWidth="1"/>
    <col min="8456" max="8460" width="17.5703125" style="29" hidden="1" customWidth="1"/>
    <col min="8461" max="8461" width="6.140625" style="29" hidden="1" customWidth="1"/>
    <col min="8462" max="8462" width="15.5703125" style="29" hidden="1" customWidth="1"/>
    <col min="8463" max="8704" width="9.140625" style="29" hidden="1" customWidth="1"/>
    <col min="8705" max="8705" width="8.85546875" style="29" hidden="1" customWidth="1"/>
    <col min="8706" max="8706" width="11.85546875" style="29" hidden="1" customWidth="1"/>
    <col min="8707" max="8708" width="17.5703125" style="29" hidden="1" customWidth="1"/>
    <col min="8709" max="8709" width="12.42578125" style="29" hidden="1" customWidth="1"/>
    <col min="8710" max="8710" width="11.140625" style="29" hidden="1" customWidth="1"/>
    <col min="8711" max="8711" width="18.42578125" style="29" hidden="1" customWidth="1"/>
    <col min="8712" max="8716" width="17.5703125" style="29" hidden="1" customWidth="1"/>
    <col min="8717" max="8717" width="6.140625" style="29" hidden="1" customWidth="1"/>
    <col min="8718" max="8718" width="15.5703125" style="29" hidden="1" customWidth="1"/>
    <col min="8719" max="8960" width="9.140625" style="29" hidden="1" customWidth="1"/>
    <col min="8961" max="8961" width="8.85546875" style="29" hidden="1" customWidth="1"/>
    <col min="8962" max="8962" width="11.85546875" style="29" hidden="1" customWidth="1"/>
    <col min="8963" max="8964" width="17.5703125" style="29" hidden="1" customWidth="1"/>
    <col min="8965" max="8965" width="12.42578125" style="29" hidden="1" customWidth="1"/>
    <col min="8966" max="8966" width="11.140625" style="29" hidden="1" customWidth="1"/>
    <col min="8967" max="8967" width="18.42578125" style="29" hidden="1" customWidth="1"/>
    <col min="8968" max="8972" width="17.5703125" style="29" hidden="1" customWidth="1"/>
    <col min="8973" max="8973" width="6.140625" style="29" hidden="1" customWidth="1"/>
    <col min="8974" max="8974" width="15.5703125" style="29" hidden="1" customWidth="1"/>
    <col min="8975" max="9216" width="9.140625" style="29" hidden="1"/>
    <col min="9217" max="9217" width="8.85546875" style="29" hidden="1" customWidth="1"/>
    <col min="9218" max="9218" width="11.85546875" style="29" hidden="1" customWidth="1"/>
    <col min="9219" max="9220" width="17.5703125" style="29" hidden="1" customWidth="1"/>
    <col min="9221" max="9221" width="12.42578125" style="29" hidden="1" customWidth="1"/>
    <col min="9222" max="9222" width="11.140625" style="29" hidden="1" customWidth="1"/>
    <col min="9223" max="9223" width="18.42578125" style="29" hidden="1" customWidth="1"/>
    <col min="9224" max="9228" width="17.5703125" style="29" hidden="1" customWidth="1"/>
    <col min="9229" max="9229" width="6.140625" style="29" hidden="1" customWidth="1"/>
    <col min="9230" max="9230" width="15.5703125" style="29" hidden="1" customWidth="1"/>
    <col min="9231" max="9472" width="9.140625" style="29" hidden="1" customWidth="1"/>
    <col min="9473" max="9473" width="8.85546875" style="29" hidden="1" customWidth="1"/>
    <col min="9474" max="9474" width="11.85546875" style="29" hidden="1" customWidth="1"/>
    <col min="9475" max="9476" width="17.5703125" style="29" hidden="1" customWidth="1"/>
    <col min="9477" max="9477" width="12.42578125" style="29" hidden="1" customWidth="1"/>
    <col min="9478" max="9478" width="11.140625" style="29" hidden="1" customWidth="1"/>
    <col min="9479" max="9479" width="18.42578125" style="29" hidden="1" customWidth="1"/>
    <col min="9480" max="9484" width="17.5703125" style="29" hidden="1" customWidth="1"/>
    <col min="9485" max="9485" width="6.140625" style="29" hidden="1" customWidth="1"/>
    <col min="9486" max="9486" width="15.5703125" style="29" hidden="1" customWidth="1"/>
    <col min="9487" max="9728" width="9.140625" style="29" hidden="1" customWidth="1"/>
    <col min="9729" max="9729" width="8.85546875" style="29" hidden="1" customWidth="1"/>
    <col min="9730" max="9730" width="11.85546875" style="29" hidden="1" customWidth="1"/>
    <col min="9731" max="9732" width="17.5703125" style="29" hidden="1" customWidth="1"/>
    <col min="9733" max="9733" width="12.42578125" style="29" hidden="1" customWidth="1"/>
    <col min="9734" max="9734" width="11.140625" style="29" hidden="1" customWidth="1"/>
    <col min="9735" max="9735" width="18.42578125" style="29" hidden="1" customWidth="1"/>
    <col min="9736" max="9740" width="17.5703125" style="29" hidden="1" customWidth="1"/>
    <col min="9741" max="9741" width="6.140625" style="29" hidden="1" customWidth="1"/>
    <col min="9742" max="9742" width="15.5703125" style="29" hidden="1" customWidth="1"/>
    <col min="9743" max="9984" width="9.140625" style="29" hidden="1" customWidth="1"/>
    <col min="9985" max="9985" width="8.85546875" style="29" hidden="1" customWidth="1"/>
    <col min="9986" max="9986" width="11.85546875" style="29" hidden="1" customWidth="1"/>
    <col min="9987" max="9988" width="17.5703125" style="29" hidden="1" customWidth="1"/>
    <col min="9989" max="9989" width="12.42578125" style="29" hidden="1" customWidth="1"/>
    <col min="9990" max="9990" width="11.140625" style="29" hidden="1" customWidth="1"/>
    <col min="9991" max="9991" width="18.42578125" style="29" hidden="1" customWidth="1"/>
    <col min="9992" max="9996" width="17.5703125" style="29" hidden="1" customWidth="1"/>
    <col min="9997" max="9997" width="6.140625" style="29" hidden="1" customWidth="1"/>
    <col min="9998" max="9998" width="15.5703125" style="29" hidden="1" customWidth="1"/>
    <col min="9999" max="10240" width="9.140625" style="29" hidden="1"/>
    <col min="10241" max="10241" width="8.85546875" style="29" hidden="1" customWidth="1"/>
    <col min="10242" max="10242" width="11.85546875" style="29" hidden="1" customWidth="1"/>
    <col min="10243" max="10244" width="17.5703125" style="29" hidden="1" customWidth="1"/>
    <col min="10245" max="10245" width="12.42578125" style="29" hidden="1" customWidth="1"/>
    <col min="10246" max="10246" width="11.140625" style="29" hidden="1" customWidth="1"/>
    <col min="10247" max="10247" width="18.42578125" style="29" hidden="1" customWidth="1"/>
    <col min="10248" max="10252" width="17.5703125" style="29" hidden="1" customWidth="1"/>
    <col min="10253" max="10253" width="6.140625" style="29" hidden="1" customWidth="1"/>
    <col min="10254" max="10254" width="15.5703125" style="29" hidden="1" customWidth="1"/>
    <col min="10255" max="10496" width="9.140625" style="29" hidden="1" customWidth="1"/>
    <col min="10497" max="10497" width="8.85546875" style="29" hidden="1" customWidth="1"/>
    <col min="10498" max="10498" width="11.85546875" style="29" hidden="1" customWidth="1"/>
    <col min="10499" max="10500" width="17.5703125" style="29" hidden="1" customWidth="1"/>
    <col min="10501" max="10501" width="12.42578125" style="29" hidden="1" customWidth="1"/>
    <col min="10502" max="10502" width="11.140625" style="29" hidden="1" customWidth="1"/>
    <col min="10503" max="10503" width="18.42578125" style="29" hidden="1" customWidth="1"/>
    <col min="10504" max="10508" width="17.5703125" style="29" hidden="1" customWidth="1"/>
    <col min="10509" max="10509" width="6.140625" style="29" hidden="1" customWidth="1"/>
    <col min="10510" max="10510" width="15.5703125" style="29" hidden="1" customWidth="1"/>
    <col min="10511" max="10752" width="9.140625" style="29" hidden="1" customWidth="1"/>
    <col min="10753" max="10753" width="8.85546875" style="29" hidden="1" customWidth="1"/>
    <col min="10754" max="10754" width="11.85546875" style="29" hidden="1" customWidth="1"/>
    <col min="10755" max="10756" width="17.5703125" style="29" hidden="1" customWidth="1"/>
    <col min="10757" max="10757" width="12.42578125" style="29" hidden="1" customWidth="1"/>
    <col min="10758" max="10758" width="11.140625" style="29" hidden="1" customWidth="1"/>
    <col min="10759" max="10759" width="18.42578125" style="29" hidden="1" customWidth="1"/>
    <col min="10760" max="10764" width="17.5703125" style="29" hidden="1" customWidth="1"/>
    <col min="10765" max="10765" width="6.140625" style="29" hidden="1" customWidth="1"/>
    <col min="10766" max="10766" width="15.5703125" style="29" hidden="1" customWidth="1"/>
    <col min="10767" max="11008" width="9.140625" style="29" hidden="1" customWidth="1"/>
    <col min="11009" max="11009" width="8.85546875" style="29" hidden="1" customWidth="1"/>
    <col min="11010" max="11010" width="11.85546875" style="29" hidden="1" customWidth="1"/>
    <col min="11011" max="11012" width="17.5703125" style="29" hidden="1" customWidth="1"/>
    <col min="11013" max="11013" width="12.42578125" style="29" hidden="1" customWidth="1"/>
    <col min="11014" max="11014" width="11.140625" style="29" hidden="1" customWidth="1"/>
    <col min="11015" max="11015" width="18.42578125" style="29" hidden="1" customWidth="1"/>
    <col min="11016" max="11020" width="17.5703125" style="29" hidden="1" customWidth="1"/>
    <col min="11021" max="11021" width="6.140625" style="29" hidden="1" customWidth="1"/>
    <col min="11022" max="11022" width="15.5703125" style="29" hidden="1" customWidth="1"/>
    <col min="11023" max="11264" width="9.140625" style="29" hidden="1"/>
    <col min="11265" max="11265" width="8.85546875" style="29" hidden="1" customWidth="1"/>
    <col min="11266" max="11266" width="11.85546875" style="29" hidden="1" customWidth="1"/>
    <col min="11267" max="11268" width="17.5703125" style="29" hidden="1" customWidth="1"/>
    <col min="11269" max="11269" width="12.42578125" style="29" hidden="1" customWidth="1"/>
    <col min="11270" max="11270" width="11.140625" style="29" hidden="1" customWidth="1"/>
    <col min="11271" max="11271" width="18.42578125" style="29" hidden="1" customWidth="1"/>
    <col min="11272" max="11276" width="17.5703125" style="29" hidden="1" customWidth="1"/>
    <col min="11277" max="11277" width="6.140625" style="29" hidden="1" customWidth="1"/>
    <col min="11278" max="11278" width="15.5703125" style="29" hidden="1" customWidth="1"/>
    <col min="11279" max="11520" width="9.140625" style="29" hidden="1" customWidth="1"/>
    <col min="11521" max="11521" width="8.85546875" style="29" hidden="1" customWidth="1"/>
    <col min="11522" max="11522" width="11.85546875" style="29" hidden="1" customWidth="1"/>
    <col min="11523" max="11524" width="17.5703125" style="29" hidden="1" customWidth="1"/>
    <col min="11525" max="11525" width="12.42578125" style="29" hidden="1" customWidth="1"/>
    <col min="11526" max="11526" width="11.140625" style="29" hidden="1" customWidth="1"/>
    <col min="11527" max="11527" width="18.42578125" style="29" hidden="1" customWidth="1"/>
    <col min="11528" max="11532" width="17.5703125" style="29" hidden="1" customWidth="1"/>
    <col min="11533" max="11533" width="6.140625" style="29" hidden="1" customWidth="1"/>
    <col min="11534" max="11534" width="15.5703125" style="29" hidden="1" customWidth="1"/>
    <col min="11535" max="11776" width="9.140625" style="29" hidden="1" customWidth="1"/>
    <col min="11777" max="11777" width="8.85546875" style="29" hidden="1" customWidth="1"/>
    <col min="11778" max="11778" width="11.85546875" style="29" hidden="1" customWidth="1"/>
    <col min="11779" max="11780" width="17.5703125" style="29" hidden="1" customWidth="1"/>
    <col min="11781" max="11781" width="12.42578125" style="29" hidden="1" customWidth="1"/>
    <col min="11782" max="11782" width="11.140625" style="29" hidden="1" customWidth="1"/>
    <col min="11783" max="11783" width="18.42578125" style="29" hidden="1" customWidth="1"/>
    <col min="11784" max="11788" width="17.5703125" style="29" hidden="1" customWidth="1"/>
    <col min="11789" max="11789" width="6.140625" style="29" hidden="1" customWidth="1"/>
    <col min="11790" max="11790" width="15.5703125" style="29" hidden="1" customWidth="1"/>
    <col min="11791" max="12032" width="9.140625" style="29" hidden="1" customWidth="1"/>
    <col min="12033" max="12033" width="8.85546875" style="29" hidden="1" customWidth="1"/>
    <col min="12034" max="12034" width="11.85546875" style="29" hidden="1" customWidth="1"/>
    <col min="12035" max="12036" width="17.5703125" style="29" hidden="1" customWidth="1"/>
    <col min="12037" max="12037" width="12.42578125" style="29" hidden="1" customWidth="1"/>
    <col min="12038" max="12038" width="11.140625" style="29" hidden="1" customWidth="1"/>
    <col min="12039" max="12039" width="18.42578125" style="29" hidden="1" customWidth="1"/>
    <col min="12040" max="12044" width="17.5703125" style="29" hidden="1" customWidth="1"/>
    <col min="12045" max="12045" width="6.140625" style="29" hidden="1" customWidth="1"/>
    <col min="12046" max="12046" width="15.5703125" style="29" hidden="1" customWidth="1"/>
    <col min="12047" max="12288" width="9.140625" style="29" hidden="1"/>
    <col min="12289" max="12289" width="8.85546875" style="29" hidden="1" customWidth="1"/>
    <col min="12290" max="12290" width="11.85546875" style="29" hidden="1" customWidth="1"/>
    <col min="12291" max="12292" width="17.5703125" style="29" hidden="1" customWidth="1"/>
    <col min="12293" max="12293" width="12.42578125" style="29" hidden="1" customWidth="1"/>
    <col min="12294" max="12294" width="11.140625" style="29" hidden="1" customWidth="1"/>
    <col min="12295" max="12295" width="18.42578125" style="29" hidden="1" customWidth="1"/>
    <col min="12296" max="12300" width="17.5703125" style="29" hidden="1" customWidth="1"/>
    <col min="12301" max="12301" width="6.140625" style="29" hidden="1" customWidth="1"/>
    <col min="12302" max="12302" width="15.5703125" style="29" hidden="1" customWidth="1"/>
    <col min="12303" max="12544" width="9.140625" style="29" hidden="1" customWidth="1"/>
    <col min="12545" max="12545" width="8.85546875" style="29" hidden="1" customWidth="1"/>
    <col min="12546" max="12546" width="11.85546875" style="29" hidden="1" customWidth="1"/>
    <col min="12547" max="12548" width="17.5703125" style="29" hidden="1" customWidth="1"/>
    <col min="12549" max="12549" width="12.42578125" style="29" hidden="1" customWidth="1"/>
    <col min="12550" max="12550" width="11.140625" style="29" hidden="1" customWidth="1"/>
    <col min="12551" max="12551" width="18.42578125" style="29" hidden="1" customWidth="1"/>
    <col min="12552" max="12556" width="17.5703125" style="29" hidden="1" customWidth="1"/>
    <col min="12557" max="12557" width="6.140625" style="29" hidden="1" customWidth="1"/>
    <col min="12558" max="12558" width="15.5703125" style="29" hidden="1" customWidth="1"/>
    <col min="12559" max="12800" width="9.140625" style="29" hidden="1" customWidth="1"/>
    <col min="12801" max="12801" width="8.85546875" style="29" hidden="1" customWidth="1"/>
    <col min="12802" max="12802" width="11.85546875" style="29" hidden="1" customWidth="1"/>
    <col min="12803" max="12804" width="17.5703125" style="29" hidden="1" customWidth="1"/>
    <col min="12805" max="12805" width="12.42578125" style="29" hidden="1" customWidth="1"/>
    <col min="12806" max="12806" width="11.140625" style="29" hidden="1" customWidth="1"/>
    <col min="12807" max="12807" width="18.42578125" style="29" hidden="1" customWidth="1"/>
    <col min="12808" max="12812" width="17.5703125" style="29" hidden="1" customWidth="1"/>
    <col min="12813" max="12813" width="6.140625" style="29" hidden="1" customWidth="1"/>
    <col min="12814" max="12814" width="15.5703125" style="29" hidden="1" customWidth="1"/>
    <col min="12815" max="13056" width="9.140625" style="29" hidden="1" customWidth="1"/>
    <col min="13057" max="13057" width="8.85546875" style="29" hidden="1" customWidth="1"/>
    <col min="13058" max="13058" width="11.85546875" style="29" hidden="1" customWidth="1"/>
    <col min="13059" max="13060" width="17.5703125" style="29" hidden="1" customWidth="1"/>
    <col min="13061" max="13061" width="12.42578125" style="29" hidden="1" customWidth="1"/>
    <col min="13062" max="13062" width="11.140625" style="29" hidden="1" customWidth="1"/>
    <col min="13063" max="13063" width="18.42578125" style="29" hidden="1" customWidth="1"/>
    <col min="13064" max="13068" width="17.5703125" style="29" hidden="1" customWidth="1"/>
    <col min="13069" max="13069" width="6.140625" style="29" hidden="1" customWidth="1"/>
    <col min="13070" max="13070" width="15.5703125" style="29" hidden="1" customWidth="1"/>
    <col min="13071" max="13312" width="9.140625" style="29" hidden="1"/>
    <col min="13313" max="13313" width="8.85546875" style="29" hidden="1" customWidth="1"/>
    <col min="13314" max="13314" width="11.85546875" style="29" hidden="1" customWidth="1"/>
    <col min="13315" max="13316" width="17.5703125" style="29" hidden="1" customWidth="1"/>
    <col min="13317" max="13317" width="12.42578125" style="29" hidden="1" customWidth="1"/>
    <col min="13318" max="13318" width="11.140625" style="29" hidden="1" customWidth="1"/>
    <col min="13319" max="13319" width="18.42578125" style="29" hidden="1" customWidth="1"/>
    <col min="13320" max="13324" width="17.5703125" style="29" hidden="1" customWidth="1"/>
    <col min="13325" max="13325" width="6.140625" style="29" hidden="1" customWidth="1"/>
    <col min="13326" max="13326" width="15.5703125" style="29" hidden="1" customWidth="1"/>
    <col min="13327" max="13568" width="9.140625" style="29" hidden="1" customWidth="1"/>
    <col min="13569" max="13569" width="8.85546875" style="29" hidden="1" customWidth="1"/>
    <col min="13570" max="13570" width="11.85546875" style="29" hidden="1" customWidth="1"/>
    <col min="13571" max="13572" width="17.5703125" style="29" hidden="1" customWidth="1"/>
    <col min="13573" max="13573" width="12.42578125" style="29" hidden="1" customWidth="1"/>
    <col min="13574" max="13574" width="11.140625" style="29" hidden="1" customWidth="1"/>
    <col min="13575" max="13575" width="18.42578125" style="29" hidden="1" customWidth="1"/>
    <col min="13576" max="13580" width="17.5703125" style="29" hidden="1" customWidth="1"/>
    <col min="13581" max="13581" width="6.140625" style="29" hidden="1" customWidth="1"/>
    <col min="13582" max="13582" width="15.5703125" style="29" hidden="1" customWidth="1"/>
    <col min="13583" max="13824" width="9.140625" style="29" hidden="1" customWidth="1"/>
    <col min="13825" max="13825" width="8.85546875" style="29" hidden="1" customWidth="1"/>
    <col min="13826" max="13826" width="11.85546875" style="29" hidden="1" customWidth="1"/>
    <col min="13827" max="13828" width="17.5703125" style="29" hidden="1" customWidth="1"/>
    <col min="13829" max="13829" width="12.42578125" style="29" hidden="1" customWidth="1"/>
    <col min="13830" max="13830" width="11.140625" style="29" hidden="1" customWidth="1"/>
    <col min="13831" max="13831" width="18.42578125" style="29" hidden="1" customWidth="1"/>
    <col min="13832" max="13836" width="17.5703125" style="29" hidden="1" customWidth="1"/>
    <col min="13837" max="13837" width="6.140625" style="29" hidden="1" customWidth="1"/>
    <col min="13838" max="13838" width="15.5703125" style="29" hidden="1" customWidth="1"/>
    <col min="13839" max="14080" width="9.140625" style="29" hidden="1" customWidth="1"/>
    <col min="14081" max="14081" width="8.85546875" style="29" hidden="1" customWidth="1"/>
    <col min="14082" max="14082" width="11.85546875" style="29" hidden="1" customWidth="1"/>
    <col min="14083" max="14084" width="17.5703125" style="29" hidden="1" customWidth="1"/>
    <col min="14085" max="14085" width="12.42578125" style="29" hidden="1" customWidth="1"/>
    <col min="14086" max="14086" width="11.140625" style="29" hidden="1" customWidth="1"/>
    <col min="14087" max="14087" width="18.42578125" style="29" hidden="1" customWidth="1"/>
    <col min="14088" max="14092" width="17.5703125" style="29" hidden="1" customWidth="1"/>
    <col min="14093" max="14093" width="6.140625" style="29" hidden="1" customWidth="1"/>
    <col min="14094" max="14094" width="15.5703125" style="29" hidden="1" customWidth="1"/>
    <col min="14095" max="14336" width="9.140625" style="29" hidden="1"/>
    <col min="14337" max="14337" width="8.85546875" style="29" hidden="1" customWidth="1"/>
    <col min="14338" max="14338" width="11.85546875" style="29" hidden="1" customWidth="1"/>
    <col min="14339" max="14340" width="17.5703125" style="29" hidden="1" customWidth="1"/>
    <col min="14341" max="14341" width="12.42578125" style="29" hidden="1" customWidth="1"/>
    <col min="14342" max="14342" width="11.140625" style="29" hidden="1" customWidth="1"/>
    <col min="14343" max="14343" width="18.42578125" style="29" hidden="1" customWidth="1"/>
    <col min="14344" max="14348" width="17.5703125" style="29" hidden="1" customWidth="1"/>
    <col min="14349" max="14349" width="6.140625" style="29" hidden="1" customWidth="1"/>
    <col min="14350" max="14350" width="15.5703125" style="29" hidden="1" customWidth="1"/>
    <col min="14351" max="14592" width="9.140625" style="29" hidden="1" customWidth="1"/>
    <col min="14593" max="14593" width="8.85546875" style="29" hidden="1" customWidth="1"/>
    <col min="14594" max="14594" width="11.85546875" style="29" hidden="1" customWidth="1"/>
    <col min="14595" max="14596" width="17.5703125" style="29" hidden="1" customWidth="1"/>
    <col min="14597" max="14597" width="12.42578125" style="29" hidden="1" customWidth="1"/>
    <col min="14598" max="14598" width="11.140625" style="29" hidden="1" customWidth="1"/>
    <col min="14599" max="14599" width="18.42578125" style="29" hidden="1" customWidth="1"/>
    <col min="14600" max="14604" width="17.5703125" style="29" hidden="1" customWidth="1"/>
    <col min="14605" max="14605" width="6.140625" style="29" hidden="1" customWidth="1"/>
    <col min="14606" max="14606" width="15.5703125" style="29" hidden="1" customWidth="1"/>
    <col min="14607" max="14848" width="9.140625" style="29" hidden="1" customWidth="1"/>
    <col min="14849" max="14849" width="8.85546875" style="29" hidden="1" customWidth="1"/>
    <col min="14850" max="14850" width="11.85546875" style="29" hidden="1" customWidth="1"/>
    <col min="14851" max="14852" width="17.5703125" style="29" hidden="1" customWidth="1"/>
    <col min="14853" max="14853" width="12.42578125" style="29" hidden="1" customWidth="1"/>
    <col min="14854" max="14854" width="11.140625" style="29" hidden="1" customWidth="1"/>
    <col min="14855" max="14855" width="18.42578125" style="29" hidden="1" customWidth="1"/>
    <col min="14856" max="14860" width="17.5703125" style="29" hidden="1" customWidth="1"/>
    <col min="14861" max="14861" width="6.140625" style="29" hidden="1" customWidth="1"/>
    <col min="14862" max="14862" width="15.5703125" style="29" hidden="1" customWidth="1"/>
    <col min="14863" max="15104" width="9.140625" style="29" hidden="1" customWidth="1"/>
    <col min="15105" max="15105" width="8.85546875" style="29" hidden="1" customWidth="1"/>
    <col min="15106" max="15106" width="11.85546875" style="29" hidden="1" customWidth="1"/>
    <col min="15107" max="15108" width="17.5703125" style="29" hidden="1" customWidth="1"/>
    <col min="15109" max="15109" width="12.42578125" style="29" hidden="1" customWidth="1"/>
    <col min="15110" max="15110" width="11.140625" style="29" hidden="1" customWidth="1"/>
    <col min="15111" max="15111" width="18.42578125" style="29" hidden="1" customWidth="1"/>
    <col min="15112" max="15116" width="17.5703125" style="29" hidden="1" customWidth="1"/>
    <col min="15117" max="15117" width="6.140625" style="29" hidden="1" customWidth="1"/>
    <col min="15118" max="15118" width="15.5703125" style="29" hidden="1" customWidth="1"/>
    <col min="15119" max="15360" width="9.140625" style="29" hidden="1"/>
    <col min="15361" max="15361" width="8.85546875" style="29" hidden="1" customWidth="1"/>
    <col min="15362" max="15362" width="11.85546875" style="29" hidden="1" customWidth="1"/>
    <col min="15363" max="15364" width="17.5703125" style="29" hidden="1" customWidth="1"/>
    <col min="15365" max="15365" width="12.42578125" style="29" hidden="1" customWidth="1"/>
    <col min="15366" max="15366" width="11.140625" style="29" hidden="1" customWidth="1"/>
    <col min="15367" max="15367" width="18.42578125" style="29" hidden="1" customWidth="1"/>
    <col min="15368" max="15372" width="17.5703125" style="29" hidden="1" customWidth="1"/>
    <col min="15373" max="15373" width="6.140625" style="29" hidden="1" customWidth="1"/>
    <col min="15374" max="15374" width="15.5703125" style="29" hidden="1" customWidth="1"/>
    <col min="15375" max="15616" width="9.140625" style="29" hidden="1" customWidth="1"/>
    <col min="15617" max="15617" width="8.85546875" style="29" hidden="1" customWidth="1"/>
    <col min="15618" max="15618" width="11.85546875" style="29" hidden="1" customWidth="1"/>
    <col min="15619" max="15620" width="17.5703125" style="29" hidden="1" customWidth="1"/>
    <col min="15621" max="15621" width="12.42578125" style="29" hidden="1" customWidth="1"/>
    <col min="15622" max="15622" width="11.140625" style="29" hidden="1" customWidth="1"/>
    <col min="15623" max="15623" width="18.42578125" style="29" hidden="1" customWidth="1"/>
    <col min="15624" max="15628" width="17.5703125" style="29" hidden="1" customWidth="1"/>
    <col min="15629" max="15629" width="6.140625" style="29" hidden="1" customWidth="1"/>
    <col min="15630" max="15630" width="15.5703125" style="29" hidden="1" customWidth="1"/>
    <col min="15631" max="15872" width="9.140625" style="29" hidden="1" customWidth="1"/>
    <col min="15873" max="15873" width="8.85546875" style="29" hidden="1" customWidth="1"/>
    <col min="15874" max="15874" width="11.85546875" style="29" hidden="1" customWidth="1"/>
    <col min="15875" max="15876" width="17.5703125" style="29" hidden="1" customWidth="1"/>
    <col min="15877" max="15877" width="12.42578125" style="29" hidden="1" customWidth="1"/>
    <col min="15878" max="15878" width="11.140625" style="29" hidden="1" customWidth="1"/>
    <col min="15879" max="15879" width="18.42578125" style="29" hidden="1" customWidth="1"/>
    <col min="15880" max="15884" width="17.5703125" style="29" hidden="1" customWidth="1"/>
    <col min="15885" max="15885" width="6.140625" style="29" hidden="1" customWidth="1"/>
    <col min="15886" max="15886" width="15.5703125" style="29" hidden="1" customWidth="1"/>
    <col min="15887" max="16128" width="9.140625" style="29" hidden="1" customWidth="1"/>
    <col min="16129" max="16129" width="8.85546875" style="29" hidden="1" customWidth="1"/>
    <col min="16130" max="16130" width="11.85546875" style="29" hidden="1" customWidth="1"/>
    <col min="16131" max="16132" width="17.5703125" style="29" hidden="1" customWidth="1"/>
    <col min="16133" max="16133" width="12.42578125" style="29" hidden="1" customWidth="1"/>
    <col min="16134" max="16134" width="11.140625" style="29" hidden="1" customWidth="1"/>
    <col min="16135" max="16135" width="18.42578125" style="29" hidden="1" customWidth="1"/>
    <col min="16136" max="16140" width="17.5703125" style="29" hidden="1" customWidth="1"/>
    <col min="16141" max="16141" width="6.140625" style="29" hidden="1" customWidth="1"/>
    <col min="16142" max="16143" width="15.5703125" style="29" hidden="1" customWidth="1"/>
    <col min="16144" max="16383" width="9.140625" style="29" hidden="1" customWidth="1"/>
    <col min="16384" max="16384" width="9.140625" style="29" hidden="1"/>
  </cols>
  <sheetData>
    <row r="1" spans="2:12" ht="15.6"/>
    <row r="2" spans="2:12" s="1" customFormat="1" ht="26.25" customHeight="1">
      <c r="B2" s="1" t="s">
        <v>830</v>
      </c>
    </row>
    <row r="3" spans="2:12" ht="17.45">
      <c r="J3" s="30"/>
      <c r="K3" s="30"/>
      <c r="L3" s="30"/>
    </row>
    <row r="4" spans="2:12" ht="17.45">
      <c r="B4" s="31" t="s">
        <v>831</v>
      </c>
      <c r="C4" s="31"/>
      <c r="D4" s="80" t="str">
        <f>Scheme_name_in</f>
        <v>Test</v>
      </c>
      <c r="E4" s="32"/>
      <c r="J4" s="30"/>
      <c r="K4" s="30"/>
      <c r="L4" s="30"/>
    </row>
    <row r="5" spans="2:12" ht="18" thickBot="1">
      <c r="B5" s="31"/>
      <c r="C5" s="31"/>
      <c r="D5" s="33"/>
      <c r="E5" s="34"/>
      <c r="J5" s="30"/>
      <c r="K5" s="30"/>
      <c r="L5" s="30"/>
    </row>
    <row r="6" spans="2:12" ht="22.5" customHeight="1" thickBot="1">
      <c r="B6" s="31" t="s">
        <v>832</v>
      </c>
      <c r="C6" s="31"/>
      <c r="D6" s="31"/>
      <c r="E6" s="35">
        <f>PV_base_year</f>
        <v>2010</v>
      </c>
      <c r="J6" s="30"/>
      <c r="K6" s="30"/>
      <c r="L6" s="30"/>
    </row>
    <row r="7" spans="2:12" ht="22.5" customHeight="1" thickBot="1">
      <c r="B7" s="31"/>
      <c r="C7" s="31"/>
      <c r="D7" s="31"/>
      <c r="E7" s="36"/>
      <c r="J7" s="30"/>
      <c r="K7" s="30"/>
      <c r="L7" s="30"/>
    </row>
    <row r="8" spans="2:12" ht="22.5" customHeight="1" thickBot="1">
      <c r="B8" s="31" t="s">
        <v>833</v>
      </c>
      <c r="C8" s="31"/>
      <c r="D8" s="31"/>
      <c r="E8" s="35">
        <f>Current_year</f>
        <v>2024</v>
      </c>
      <c r="J8" s="30"/>
      <c r="K8" s="30"/>
      <c r="L8" s="30"/>
    </row>
    <row r="9" spans="2:12" ht="18" thickBot="1">
      <c r="J9" s="30"/>
      <c r="K9" s="30"/>
      <c r="L9" s="30"/>
    </row>
    <row r="10" spans="2:12" ht="24.75" customHeight="1" thickBot="1">
      <c r="B10" s="31" t="s">
        <v>834</v>
      </c>
      <c r="C10" s="37"/>
      <c r="D10" s="37"/>
      <c r="E10" s="35">
        <f>Opening_year</f>
        <v>2025</v>
      </c>
      <c r="J10" s="30"/>
      <c r="K10" s="30"/>
      <c r="L10" s="30"/>
    </row>
    <row r="11" spans="2:12" ht="18" thickBot="1">
      <c r="B11" s="37"/>
      <c r="C11" s="37"/>
      <c r="D11" s="37"/>
      <c r="J11" s="30"/>
      <c r="K11" s="30"/>
      <c r="L11" s="30"/>
    </row>
    <row r="12" spans="2:12" ht="23.25" customHeight="1" thickBot="1">
      <c r="B12" s="31" t="s">
        <v>835</v>
      </c>
      <c r="C12" s="37"/>
      <c r="D12" s="37"/>
      <c r="E12" s="35" t="str">
        <f>Scheme_type_in</f>
        <v>road</v>
      </c>
      <c r="J12" s="30"/>
      <c r="K12" s="30"/>
      <c r="L12" s="30"/>
    </row>
    <row r="13" spans="2:12" ht="15" customHeight="1">
      <c r="B13" s="31"/>
      <c r="C13" s="37"/>
      <c r="D13" s="37"/>
      <c r="E13" s="30" t="s">
        <v>836</v>
      </c>
      <c r="J13" s="30"/>
      <c r="K13" s="30"/>
      <c r="L13" s="30"/>
    </row>
    <row r="14" spans="2:12" ht="15" customHeight="1" thickBot="1">
      <c r="B14" s="31"/>
      <c r="C14" s="37"/>
      <c r="D14" s="37"/>
      <c r="E14" s="30" t="s">
        <v>836</v>
      </c>
      <c r="J14" s="30"/>
      <c r="K14" s="30"/>
      <c r="L14" s="30"/>
    </row>
    <row r="15" spans="2:12" ht="15" customHeight="1" thickTop="1" thickBot="1">
      <c r="B15" s="38"/>
      <c r="C15" s="38"/>
      <c r="D15" s="38"/>
      <c r="E15" s="38"/>
      <c r="F15" s="38"/>
      <c r="G15" s="38"/>
      <c r="H15" s="38"/>
      <c r="I15" s="39"/>
      <c r="J15" s="30"/>
      <c r="K15" s="30"/>
      <c r="L15" s="30"/>
    </row>
    <row r="16" spans="2:12" ht="33" customHeight="1" thickBot="1">
      <c r="B16" s="69" t="s">
        <v>837</v>
      </c>
      <c r="C16" s="70"/>
      <c r="D16" s="70"/>
      <c r="E16" s="70"/>
      <c r="F16" s="71"/>
      <c r="G16" s="71"/>
      <c r="H16" s="72">
        <f>Total_noise_net_present_value</f>
        <v>0</v>
      </c>
      <c r="I16" s="45"/>
      <c r="J16" s="30"/>
      <c r="K16" s="30"/>
      <c r="L16" s="30"/>
    </row>
    <row r="17" spans="2:13" ht="32.25" customHeight="1" thickBot="1">
      <c r="B17" s="43"/>
      <c r="C17" s="43"/>
      <c r="D17" s="43"/>
      <c r="E17" s="43"/>
      <c r="F17" s="43"/>
      <c r="G17" s="43"/>
      <c r="H17" s="46" t="s">
        <v>838</v>
      </c>
      <c r="I17" s="46"/>
      <c r="J17" s="30"/>
      <c r="K17" s="30"/>
      <c r="L17" s="30"/>
      <c r="M17" s="47"/>
    </row>
    <row r="18" spans="2:13" ht="15" customHeight="1" thickTop="1" thickBot="1">
      <c r="B18" s="38"/>
      <c r="C18" s="38"/>
      <c r="D18" s="38"/>
      <c r="E18" s="38"/>
      <c r="F18" s="38"/>
      <c r="G18" s="38"/>
      <c r="H18" s="38"/>
      <c r="J18" s="30"/>
      <c r="K18" s="30"/>
      <c r="L18" s="30"/>
    </row>
    <row r="19" spans="2:13" ht="15" customHeight="1" thickBot="1">
      <c r="B19" s="41" t="s">
        <v>839</v>
      </c>
      <c r="C19" s="42"/>
      <c r="D19" s="42"/>
      <c r="E19" s="42"/>
      <c r="F19" s="43"/>
      <c r="G19" s="43"/>
      <c r="H19" s="44">
        <f>Total_discounted_sleep_disturbance_valuation</f>
        <v>0</v>
      </c>
      <c r="J19" s="30"/>
      <c r="K19" s="30"/>
      <c r="L19" s="30"/>
    </row>
    <row r="20" spans="2:13" ht="15" customHeight="1" thickBot="1">
      <c r="B20" s="41" t="s">
        <v>840</v>
      </c>
      <c r="C20" s="42"/>
      <c r="D20" s="42"/>
      <c r="E20" s="42"/>
      <c r="F20" s="43"/>
      <c r="G20" s="43"/>
      <c r="H20" s="44">
        <f>Total_discounted_amenity_valuation</f>
        <v>0</v>
      </c>
      <c r="J20" s="30"/>
      <c r="K20" s="30"/>
      <c r="L20" s="30"/>
    </row>
    <row r="21" spans="2:13" ht="15" customHeight="1" thickBot="1">
      <c r="B21" s="41" t="s">
        <v>841</v>
      </c>
      <c r="C21" s="42"/>
      <c r="D21" s="42"/>
      <c r="E21" s="42"/>
      <c r="F21" s="43"/>
      <c r="G21" s="43"/>
      <c r="H21" s="44">
        <f>Total_discounted_AMI_valuation</f>
        <v>0</v>
      </c>
      <c r="J21" s="30"/>
      <c r="K21" s="30"/>
      <c r="L21" s="30"/>
    </row>
    <row r="22" spans="2:13" ht="15" customHeight="1" thickBot="1">
      <c r="B22" s="41" t="s">
        <v>842</v>
      </c>
      <c r="C22" s="42"/>
      <c r="D22" s="42"/>
      <c r="E22" s="42"/>
      <c r="F22" s="43"/>
      <c r="G22" s="43"/>
      <c r="H22" s="44">
        <f>Total_discounted_stroke_valuation</f>
        <v>0</v>
      </c>
      <c r="J22" s="30"/>
      <c r="K22" s="30"/>
      <c r="L22" s="30"/>
    </row>
    <row r="23" spans="2:13" ht="15" customHeight="1" thickBot="1">
      <c r="B23" s="41" t="s">
        <v>843</v>
      </c>
      <c r="C23" s="42"/>
      <c r="D23" s="42"/>
      <c r="E23" s="42"/>
      <c r="F23" s="43"/>
      <c r="G23" s="43"/>
      <c r="H23" s="44">
        <f>Total_discounted_dementia_valuation</f>
        <v>0</v>
      </c>
      <c r="J23" s="30"/>
      <c r="K23" s="30"/>
      <c r="L23" s="30"/>
    </row>
    <row r="24" spans="2:13" ht="15" customHeight="1" thickBot="1">
      <c r="B24" s="37"/>
      <c r="C24" s="37"/>
      <c r="D24" s="37"/>
      <c r="E24" s="37"/>
      <c r="F24" s="37"/>
      <c r="G24" s="37"/>
      <c r="J24" s="30"/>
      <c r="K24" s="30"/>
      <c r="L24" s="30"/>
    </row>
    <row r="25" spans="2:13" ht="15" customHeight="1" thickTop="1">
      <c r="B25" s="48"/>
      <c r="C25" s="48"/>
      <c r="D25" s="48"/>
      <c r="E25" s="48"/>
      <c r="F25" s="48"/>
      <c r="G25" s="48"/>
      <c r="H25" s="38"/>
      <c r="J25" s="30"/>
      <c r="K25" s="30"/>
      <c r="L25" s="30"/>
    </row>
    <row r="26" spans="2:13" ht="15" customHeight="1">
      <c r="B26" s="33" t="s">
        <v>844</v>
      </c>
      <c r="C26" s="37"/>
      <c r="D26" s="37"/>
      <c r="E26" s="37"/>
      <c r="F26" s="37"/>
      <c r="G26" s="37"/>
      <c r="J26" s="30"/>
      <c r="K26" s="30"/>
      <c r="L26" s="30"/>
    </row>
    <row r="27" spans="2:13" ht="15" customHeight="1" thickBot="1">
      <c r="B27" s="33"/>
      <c r="C27" s="37"/>
      <c r="D27" s="37"/>
      <c r="E27" s="37"/>
      <c r="F27" s="37"/>
      <c r="G27" s="37"/>
      <c r="J27" s="30"/>
      <c r="K27" s="30"/>
      <c r="L27" s="30"/>
    </row>
    <row r="28" spans="2:13" ht="15" customHeight="1" thickBot="1">
      <c r="B28" s="37" t="s">
        <v>845</v>
      </c>
      <c r="C28" s="37"/>
      <c r="D28" s="37"/>
      <c r="E28" s="37"/>
      <c r="F28" s="37"/>
      <c r="G28" s="37"/>
      <c r="H28" s="35">
        <f>Total_HH_increase_day</f>
        <v>0</v>
      </c>
      <c r="J28" s="30"/>
      <c r="K28" s="30"/>
      <c r="L28" s="30"/>
    </row>
    <row r="29" spans="2:13" ht="15" customHeight="1" thickBot="1">
      <c r="B29" s="37" t="s">
        <v>846</v>
      </c>
      <c r="C29" s="37"/>
      <c r="D29" s="37"/>
      <c r="E29" s="37"/>
      <c r="F29" s="37"/>
      <c r="G29" s="37"/>
      <c r="H29" s="35">
        <f>Total_HH_reduction_day</f>
        <v>0</v>
      </c>
      <c r="J29" s="30"/>
      <c r="K29" s="30"/>
      <c r="L29" s="30"/>
    </row>
    <row r="30" spans="2:13" ht="15" customHeight="1" thickBot="1">
      <c r="B30" s="37" t="s">
        <v>847</v>
      </c>
      <c r="C30" s="37"/>
      <c r="D30" s="37"/>
      <c r="E30" s="37"/>
      <c r="F30" s="37"/>
      <c r="G30" s="37"/>
      <c r="H30" s="35" t="str">
        <f>Total_HH_increase_night</f>
        <v>n/a</v>
      </c>
      <c r="J30" s="30"/>
      <c r="K30" s="30"/>
      <c r="L30" s="30"/>
    </row>
    <row r="31" spans="2:13" ht="15" customHeight="1" thickBot="1">
      <c r="B31" s="37" t="s">
        <v>848</v>
      </c>
      <c r="C31" s="37"/>
      <c r="D31" s="37"/>
      <c r="E31" s="37"/>
      <c r="F31" s="37"/>
      <c r="G31" s="37"/>
      <c r="H31" s="35" t="str">
        <f>Total_HH_reduction_night</f>
        <v>n/a</v>
      </c>
      <c r="J31" s="30"/>
      <c r="K31" s="30"/>
      <c r="L31" s="30"/>
    </row>
    <row r="32" spans="2:13" ht="15" customHeight="1" thickBot="1">
      <c r="B32" s="37"/>
      <c r="C32" s="37"/>
      <c r="D32" s="37"/>
      <c r="E32" s="37"/>
      <c r="F32" s="37"/>
      <c r="G32" s="37"/>
      <c r="J32" s="30"/>
      <c r="K32" s="30"/>
      <c r="L32" s="30"/>
    </row>
    <row r="33" spans="2:13" ht="15" customHeight="1" thickTop="1">
      <c r="B33" s="48"/>
      <c r="C33" s="48"/>
      <c r="D33" s="48"/>
      <c r="E33" s="48"/>
      <c r="F33" s="48"/>
      <c r="G33" s="48"/>
      <c r="H33" s="38"/>
      <c r="I33" s="39"/>
      <c r="J33" s="30"/>
      <c r="K33" s="30"/>
      <c r="L33" s="30"/>
    </row>
    <row r="34" spans="2:13" ht="15" customHeight="1">
      <c r="B34" s="40" t="s">
        <v>849</v>
      </c>
      <c r="C34" s="49"/>
      <c r="D34" s="49"/>
      <c r="E34" s="49"/>
      <c r="F34" s="49"/>
      <c r="G34" s="49"/>
      <c r="H34" s="50"/>
      <c r="I34" s="50"/>
      <c r="J34" s="30"/>
      <c r="K34" s="30"/>
      <c r="L34" s="30"/>
      <c r="M34" s="51"/>
    </row>
    <row r="35" spans="2:13" ht="15" customHeight="1">
      <c r="B35" s="39"/>
      <c r="C35" s="39"/>
      <c r="D35" s="39"/>
      <c r="E35" s="39"/>
      <c r="F35" s="39"/>
      <c r="G35" s="39"/>
      <c r="H35" s="39"/>
      <c r="I35" s="39"/>
      <c r="J35" s="30"/>
      <c r="K35" s="30"/>
      <c r="L35" s="30"/>
    </row>
    <row r="36" spans="2:13" ht="15" customHeight="1">
      <c r="B36" s="39"/>
      <c r="C36" s="39"/>
      <c r="D36" s="39"/>
      <c r="E36" s="39"/>
      <c r="F36" s="39"/>
      <c r="G36" s="39"/>
      <c r="H36" s="39"/>
      <c r="I36" s="39"/>
      <c r="J36" s="30"/>
      <c r="K36" s="30"/>
      <c r="L36" s="30"/>
    </row>
    <row r="37" spans="2:13" ht="15" customHeight="1">
      <c r="B37" s="39"/>
      <c r="C37" s="39"/>
      <c r="D37" s="39"/>
      <c r="E37" s="39"/>
      <c r="F37" s="39"/>
      <c r="G37" s="39"/>
      <c r="H37" s="39"/>
      <c r="I37" s="39"/>
      <c r="J37" s="30"/>
      <c r="K37" s="30"/>
      <c r="L37" s="30"/>
    </row>
    <row r="38" spans="2:13" ht="15" customHeight="1">
      <c r="B38" s="39"/>
      <c r="C38" s="39"/>
      <c r="D38" s="39"/>
      <c r="E38" s="39"/>
      <c r="F38" s="39"/>
      <c r="G38" s="39"/>
      <c r="H38" s="39"/>
      <c r="I38" s="39"/>
      <c r="J38" s="30"/>
      <c r="K38" s="30"/>
      <c r="L38" s="30"/>
    </row>
    <row r="39" spans="2:13" ht="15" customHeight="1">
      <c r="B39" s="39"/>
      <c r="C39" s="39"/>
      <c r="D39" s="39"/>
      <c r="E39" s="39"/>
      <c r="F39" s="39"/>
      <c r="G39" s="39"/>
      <c r="H39" s="39"/>
      <c r="I39" s="39"/>
      <c r="J39" s="30"/>
      <c r="K39" s="30"/>
      <c r="L39" s="30"/>
    </row>
    <row r="40" spans="2:13" ht="15" customHeight="1" thickBot="1">
      <c r="B40" s="52"/>
      <c r="C40" s="52"/>
      <c r="D40" s="52"/>
      <c r="E40" s="52"/>
      <c r="F40" s="52"/>
      <c r="G40" s="52"/>
      <c r="H40" s="52"/>
      <c r="I40" s="39"/>
      <c r="J40" s="30"/>
      <c r="K40" s="30"/>
      <c r="L40" s="30"/>
    </row>
    <row r="41" spans="2:13" ht="15" customHeight="1" thickTop="1">
      <c r="J41" s="30"/>
      <c r="K41" s="30"/>
      <c r="L41" s="30"/>
    </row>
    <row r="42" spans="2:13" ht="15" customHeight="1">
      <c r="B42" s="40" t="s">
        <v>850</v>
      </c>
      <c r="C42" s="39"/>
      <c r="D42" s="39"/>
      <c r="E42" s="39"/>
      <c r="F42" s="39"/>
      <c r="G42" s="39"/>
      <c r="H42" s="39"/>
      <c r="I42" s="39"/>
      <c r="J42" s="30"/>
      <c r="K42" s="30"/>
      <c r="L42" s="30"/>
    </row>
    <row r="43" spans="2:13" ht="15" customHeight="1">
      <c r="B43" s="39"/>
      <c r="C43" s="39"/>
      <c r="D43" s="39"/>
      <c r="E43" s="39"/>
      <c r="F43" s="39"/>
      <c r="G43" s="39"/>
      <c r="H43" s="39"/>
      <c r="I43" s="39"/>
      <c r="J43" s="30"/>
      <c r="K43" s="30"/>
      <c r="L43" s="30"/>
    </row>
    <row r="44" spans="2:13" ht="15" customHeight="1">
      <c r="B44" s="39"/>
      <c r="C44" s="39"/>
      <c r="D44" s="39"/>
      <c r="E44" s="39"/>
      <c r="F44" s="39"/>
      <c r="G44" s="39"/>
      <c r="H44" s="39"/>
      <c r="I44" s="39"/>
      <c r="J44" s="30"/>
      <c r="K44" s="30"/>
      <c r="L44" s="30"/>
    </row>
    <row r="45" spans="2:13" ht="15" customHeight="1">
      <c r="B45" s="39"/>
      <c r="C45" s="39"/>
      <c r="D45" s="39"/>
      <c r="E45" s="39"/>
      <c r="F45" s="39"/>
      <c r="G45" s="39"/>
      <c r="H45" s="39"/>
      <c r="I45" s="39"/>
      <c r="J45" s="30"/>
      <c r="K45" s="30"/>
      <c r="L45" s="30"/>
    </row>
    <row r="46" spans="2:13" ht="15" customHeight="1">
      <c r="B46" s="39"/>
      <c r="C46" s="39"/>
      <c r="D46" s="39"/>
      <c r="E46" s="39"/>
      <c r="F46" s="39"/>
      <c r="G46" s="39"/>
      <c r="H46" s="39"/>
      <c r="I46" s="39"/>
      <c r="J46" s="30"/>
      <c r="K46" s="30"/>
      <c r="L46" s="30"/>
    </row>
    <row r="47" spans="2:13" ht="15" customHeight="1">
      <c r="B47" s="39"/>
      <c r="C47" s="39"/>
      <c r="D47" s="39"/>
      <c r="E47" s="39"/>
      <c r="F47" s="39"/>
      <c r="G47" s="39"/>
      <c r="H47" s="39"/>
      <c r="I47" s="39"/>
      <c r="J47" s="30"/>
      <c r="K47" s="30"/>
      <c r="L47" s="30"/>
    </row>
    <row r="48" spans="2:13" ht="15" customHeight="1" thickBot="1">
      <c r="B48" s="52"/>
      <c r="C48" s="52"/>
      <c r="D48" s="52"/>
      <c r="E48" s="52"/>
      <c r="F48" s="52"/>
      <c r="G48" s="52"/>
      <c r="H48" s="52"/>
      <c r="I48" s="39"/>
      <c r="J48" s="30"/>
      <c r="K48" s="30"/>
      <c r="L48" s="30"/>
    </row>
    <row r="49" spans="2:28" ht="28.5" customHeight="1" thickTop="1">
      <c r="B49" s="31"/>
      <c r="C49" s="37"/>
      <c r="D49" s="37"/>
      <c r="J49" s="30"/>
      <c r="K49" s="30"/>
      <c r="L49" s="30"/>
    </row>
    <row r="50" spans="2:28" ht="17.45" hidden="1">
      <c r="J50" s="30"/>
      <c r="K50" s="30"/>
      <c r="L50" s="30"/>
    </row>
    <row r="51" spans="2:28" ht="17.45" hidden="1">
      <c r="J51" s="30"/>
      <c r="K51" s="30"/>
      <c r="L51" s="30"/>
    </row>
    <row r="52" spans="2:28" ht="17.45" hidden="1">
      <c r="J52" s="30"/>
      <c r="K52" s="30"/>
      <c r="L52" s="30"/>
    </row>
    <row r="53" spans="2:28" ht="17.45" hidden="1">
      <c r="J53" s="30"/>
      <c r="K53" s="30"/>
      <c r="L53" s="30"/>
    </row>
    <row r="54" spans="2:28" ht="17.45" hidden="1">
      <c r="J54" s="30"/>
      <c r="K54" s="30"/>
      <c r="L54" s="30"/>
    </row>
    <row r="55" spans="2:28" ht="24" hidden="1" customHeight="1">
      <c r="J55" s="30"/>
      <c r="K55" s="30"/>
      <c r="L55" s="30"/>
    </row>
    <row r="56" spans="2:28" ht="17.45" hidden="1">
      <c r="J56" s="30"/>
      <c r="K56" s="30"/>
      <c r="L56" s="30"/>
    </row>
    <row r="57" spans="2:28" ht="17.45" hidden="1">
      <c r="J57" s="30"/>
      <c r="K57" s="30"/>
      <c r="L57" s="30"/>
    </row>
    <row r="58" spans="2:28" ht="24" hidden="1" customHeight="1">
      <c r="J58" s="30"/>
      <c r="K58" s="30"/>
      <c r="L58" s="30"/>
    </row>
    <row r="59" spans="2:28" ht="17.45" hidden="1">
      <c r="J59" s="30"/>
      <c r="K59" s="30"/>
      <c r="L59" s="30"/>
    </row>
    <row r="60" spans="2:28" ht="14.25" hidden="1" customHeight="1">
      <c r="J60" s="30"/>
      <c r="K60" s="30"/>
      <c r="L60" s="30"/>
    </row>
    <row r="61" spans="2:28" ht="17.45" hidden="1">
      <c r="J61" s="30"/>
      <c r="K61" s="30"/>
      <c r="L61" s="30"/>
    </row>
    <row r="62" spans="2:28" ht="17.45" hidden="1">
      <c r="J62" s="30"/>
      <c r="K62" s="30"/>
      <c r="L62" s="30"/>
    </row>
    <row r="63" spans="2:28" s="51" customFormat="1" ht="17.45" hidden="1">
      <c r="B63" s="29"/>
      <c r="C63" s="29"/>
      <c r="D63" s="29"/>
      <c r="E63" s="29"/>
      <c r="F63" s="29"/>
      <c r="G63" s="29"/>
      <c r="H63" s="29"/>
      <c r="I63" s="29"/>
      <c r="J63" s="30"/>
      <c r="K63" s="30"/>
      <c r="L63" s="30"/>
      <c r="M63" s="29"/>
      <c r="N63" s="29"/>
      <c r="O63" s="29"/>
      <c r="P63" s="29"/>
      <c r="Q63" s="29"/>
      <c r="R63" s="29"/>
      <c r="S63" s="29"/>
      <c r="T63" s="29"/>
      <c r="U63" s="29"/>
      <c r="V63" s="29"/>
      <c r="W63" s="29"/>
      <c r="X63" s="29"/>
      <c r="Y63" s="29"/>
      <c r="Z63" s="29"/>
      <c r="AA63" s="29"/>
      <c r="AB63" s="29"/>
    </row>
    <row r="64" spans="2:28" ht="17.45" hidden="1">
      <c r="J64" s="30"/>
      <c r="K64" s="30"/>
      <c r="L64" s="30"/>
    </row>
    <row r="65" spans="2:28" ht="17.45" hidden="1">
      <c r="B65" s="51"/>
      <c r="C65" s="51"/>
      <c r="D65" s="51"/>
      <c r="E65" s="51"/>
      <c r="F65" s="51"/>
      <c r="G65" s="51"/>
      <c r="H65" s="51"/>
      <c r="I65" s="51"/>
      <c r="J65" s="30"/>
      <c r="K65" s="30"/>
      <c r="L65" s="30"/>
      <c r="M65" s="51"/>
      <c r="N65" s="51"/>
      <c r="O65" s="51"/>
      <c r="P65" s="51"/>
      <c r="Q65" s="51"/>
      <c r="R65" s="51"/>
      <c r="S65" s="51"/>
      <c r="T65" s="51"/>
      <c r="U65" s="51"/>
      <c r="V65" s="51"/>
      <c r="W65" s="51"/>
      <c r="X65" s="51"/>
      <c r="Y65" s="51"/>
      <c r="Z65" s="51"/>
      <c r="AA65" s="51"/>
      <c r="AB65" s="51"/>
    </row>
    <row r="66" spans="2:28" ht="17.45" hidden="1">
      <c r="J66" s="30"/>
      <c r="K66" s="30"/>
      <c r="L66" s="30"/>
    </row>
    <row r="67" spans="2:28" ht="17.45" hidden="1">
      <c r="J67" s="30"/>
      <c r="K67" s="30"/>
      <c r="L67" s="30"/>
    </row>
    <row r="68" spans="2:28" ht="17.45" hidden="1">
      <c r="J68" s="30"/>
      <c r="K68" s="30"/>
      <c r="L68" s="30"/>
    </row>
    <row r="69" spans="2:28" ht="17.45" hidden="1">
      <c r="J69" s="30"/>
      <c r="K69" s="30"/>
      <c r="L69" s="30"/>
    </row>
    <row r="70" spans="2:28" ht="17.45" hidden="1">
      <c r="J70" s="30"/>
      <c r="K70" s="30"/>
      <c r="L70" s="30"/>
    </row>
    <row r="71" spans="2:28" ht="17.45" hidden="1">
      <c r="J71" s="30"/>
      <c r="K71" s="30"/>
      <c r="L71" s="30"/>
    </row>
    <row r="72" spans="2:28" ht="17.45" hidden="1">
      <c r="J72" s="30"/>
      <c r="K72" s="30"/>
      <c r="L72" s="30"/>
    </row>
    <row r="73" spans="2:28" ht="17.45" hidden="1">
      <c r="J73" s="30"/>
      <c r="K73" s="30"/>
      <c r="L73" s="30"/>
    </row>
    <row r="74" spans="2:28" ht="17.45" hidden="1">
      <c r="J74" s="30"/>
      <c r="K74" s="30"/>
      <c r="L74" s="30"/>
    </row>
    <row r="75" spans="2:28" ht="17.45" hidden="1">
      <c r="J75" s="30"/>
      <c r="K75" s="30"/>
      <c r="L75" s="30"/>
    </row>
    <row r="76" spans="2:28" ht="17.45" hidden="1">
      <c r="J76" s="30"/>
      <c r="K76" s="30"/>
      <c r="L76" s="30"/>
    </row>
    <row r="77" spans="2:28" ht="17.45" hidden="1">
      <c r="J77" s="30"/>
      <c r="K77" s="30"/>
      <c r="L77" s="30"/>
    </row>
    <row r="78" spans="2:28" ht="24" hidden="1" customHeight="1">
      <c r="J78" s="30"/>
      <c r="K78" s="30"/>
      <c r="L78" s="30"/>
    </row>
    <row r="79" spans="2:28" ht="17.45" hidden="1">
      <c r="J79" s="30"/>
      <c r="K79" s="30"/>
      <c r="L79" s="30"/>
    </row>
    <row r="80" spans="2:28" ht="24" hidden="1" customHeight="1">
      <c r="J80" s="30"/>
      <c r="K80" s="30"/>
      <c r="L80" s="30"/>
    </row>
    <row r="81" spans="10:12" ht="17.45" hidden="1">
      <c r="J81" s="30"/>
      <c r="K81" s="30"/>
      <c r="L81" s="30"/>
    </row>
    <row r="82" spans="10:12" ht="17.45" hidden="1">
      <c r="J82" s="30"/>
      <c r="K82" s="30"/>
      <c r="L82" s="30"/>
    </row>
    <row r="83" spans="10:12" ht="17.45" hidden="1">
      <c r="J83" s="30"/>
      <c r="K83" s="30"/>
      <c r="L83" s="30"/>
    </row>
    <row r="84" spans="10:12" ht="17.45" hidden="1">
      <c r="J84" s="30"/>
      <c r="K84" s="30"/>
      <c r="L84" s="30"/>
    </row>
    <row r="85" spans="10:12" ht="17.45" hidden="1">
      <c r="J85" s="30"/>
      <c r="K85" s="30"/>
      <c r="L85" s="30"/>
    </row>
    <row r="86" spans="10:12" ht="17.45" hidden="1">
      <c r="J86" s="30"/>
      <c r="K86" s="30"/>
      <c r="L86" s="30"/>
    </row>
    <row r="87" spans="10:12" ht="17.45" hidden="1">
      <c r="J87" s="30"/>
      <c r="K87" s="30"/>
      <c r="L87" s="30"/>
    </row>
    <row r="88" spans="10:12" ht="17.45" hidden="1">
      <c r="J88" s="30"/>
      <c r="K88" s="30"/>
      <c r="L88" s="30"/>
    </row>
    <row r="89" spans="10:12" ht="17.45" hidden="1">
      <c r="J89" s="30"/>
      <c r="K89" s="30"/>
      <c r="L89" s="30"/>
    </row>
    <row r="90" spans="10:12" ht="17.45" hidden="1">
      <c r="J90" s="30"/>
      <c r="K90" s="30"/>
      <c r="L90" s="30"/>
    </row>
    <row r="91" spans="10:12" ht="17.45" hidden="1">
      <c r="J91" s="30"/>
      <c r="K91" s="30"/>
      <c r="L91" s="30"/>
    </row>
    <row r="92" spans="10:12" ht="17.45" hidden="1">
      <c r="J92" s="30"/>
      <c r="K92" s="30"/>
      <c r="L92" s="30"/>
    </row>
    <row r="93" spans="10:12" ht="17.45" hidden="1">
      <c r="J93" s="30"/>
      <c r="K93" s="30"/>
      <c r="L93" s="30"/>
    </row>
    <row r="94" spans="10:12" ht="17.45" hidden="1">
      <c r="J94" s="30"/>
      <c r="K94" s="30"/>
      <c r="L94" s="30"/>
    </row>
    <row r="95" spans="10:12" ht="17.45" hidden="1">
      <c r="J95" s="30"/>
      <c r="K95" s="30"/>
      <c r="L95" s="30"/>
    </row>
    <row r="96" spans="10:12" ht="17.45" hidden="1">
      <c r="J96" s="30"/>
      <c r="K96" s="30"/>
      <c r="L96" s="30"/>
    </row>
    <row r="97" spans="10:12" ht="17.45" hidden="1">
      <c r="J97" s="30"/>
      <c r="K97" s="30"/>
      <c r="L97" s="30"/>
    </row>
    <row r="98" spans="10:12" ht="17.45" hidden="1">
      <c r="J98" s="30"/>
      <c r="K98" s="30"/>
      <c r="L98" s="30"/>
    </row>
    <row r="99" spans="10:12" ht="17.45" hidden="1">
      <c r="J99" s="30"/>
      <c r="K99" s="30"/>
      <c r="L99" s="30"/>
    </row>
    <row r="100" spans="10:12" ht="17.45" hidden="1">
      <c r="J100" s="30"/>
      <c r="K100" s="30"/>
      <c r="L100" s="30"/>
    </row>
    <row r="101" spans="10:12" ht="17.45" hidden="1">
      <c r="J101" s="30"/>
      <c r="K101" s="30"/>
      <c r="L101" s="30"/>
    </row>
    <row r="102" spans="10:12" ht="17.45" hidden="1">
      <c r="J102" s="30"/>
      <c r="K102" s="30"/>
      <c r="L102" s="30"/>
    </row>
    <row r="103" spans="10:12" ht="17.45" hidden="1">
      <c r="J103" s="30"/>
      <c r="K103" s="30"/>
      <c r="L103" s="30"/>
    </row>
    <row r="104" spans="10:12" ht="17.45" hidden="1">
      <c r="J104" s="30"/>
      <c r="K104" s="30"/>
      <c r="L104" s="30"/>
    </row>
    <row r="105" spans="10:12" ht="17.45" hidden="1">
      <c r="J105" s="30"/>
      <c r="K105" s="30"/>
      <c r="L105" s="30"/>
    </row>
    <row r="106" spans="10:12" ht="17.45" hidden="1">
      <c r="J106" s="30"/>
      <c r="K106" s="30"/>
      <c r="L106" s="30"/>
    </row>
    <row r="107" spans="10:12" ht="17.45" hidden="1">
      <c r="J107" s="30"/>
      <c r="K107" s="30"/>
      <c r="L107" s="30"/>
    </row>
    <row r="108" spans="10:12" ht="17.45" hidden="1">
      <c r="J108" s="30"/>
      <c r="K108" s="30"/>
      <c r="L108" s="30"/>
    </row>
    <row r="109" spans="10:12" ht="17.45" hidden="1">
      <c r="J109" s="30"/>
      <c r="K109" s="30"/>
      <c r="L109" s="30"/>
    </row>
    <row r="110" spans="10:12" ht="17.45" hidden="1">
      <c r="J110" s="30"/>
      <c r="K110" s="30"/>
      <c r="L110" s="30"/>
    </row>
    <row r="111" spans="10:12" ht="17.45" hidden="1">
      <c r="J111" s="30"/>
      <c r="K111" s="30"/>
      <c r="L111" s="30"/>
    </row>
    <row r="112" spans="10:12" ht="17.45" hidden="1">
      <c r="J112" s="30"/>
      <c r="K112" s="30"/>
      <c r="L112" s="30"/>
    </row>
    <row r="113" spans="10:12" ht="17.45" hidden="1">
      <c r="J113" s="30"/>
      <c r="K113" s="30"/>
      <c r="L113" s="30"/>
    </row>
    <row r="114" spans="10:12" ht="17.45" hidden="1">
      <c r="J114" s="30"/>
      <c r="K114" s="30"/>
      <c r="L114" s="30"/>
    </row>
    <row r="115" spans="10:12" ht="17.45" hidden="1">
      <c r="J115" s="30"/>
      <c r="K115" s="30"/>
      <c r="L115" s="30"/>
    </row>
    <row r="116" spans="10:12" ht="17.45" hidden="1">
      <c r="J116" s="30"/>
      <c r="K116" s="30"/>
      <c r="L116" s="30"/>
    </row>
    <row r="117" spans="10:12" ht="17.45" hidden="1">
      <c r="J117" s="30"/>
      <c r="K117" s="30"/>
      <c r="L117" s="30"/>
    </row>
    <row r="118" spans="10:12" ht="17.45" hidden="1">
      <c r="J118" s="30"/>
      <c r="K118" s="30"/>
      <c r="L118" s="30"/>
    </row>
    <row r="119" spans="10:12" ht="17.45" hidden="1">
      <c r="J119" s="30"/>
      <c r="K119" s="30"/>
      <c r="L119" s="30"/>
    </row>
    <row r="120" spans="10:12" ht="17.45" hidden="1">
      <c r="J120" s="30"/>
      <c r="K120" s="30"/>
      <c r="L120" s="30"/>
    </row>
    <row r="121" spans="10:12" ht="17.45" hidden="1">
      <c r="J121" s="30"/>
      <c r="K121" s="30"/>
      <c r="L121" s="30"/>
    </row>
    <row r="122" spans="10:12" ht="17.45" hidden="1">
      <c r="J122" s="30"/>
      <c r="K122" s="30"/>
      <c r="L122" s="30"/>
    </row>
    <row r="123" spans="10:12" ht="17.45" hidden="1">
      <c r="J123" s="30"/>
      <c r="K123" s="30"/>
      <c r="L123" s="30"/>
    </row>
    <row r="124" spans="10:12" ht="17.45" hidden="1">
      <c r="J124" s="30"/>
      <c r="K124" s="30"/>
      <c r="L124" s="30"/>
    </row>
    <row r="125" spans="10:12" ht="17.45" hidden="1">
      <c r="J125" s="30"/>
      <c r="K125" s="30"/>
      <c r="L125" s="30"/>
    </row>
    <row r="126" spans="10:12" ht="17.45" hidden="1">
      <c r="J126" s="30"/>
      <c r="K126" s="30"/>
      <c r="L126" s="30"/>
    </row>
    <row r="127" spans="10:12" ht="17.45" hidden="1">
      <c r="J127" s="30"/>
      <c r="K127" s="30"/>
      <c r="L127" s="30"/>
    </row>
    <row r="128" spans="10:12" ht="17.45" hidden="1">
      <c r="J128" s="30"/>
      <c r="K128" s="30"/>
      <c r="L128" s="30"/>
    </row>
    <row r="129" spans="10:12" ht="17.45" hidden="1">
      <c r="J129" s="30"/>
      <c r="K129" s="30"/>
      <c r="L129" s="30"/>
    </row>
    <row r="130" spans="10:12" ht="17.45" hidden="1">
      <c r="J130" s="30"/>
      <c r="K130" s="30"/>
      <c r="L130" s="30"/>
    </row>
  </sheetData>
  <protectedRanges>
    <protectedRange sqref="E10 E12:G12 E6:E8 H16:I16 B34:G40 B43:I48 H19:H23 D4:E4" name="Input data_1"/>
  </protectedRanges>
  <dataConsolidate/>
  <dataValidations count="2">
    <dataValidation showInputMessage="1" showErrorMessage="1" sqref="E12" xr:uid="{00000000-0002-0000-0400-000000000000}"/>
    <dataValidation type="list" showInputMessage="1" showErrorMessage="1" sqref="IZ12 WVL983033 WLP983033 WBT983033 VRX983033 VIB983033 UYF983033 UOJ983033 UEN983033 TUR983033 TKV983033 TAZ983033 SRD983033 SHH983033 RXL983033 RNP983033 RDT983033 QTX983033 QKB983033 QAF983033 PQJ983033 PGN983033 OWR983033 OMV983033 OCZ983033 NTD983033 NJH983033 MZL983033 MPP983033 MFT983033 LVX983033 LMB983033 LCF983033 KSJ983033 KIN983033 JYR983033 JOV983033 JEZ983033 IVD983033 ILH983033 IBL983033 HRP983033 HHT983033 GXX983033 GOB983033 GEF983033 FUJ983033 FKN983033 FAR983033 EQV983033 EGZ983033 DXD983033 DNH983033 DDL983033 CTP983033 CJT983033 BZX983033 BQB983033 BGF983033 AWJ983033 AMN983033 ACR983033 SV983033 IZ983033 E983033 WVL917497 WLP917497 WBT917497 VRX917497 VIB917497 UYF917497 UOJ917497 UEN917497 TUR917497 TKV917497 TAZ917497 SRD917497 SHH917497 RXL917497 RNP917497 RDT917497 QTX917497 QKB917497 QAF917497 PQJ917497 PGN917497 OWR917497 OMV917497 OCZ917497 NTD917497 NJH917497 MZL917497 MPP917497 MFT917497 LVX917497 LMB917497 LCF917497 KSJ917497 KIN917497 JYR917497 JOV917497 JEZ917497 IVD917497 ILH917497 IBL917497 HRP917497 HHT917497 GXX917497 GOB917497 GEF917497 FUJ917497 FKN917497 FAR917497 EQV917497 EGZ917497 DXD917497 DNH917497 DDL917497 CTP917497 CJT917497 BZX917497 BQB917497 BGF917497 AWJ917497 AMN917497 ACR917497 SV917497 IZ917497 E917497 WVL851961 WLP851961 WBT851961 VRX851961 VIB851961 UYF851961 UOJ851961 UEN851961 TUR851961 TKV851961 TAZ851961 SRD851961 SHH851961 RXL851961 RNP851961 RDT851961 QTX851961 QKB851961 QAF851961 PQJ851961 PGN851961 OWR851961 OMV851961 OCZ851961 NTD851961 NJH851961 MZL851961 MPP851961 MFT851961 LVX851961 LMB851961 LCF851961 KSJ851961 KIN851961 JYR851961 JOV851961 JEZ851961 IVD851961 ILH851961 IBL851961 HRP851961 HHT851961 GXX851961 GOB851961 GEF851961 FUJ851961 FKN851961 FAR851961 EQV851961 EGZ851961 DXD851961 DNH851961 DDL851961 CTP851961 CJT851961 BZX851961 BQB851961 BGF851961 AWJ851961 AMN851961 ACR851961 SV851961 IZ851961 E851961 WVL786425 WLP786425 WBT786425 VRX786425 VIB786425 UYF786425 UOJ786425 UEN786425 TUR786425 TKV786425 TAZ786425 SRD786425 SHH786425 RXL786425 RNP786425 RDT786425 QTX786425 QKB786425 QAF786425 PQJ786425 PGN786425 OWR786425 OMV786425 OCZ786425 NTD786425 NJH786425 MZL786425 MPP786425 MFT786425 LVX786425 LMB786425 LCF786425 KSJ786425 KIN786425 JYR786425 JOV786425 JEZ786425 IVD786425 ILH786425 IBL786425 HRP786425 HHT786425 GXX786425 GOB786425 GEF786425 FUJ786425 FKN786425 FAR786425 EQV786425 EGZ786425 DXD786425 DNH786425 DDL786425 CTP786425 CJT786425 BZX786425 BQB786425 BGF786425 AWJ786425 AMN786425 ACR786425 SV786425 IZ786425 E786425 WVL720889 WLP720889 WBT720889 VRX720889 VIB720889 UYF720889 UOJ720889 UEN720889 TUR720889 TKV720889 TAZ720889 SRD720889 SHH720889 RXL720889 RNP720889 RDT720889 QTX720889 QKB720889 QAF720889 PQJ720889 PGN720889 OWR720889 OMV720889 OCZ720889 NTD720889 NJH720889 MZL720889 MPP720889 MFT720889 LVX720889 LMB720889 LCF720889 KSJ720889 KIN720889 JYR720889 JOV720889 JEZ720889 IVD720889 ILH720889 IBL720889 HRP720889 HHT720889 GXX720889 GOB720889 GEF720889 FUJ720889 FKN720889 FAR720889 EQV720889 EGZ720889 DXD720889 DNH720889 DDL720889 CTP720889 CJT720889 BZX720889 BQB720889 BGF720889 AWJ720889 AMN720889 ACR720889 SV720889 IZ720889 E720889 WVL655353 WLP655353 WBT655353 VRX655353 VIB655353 UYF655353 UOJ655353 UEN655353 TUR655353 TKV655353 TAZ655353 SRD655353 SHH655353 RXL655353 RNP655353 RDT655353 QTX655353 QKB655353 QAF655353 PQJ655353 PGN655353 OWR655353 OMV655353 OCZ655353 NTD655353 NJH655353 MZL655353 MPP655353 MFT655353 LVX655353 LMB655353 LCF655353 KSJ655353 KIN655353 JYR655353 JOV655353 JEZ655353 IVD655353 ILH655353 IBL655353 HRP655353 HHT655353 GXX655353 GOB655353 GEF655353 FUJ655353 FKN655353 FAR655353 EQV655353 EGZ655353 DXD655353 DNH655353 DDL655353 CTP655353 CJT655353 BZX655353 BQB655353 BGF655353 AWJ655353 AMN655353 ACR655353 SV655353 IZ655353 E655353 WVL589817 WLP589817 WBT589817 VRX589817 VIB589817 UYF589817 UOJ589817 UEN589817 TUR589817 TKV589817 TAZ589817 SRD589817 SHH589817 RXL589817 RNP589817 RDT589817 QTX589817 QKB589817 QAF589817 PQJ589817 PGN589817 OWR589817 OMV589817 OCZ589817 NTD589817 NJH589817 MZL589817 MPP589817 MFT589817 LVX589817 LMB589817 LCF589817 KSJ589817 KIN589817 JYR589817 JOV589817 JEZ589817 IVD589817 ILH589817 IBL589817 HRP589817 HHT589817 GXX589817 GOB589817 GEF589817 FUJ589817 FKN589817 FAR589817 EQV589817 EGZ589817 DXD589817 DNH589817 DDL589817 CTP589817 CJT589817 BZX589817 BQB589817 BGF589817 AWJ589817 AMN589817 ACR589817 SV589817 IZ589817 E589817 WVL524281 WLP524281 WBT524281 VRX524281 VIB524281 UYF524281 UOJ524281 UEN524281 TUR524281 TKV524281 TAZ524281 SRD524281 SHH524281 RXL524281 RNP524281 RDT524281 QTX524281 QKB524281 QAF524281 PQJ524281 PGN524281 OWR524281 OMV524281 OCZ524281 NTD524281 NJH524281 MZL524281 MPP524281 MFT524281 LVX524281 LMB524281 LCF524281 KSJ524281 KIN524281 JYR524281 JOV524281 JEZ524281 IVD524281 ILH524281 IBL524281 HRP524281 HHT524281 GXX524281 GOB524281 GEF524281 FUJ524281 FKN524281 FAR524281 EQV524281 EGZ524281 DXD524281 DNH524281 DDL524281 CTP524281 CJT524281 BZX524281 BQB524281 BGF524281 AWJ524281 AMN524281 ACR524281 SV524281 IZ524281 E524281 WVL458745 WLP458745 WBT458745 VRX458745 VIB458745 UYF458745 UOJ458745 UEN458745 TUR458745 TKV458745 TAZ458745 SRD458745 SHH458745 RXL458745 RNP458745 RDT458745 QTX458745 QKB458745 QAF458745 PQJ458745 PGN458745 OWR458745 OMV458745 OCZ458745 NTD458745 NJH458745 MZL458745 MPP458745 MFT458745 LVX458745 LMB458745 LCF458745 KSJ458745 KIN458745 JYR458745 JOV458745 JEZ458745 IVD458745 ILH458745 IBL458745 HRP458745 HHT458745 GXX458745 GOB458745 GEF458745 FUJ458745 FKN458745 FAR458745 EQV458745 EGZ458745 DXD458745 DNH458745 DDL458745 CTP458745 CJT458745 BZX458745 BQB458745 BGF458745 AWJ458745 AMN458745 ACR458745 SV458745 IZ458745 E458745 WVL393209 WLP393209 WBT393209 VRX393209 VIB393209 UYF393209 UOJ393209 UEN393209 TUR393209 TKV393209 TAZ393209 SRD393209 SHH393209 RXL393209 RNP393209 RDT393209 QTX393209 QKB393209 QAF393209 PQJ393209 PGN393209 OWR393209 OMV393209 OCZ393209 NTD393209 NJH393209 MZL393209 MPP393209 MFT393209 LVX393209 LMB393209 LCF393209 KSJ393209 KIN393209 JYR393209 JOV393209 JEZ393209 IVD393209 ILH393209 IBL393209 HRP393209 HHT393209 GXX393209 GOB393209 GEF393209 FUJ393209 FKN393209 FAR393209 EQV393209 EGZ393209 DXD393209 DNH393209 DDL393209 CTP393209 CJT393209 BZX393209 BQB393209 BGF393209 AWJ393209 AMN393209 ACR393209 SV393209 IZ393209 E393209 WVL327673 WLP327673 WBT327673 VRX327673 VIB327673 UYF327673 UOJ327673 UEN327673 TUR327673 TKV327673 TAZ327673 SRD327673 SHH327673 RXL327673 RNP327673 RDT327673 QTX327673 QKB327673 QAF327673 PQJ327673 PGN327673 OWR327673 OMV327673 OCZ327673 NTD327673 NJH327673 MZL327673 MPP327673 MFT327673 LVX327673 LMB327673 LCF327673 KSJ327673 KIN327673 JYR327673 JOV327673 JEZ327673 IVD327673 ILH327673 IBL327673 HRP327673 HHT327673 GXX327673 GOB327673 GEF327673 FUJ327673 FKN327673 FAR327673 EQV327673 EGZ327673 DXD327673 DNH327673 DDL327673 CTP327673 CJT327673 BZX327673 BQB327673 BGF327673 AWJ327673 AMN327673 ACR327673 SV327673 IZ327673 E327673 WVL262137 WLP262137 WBT262137 VRX262137 VIB262137 UYF262137 UOJ262137 UEN262137 TUR262137 TKV262137 TAZ262137 SRD262137 SHH262137 RXL262137 RNP262137 RDT262137 QTX262137 QKB262137 QAF262137 PQJ262137 PGN262137 OWR262137 OMV262137 OCZ262137 NTD262137 NJH262137 MZL262137 MPP262137 MFT262137 LVX262137 LMB262137 LCF262137 KSJ262137 KIN262137 JYR262137 JOV262137 JEZ262137 IVD262137 ILH262137 IBL262137 HRP262137 HHT262137 GXX262137 GOB262137 GEF262137 FUJ262137 FKN262137 FAR262137 EQV262137 EGZ262137 DXD262137 DNH262137 DDL262137 CTP262137 CJT262137 BZX262137 BQB262137 BGF262137 AWJ262137 AMN262137 ACR262137 SV262137 IZ262137 E262137 WVL196601 WLP196601 WBT196601 VRX196601 VIB196601 UYF196601 UOJ196601 UEN196601 TUR196601 TKV196601 TAZ196601 SRD196601 SHH196601 RXL196601 RNP196601 RDT196601 QTX196601 QKB196601 QAF196601 PQJ196601 PGN196601 OWR196601 OMV196601 OCZ196601 NTD196601 NJH196601 MZL196601 MPP196601 MFT196601 LVX196601 LMB196601 LCF196601 KSJ196601 KIN196601 JYR196601 JOV196601 JEZ196601 IVD196601 ILH196601 IBL196601 HRP196601 HHT196601 GXX196601 GOB196601 GEF196601 FUJ196601 FKN196601 FAR196601 EQV196601 EGZ196601 DXD196601 DNH196601 DDL196601 CTP196601 CJT196601 BZX196601 BQB196601 BGF196601 AWJ196601 AMN196601 ACR196601 SV196601 IZ196601 E196601 WVL131065 WLP131065 WBT131065 VRX131065 VIB131065 UYF131065 UOJ131065 UEN131065 TUR131065 TKV131065 TAZ131065 SRD131065 SHH131065 RXL131065 RNP131065 RDT131065 QTX131065 QKB131065 QAF131065 PQJ131065 PGN131065 OWR131065 OMV131065 OCZ131065 NTD131065 NJH131065 MZL131065 MPP131065 MFT131065 LVX131065 LMB131065 LCF131065 KSJ131065 KIN131065 JYR131065 JOV131065 JEZ131065 IVD131065 ILH131065 IBL131065 HRP131065 HHT131065 GXX131065 GOB131065 GEF131065 FUJ131065 FKN131065 FAR131065 EQV131065 EGZ131065 DXD131065 DNH131065 DDL131065 CTP131065 CJT131065 BZX131065 BQB131065 BGF131065 AWJ131065 AMN131065 ACR131065 SV131065 IZ131065 E131065 WVL65529 WLP65529 WBT65529 VRX65529 VIB65529 UYF65529 UOJ65529 UEN65529 TUR65529 TKV65529 TAZ65529 SRD65529 SHH65529 RXL65529 RNP65529 RDT65529 QTX65529 QKB65529 QAF65529 PQJ65529 PGN65529 OWR65529 OMV65529 OCZ65529 NTD65529 NJH65529 MZL65529 MPP65529 MFT65529 LVX65529 LMB65529 LCF65529 KSJ65529 KIN65529 JYR65529 JOV65529 JEZ65529 IVD65529 ILH65529 IBL65529 HRP65529 HHT65529 GXX65529 GOB65529 GEF65529 FUJ65529 FKN65529 FAR65529 EQV65529 EGZ65529 DXD65529 DNH65529 DDL65529 CTP65529 CJT65529 BZX65529 BQB65529 BGF65529 AWJ65529 AMN65529 ACR65529 SV65529 IZ65529 E65529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xr:uid="{00000000-0002-0000-0400-000001000000}">
      <formula1>#REF!</formula1>
    </dataValidation>
  </dataValidations>
  <pageMargins left="0.7" right="0.68"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4592C143895C48B96BCC229E2F2091" ma:contentTypeVersion="18" ma:contentTypeDescription="Create a new document." ma:contentTypeScope="" ma:versionID="fdd8e72cd5ea0eb23b8a792287f9e15d">
  <xsd:schema xmlns:xsd="http://www.w3.org/2001/XMLSchema" xmlns:xs="http://www.w3.org/2001/XMLSchema" xmlns:p="http://schemas.microsoft.com/office/2006/metadata/properties" xmlns:ns3="19bacc13-5c53-42c2-9b67-0e23e62f8b76" xmlns:ns4="15ff3d39-6e7b-4d70-9b7c-8d9fe85d0f29" xmlns:ns5="b9ee2987-dfb6-4309-b297-c26bcde995fd" targetNamespace="http://schemas.microsoft.com/office/2006/metadata/properties" ma:root="true" ma:fieldsID="90cef0314c86c952184ec8f400967857" ns3:_="" ns4:_="" ns5:_="">
    <xsd:import namespace="19bacc13-5c53-42c2-9b67-0e23e62f8b76"/>
    <xsd:import namespace="15ff3d39-6e7b-4d70-9b7c-8d9fe85d0f29"/>
    <xsd:import namespace="b9ee2987-dfb6-4309-b297-c26bcde995fd"/>
    <xsd:element name="properties">
      <xsd:complexType>
        <xsd:sequence>
          <xsd:element name="documentManagement">
            <xsd:complexType>
              <xsd:all>
                <xsd:element ref="ns3:lab66271e8ec4d9dbba2573eb272ae37" minOccurs="0"/>
                <xsd:element ref="ns4:TaxCatchAll" minOccurs="0"/>
                <xsd:element ref="ns4:TaxCatchAllLabel" minOccurs="0"/>
                <xsd:element ref="ns3:c46fa6100ae34764a6ba18faef27c2ff" minOccurs="0"/>
                <xsd:element ref="ns4:Security_x0020_Classification"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3:SharedWithUsers" minOccurs="0"/>
                <xsd:element ref="ns3:SharedWithDetails" minOccurs="0"/>
                <xsd:element ref="ns4:dlc_EmailBCC" minOccurs="0"/>
                <xsd:element ref="ns4:dlc_EmailCC" minOccurs="0"/>
                <xsd:element ref="ns4:dlc_EmailReceivedUTC" minOccurs="0"/>
                <xsd:element ref="ns4:dlc_EmailSentUTC" minOccurs="0"/>
                <xsd:element ref="ns4:dlc_EmailFrom" minOccurs="0"/>
                <xsd:element ref="ns4:dlc_EmailSubject" minOccurs="0"/>
                <xsd:element ref="ns4:dlc_EmailTo" minOccurs="0"/>
                <xsd:element ref="ns5:MediaServiceAutoKeyPoints" minOccurs="0"/>
                <xsd:element ref="ns5:MediaServiceKeyPoints"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acc13-5c53-42c2-9b67-0e23e62f8b76" elementFormDefault="qualified">
    <xsd:import namespace="http://schemas.microsoft.com/office/2006/documentManagement/types"/>
    <xsd:import namespace="http://schemas.microsoft.com/office/infopath/2007/PartnerControls"/>
    <xsd:element name="lab66271e8ec4d9dbba2573eb272ae37" ma:index="9"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3" nillable="true" ma:taxonomy="true" ma:internalName="c46fa6100ae34764a6ba18faef27c2ff" ma:taxonomyFieldName="CustomTag" ma:displayName="Custom Tag" ma:default="" ma:fieldId="{c46fa610-0ae3-4764-a6ba-18faef27c2ff}" ma:sspId="5de26ec3-896b-4bef-bed1-ad194f885b2b" ma:termSetId="6d5f1bb2-68a2-4a06-b957-5ebea0306e02"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f931e0-1939-4ef8-9bd9-236a94715d50}" ma:internalName="TaxCatchAll" ma:showField="CatchAllData"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2f931e0-1939-4ef8-9bd9-236a94715d50}" ma:internalName="TaxCatchAllLabel" ma:readOnly="true" ma:showField="CatchAllDataLabel"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26" nillable="true" ma:displayName="BCC" ma:description="" ma:internalName="dlc_EmailBCC">
      <xsd:simpleType>
        <xsd:restriction base="dms:Note">
          <xsd:maxLength value="1024"/>
        </xsd:restriction>
      </xsd:simpleType>
    </xsd:element>
    <xsd:element name="dlc_EmailCC" ma:index="27" nillable="true" ma:displayName="CC" ma:description="" ma:internalName="dlc_EmailCC">
      <xsd:simpleType>
        <xsd:restriction base="dms:Note">
          <xsd:maxLength value="1024"/>
        </xsd:restriction>
      </xsd:simpleType>
    </xsd:element>
    <xsd:element name="dlc_EmailReceivedUTC" ma:index="28" nillable="true" ma:displayName="Date Received" ma:description="" ma:indexed="true" ma:internalName="dlc_EmailReceivedUTC">
      <xsd:simpleType>
        <xsd:restriction base="dms:DateTime"/>
      </xsd:simpleType>
    </xsd:element>
    <xsd:element name="dlc_EmailSentUTC" ma:index="29" nillable="true" ma:displayName="Date Sent" ma:description="" ma:internalName="dlc_EmailSentUTC">
      <xsd:simpleType>
        <xsd:restriction base="dms:DateTime"/>
      </xsd:simpleType>
    </xsd:element>
    <xsd:element name="dlc_EmailFrom" ma:index="30" nillable="true" ma:displayName="From" ma:description="" ma:internalName="dlc_EmailFrom">
      <xsd:simpleType>
        <xsd:restriction base="dms:Text">
          <xsd:maxLength value="255"/>
        </xsd:restriction>
      </xsd:simpleType>
    </xsd:element>
    <xsd:element name="dlc_EmailSubject" ma:index="31" nillable="true" ma:displayName="Subject" ma:description="" ma:internalName="dlc_EmailSubject">
      <xsd:simpleType>
        <xsd:restriction base="dms:Note"/>
      </xsd:simpleType>
    </xsd:element>
    <xsd:element name="dlc_EmailTo" ma:index="3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e2987-dfb6-4309-b297-c26bcde995f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_x0020_Classification xmlns="15ff3d39-6e7b-4d70-9b7c-8d9fe85d0f29">Official</Security_x0020_Classification>
    <dlc_EmailTo xmlns="15ff3d39-6e7b-4d70-9b7c-8d9fe85d0f29" xsi:nil="true"/>
    <TaxCatchAll xmlns="15ff3d39-6e7b-4d70-9b7c-8d9fe85d0f29" xsi:nil="true"/>
    <dlc_EmailSubject xmlns="15ff3d39-6e7b-4d70-9b7c-8d9fe85d0f29" xsi:nil="true"/>
    <dlc_EmailCC xmlns="15ff3d39-6e7b-4d70-9b7c-8d9fe85d0f29" xsi:nil="true"/>
    <lab66271e8ec4d9dbba2573eb272ae37 xmlns="19bacc13-5c53-42c2-9b67-0e23e62f8b76">
      <Terms xmlns="http://schemas.microsoft.com/office/infopath/2007/PartnerControls"/>
    </lab66271e8ec4d9dbba2573eb272ae37>
    <dlc_EmailBCC xmlns="15ff3d39-6e7b-4d70-9b7c-8d9fe85d0f29" xsi:nil="true"/>
    <dlc_EmailFrom xmlns="15ff3d39-6e7b-4d70-9b7c-8d9fe85d0f29" xsi:nil="true"/>
    <c46fa6100ae34764a6ba18faef27c2ff xmlns="19bacc13-5c53-42c2-9b67-0e23e62f8b76">
      <Terms xmlns="http://schemas.microsoft.com/office/infopath/2007/PartnerControls"/>
    </c46fa6100ae34764a6ba18faef27c2ff>
    <dlc_EmailReceivedUTC xmlns="15ff3d39-6e7b-4d70-9b7c-8d9fe85d0f29" xsi:nil="true"/>
    <dlc_EmailSentUTC xmlns="15ff3d39-6e7b-4d70-9b7c-8d9fe85d0f29" xsi:nil="true"/>
    <lcf76f155ced4ddcb4097134ff3c332f xmlns="b9ee2987-dfb6-4309-b297-c26bcde995f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3DC607-89C0-405F-8812-BF718BAC8A75}"/>
</file>

<file path=customXml/itemProps2.xml><?xml version="1.0" encoding="utf-8"?>
<ds:datastoreItem xmlns:ds="http://schemas.openxmlformats.org/officeDocument/2006/customXml" ds:itemID="{7CC7FE56-1C98-4612-B128-890FC0B4E55E}"/>
</file>

<file path=customXml/itemProps3.xml><?xml version="1.0" encoding="utf-8"?>
<ds:datastoreItem xmlns:ds="http://schemas.openxmlformats.org/officeDocument/2006/customXml" ds:itemID="{BA33AE05-6847-48B0-BF22-D02D566B30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 noise assessment workbook</dc:title>
  <dc:subject/>
  <dc:creator>Department for Transport</dc:creator>
  <cp:keywords/>
  <dc:description/>
  <cp:lastModifiedBy>Rahulan Chandrasekaran</cp:lastModifiedBy>
  <cp:revision/>
  <dcterms:created xsi:type="dcterms:W3CDTF">2015-03-04T16:03:50Z</dcterms:created>
  <dcterms:modified xsi:type="dcterms:W3CDTF">2024-11-21T14:56:57Z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0x010100A44592C143895C48B96BCC229E2F2091</vt:lpwstr>
  </property>
  <property fmtid="{D5CDD505-2E9C-101B-9397-08002B2CF9AE}" pid="3" name="CustomTag">
    <vt:lpwstr/>
  </property>
  <property fmtid="{D5CDD505-2E9C-101B-9397-08002B2CF9AE}" pid="4" name="FinancialYear">
    <vt:lpwstr/>
  </property>
  <property fmtid="{D5CDD505-2E9C-101B-9397-08002B2CF9AE}" pid="5" name="gd9880c4c8eb43b399538ea092bc7f39">
    <vt:lpwstr/>
  </property>
  <property fmtid="{D5CDD505-2E9C-101B-9397-08002B2CF9AE}" pid="6" name="FilePlan">
    <vt:lpwstr/>
  </property>
  <property fmtid="{D5CDD505-2E9C-101B-9397-08002B2CF9AE}" pid="7" name="MediaServiceImageTags">
    <vt:lpwstr/>
  </property>
</Properties>
</file>