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defaultThemeVersion="166925"/>
  <mc:AlternateContent xmlns:mc="http://schemas.openxmlformats.org/markup-compatibility/2006">
    <mc:Choice Requires="x15">
      <x15ac:absPath xmlns:x15ac="http://schemas.microsoft.com/office/spreadsheetml/2010/11/ac" url="https://defra.sharepoint.com/teams/Team3999/Strategic_Solutions/Nutrient Neutrality/Nutrient Neutrality (copied from open access)/Nutrient Budget Calculators/"/>
    </mc:Choice>
  </mc:AlternateContent>
  <xr:revisionPtr revIDLastSave="0" documentId="8_{6569FD63-3287-4E78-805A-D02FD067AEA0}" xr6:coauthVersionLast="47" xr6:coauthVersionMax="47" xr10:uidLastSave="{00000000-0000-0000-0000-000000000000}"/>
  <workbookProtection workbookAlgorithmName="SHA-512" workbookHashValue="c2Tjpm0mbK4YgGHVTArW77QXDzn8xpDsB8NN6gKpwEwVVv5P5DK2al1D/l9EL7JND4e89NTWK/LO04MKOv3veA==" workbookSaltValue="sHZ6F18+jI9e++IXGbeoIg==" workbookSpinCount="100000" lockStructure="1"/>
  <bookViews>
    <workbookView xWindow="-1635" yWindow="1020" windowWidth="20460" windowHeight="1077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101" i="3"/>
  <c r="H106" i="3"/>
  <c r="B22" i="21" l="1"/>
  <c r="A21" i="21" s="1"/>
  <c r="B14" i="10" s="1"/>
  <c r="B20" i="21"/>
  <c r="C22" i="9"/>
  <c r="A12" i="10"/>
  <c r="B18" i="21"/>
  <c r="H105" i="3"/>
  <c r="A13" i="10" l="1"/>
  <c r="A14" i="10" s="1"/>
  <c r="A193" i="3" a="1"/>
  <c r="A193" i="3" s="1"/>
  <c r="B30" i="22" l="1"/>
  <c r="H107" i="3" l="1"/>
  <c r="F107" i="3" l="1"/>
  <c r="F106" i="3"/>
  <c r="F105" i="3"/>
  <c r="F104" i="3"/>
  <c r="F103" i="3"/>
  <c r="F102" i="3"/>
  <c r="F101" i="3"/>
  <c r="F100"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<sst xmlns="http://schemas.openxmlformats.org/spreadsheetml/2006/main" count="742" uniqueCount="326">
  <si>
    <t>Natural England Nutrient Neutrality budget calculator for the River Mease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</si>
  <si>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</si>
  <si>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</si>
  <si>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</si>
  <si>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</si>
  <si>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</si>
  <si>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</si>
  <si>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</si>
  <si>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</si>
  <si>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</si>
  <si>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</si>
  <si>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</si>
  <si>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</si>
  <si>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</si>
  <si>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</si>
  <si>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</si>
  <si>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</si>
  <si>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</si>
  <si>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</si>
  <si>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</si>
  <si>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</si>
  <si>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</si>
  <si>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</si>
  <si>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</si>
  <si>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</si>
  <si>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</si>
  <si>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</si>
  <si>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</si>
  <si>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</si>
  <si>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</si>
  <si>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</si>
  <si>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</si>
  <si>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</si>
  <si>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</si>
  <si>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</si>
  <si>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</si>
  <si>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</si>
  <si>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</si>
  <si>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</si>
  <si>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</si>
  <si>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</si>
  <si>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</si>
  <si>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</si>
  <si>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</si>
  <si>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</si>
  <si>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</si>
  <si>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</si>
  <si>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</si>
  <si>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</si>
  <si>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</si>
  <si>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'28019 - Trent at Drakelow Park'</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</si>
  <si>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</si>
  <si>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</si>
  <si>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</si>
  <si>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</si>
  <si>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</si>
  <si>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</si>
  <si>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</si>
  <si>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</si>
  <si>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</si>
  <si>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</si>
  <si>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</si>
  <si>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</si>
  <si>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</si>
  <si>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</si>
  <si>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</si>
  <si>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</si>
  <si>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</si>
  <si>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</si>
  <si>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</si>
  <si>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</si>
  <si>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</si>
  <si>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</si>
  <si>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</si>
  <si>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</si>
  <si>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</si>
  <si>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</si>
  <si>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</si>
  <si>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</si>
  <si>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</si>
  <si>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</si>
  <si>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</si>
  <si>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</si>
  <si>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</si>
  <si>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</si>
  <si>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</si>
  <si>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</si>
  <si>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</si>
  <si>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</si>
  <si>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</si>
  <si>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</si>
  <si>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</si>
  <si>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</si>
  <si>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</si>
  <si>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</si>
  <si>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</si>
  <si>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</si>
  <si>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</si>
  <si>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</si>
  <si>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</si>
  <si>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</si>
  <si>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</si>
  <si>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</si>
  <si>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</si>
  <si>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</si>
  <si>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</si>
  <si>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</si>
  <si>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</si>
  <si>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</si>
  <si>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</si>
  <si>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</si>
  <si>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</si>
  <si>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</si>
  <si>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</si>
  <si>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</si>
  <si>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</si>
  <si>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</si>
  <si>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</si>
  <si>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</si>
  <si>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</si>
  <si>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</si>
  <si>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Chilcote STW</t>
  </si>
  <si>
    <t>Clifton Campville STW</t>
  </si>
  <si>
    <t>Donisthorpe STW</t>
  </si>
  <si>
    <t>Edingale STW</t>
  </si>
  <si>
    <t>Measham STW</t>
  </si>
  <si>
    <t>Netherseal STW</t>
  </si>
  <si>
    <t>Norton-Juxta-Twycross STW</t>
  </si>
  <si>
    <t>Overseal WwTW</t>
  </si>
  <si>
    <t>Packington WwTW</t>
  </si>
  <si>
    <t>Smisby STW</t>
  </si>
  <si>
    <t>Snarestone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</si>
  <si>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</si>
  <si>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</si>
  <si>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</si>
  <si>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</si>
  <si>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</si>
  <si>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</si>
  <si>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</si>
  <si>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</si>
  <si>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</si>
  <si>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</si>
  <si>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</si>
  <si>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</si>
  <si>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</si>
  <si>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</si>
  <si>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</si>
  <si>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</si>
  <si>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</si>
  <si>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</si>
  <si>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Mease</t>
  </si>
  <si>
    <t>Cereals</t>
  </si>
  <si>
    <t>600to700</t>
  </si>
  <si>
    <t>FreeDrain</t>
  </si>
  <si>
    <t>Mease|Cereals|TRUE|600to700|FreeDrain</t>
  </si>
  <si>
    <t>Cereals|600to700</t>
  </si>
  <si>
    <t>DrainedAr</t>
  </si>
  <si>
    <t>Mease|Cereals|TRUE|600to700|DrainedAr</t>
  </si>
  <si>
    <t>DrainedArGr</t>
  </si>
  <si>
    <t>Mease|Cereals|TRUE|600to700|DrainedArGr</t>
  </si>
  <si>
    <t>700to900</t>
  </si>
  <si>
    <t>Mease|Cereals|TRUE|700to900|FreeDrain</t>
  </si>
  <si>
    <t>Cereals|700to900</t>
  </si>
  <si>
    <t>Mease|Cereals|TRUE|700to900|DrainedAr</t>
  </si>
  <si>
    <t>Mease|Cereals|TRUE|700to900|DrainedArGr</t>
  </si>
  <si>
    <t>General</t>
  </si>
  <si>
    <t>Mease|General|TRUE|600to700|FreeDrain</t>
  </si>
  <si>
    <t>General|600to700</t>
  </si>
  <si>
    <t>Mease|General|TRUE|600to700|DrainedAr</t>
  </si>
  <si>
    <t>Mease|General|TRUE|600to700|DrainedArGr</t>
  </si>
  <si>
    <t>Mease|General|TRUE|700to900|FreeDrain</t>
  </si>
  <si>
    <t>General|700to900</t>
  </si>
  <si>
    <t>Mease|General|TRUE|700to900|DrainedArGr</t>
  </si>
  <si>
    <t>Horticulture</t>
  </si>
  <si>
    <t>Mease|Horticulture|TRUE|600to700|FreeDrain</t>
  </si>
  <si>
    <t>Horticulture|600to700</t>
  </si>
  <si>
    <t>Mease|Horticulture|TRUE|600to700|DrainedAr</t>
  </si>
  <si>
    <t>Mease|Horticulture|TRUE|600to700|DrainedArGr</t>
  </si>
  <si>
    <t>Dairy</t>
  </si>
  <si>
    <t>Mease|Dairy|TRUE|600to700|DrainedAr</t>
  </si>
  <si>
    <t>Dairy|600to700</t>
  </si>
  <si>
    <t>Mease|Dairy|TRUE|600to700|DrainedArGr</t>
  </si>
  <si>
    <t>LFA</t>
  </si>
  <si>
    <t>Mease|LFA|TRUE|600to700|FreeDrain</t>
  </si>
  <si>
    <t>LFA|600to700</t>
  </si>
  <si>
    <t>Mease|LFA|TRUE|600to700|DrainedAr</t>
  </si>
  <si>
    <t>Mease|LFA|TRUE|600to700|DrainedArGr</t>
  </si>
  <si>
    <t>Lowland</t>
  </si>
  <si>
    <t>Mease|Lowland|TRUE|600to700|FreeDrain</t>
  </si>
  <si>
    <t>Lowland|600to700</t>
  </si>
  <si>
    <t>Mease|Lowland|TRUE|600to700|DrainedAr</t>
  </si>
  <si>
    <t>Mease|Lowland|TRUE|600to700|DrainedArGr</t>
  </si>
  <si>
    <t>Mease|Lowland|TRUE|700to900|FreeDrain</t>
  </si>
  <si>
    <t>Lowland|700to900</t>
  </si>
  <si>
    <t>Mease|Lowland|TRUE|700to900|DrainedArGr</t>
  </si>
  <si>
    <t>Mixed</t>
  </si>
  <si>
    <t>Mease|Mixed|TRUE|600to700|FreeDrain</t>
  </si>
  <si>
    <t>Mixed|600to700</t>
  </si>
  <si>
    <t>Mease|Mixed|TRUE|600to700|DrainedAr</t>
  </si>
  <si>
    <t>Mease|Mixed|TRUE|600to700|DrainedArGr</t>
  </si>
  <si>
    <t>3090_Tame</t>
  </si>
  <si>
    <t>Cereals|TRUE|600to700|FreeDrain</t>
  </si>
  <si>
    <t>Cereals|TRUE|600to700|DrainedAr</t>
  </si>
  <si>
    <t>Cereals|TRUE|600to700|DrainedArGr</t>
  </si>
  <si>
    <t>Cereals|TRUE|700to900|FreeDrain</t>
  </si>
  <si>
    <t>Cereals|TRUE|700to900|DrainedAr</t>
  </si>
  <si>
    <t>Cereals|TRUE|700to900|DrainedArGr</t>
  </si>
  <si>
    <t>General|TRUE|600to700|FreeDrain</t>
  </si>
  <si>
    <t>General|TRUE|600to700|DrainedAr</t>
  </si>
  <si>
    <t>General|TRUE|600to700|DrainedArGr</t>
  </si>
  <si>
    <t>General|TRUE|700to900|FreeDrain</t>
  </si>
  <si>
    <t>General|TRUE|700to900|DrainedAr</t>
  </si>
  <si>
    <t>General|TRUE|700to900|DrainedArGr</t>
  </si>
  <si>
    <t>Horticulture|TRUE|600to700|FreeDrain</t>
  </si>
  <si>
    <t>Horticulture|TRUE|600to700|DrainedAr</t>
  </si>
  <si>
    <t>Horticulture|TRUE|600to700|DrainedArGr</t>
  </si>
  <si>
    <t>Horticulture|TRUE|700to900|FreeDrain</t>
  </si>
  <si>
    <t>Horticulture|TRUE|700to900|DrainedAr</t>
  </si>
  <si>
    <t>Horticulture|TRUE|700to900|DrainedArGr</t>
  </si>
  <si>
    <t>Pig</t>
  </si>
  <si>
    <t>Pig|TRUE|600to700|DrainedAr</t>
  </si>
  <si>
    <t>Pig|TRUE|600to700|DrainedArGr</t>
  </si>
  <si>
    <t>Pig|TRUE|700to900|FreeDrain</t>
  </si>
  <si>
    <t>Pig|TRUE|700to900|DrainedAr</t>
  </si>
  <si>
    <t>Pig|TRUE|700to900|DrainedArGr</t>
  </si>
  <si>
    <t>Poultry</t>
  </si>
  <si>
    <t>Poultry|TRUE|600to700|FreeDrain</t>
  </si>
  <si>
    <t>Poultry|TRUE|600to700|DrainedAr</t>
  </si>
  <si>
    <t>Poultry|TRUE|600to700|DrainedArGr</t>
  </si>
  <si>
    <t>Poultry|TRUE|700to900|FreeDrain</t>
  </si>
  <si>
    <t>Poultry|TRUE|700to900|DrainedAr</t>
  </si>
  <si>
    <t>Poultry|TRUE|700to900|DrainedArGr</t>
  </si>
  <si>
    <t>Dairy|TRUE|600to700|FreeDrain</t>
  </si>
  <si>
    <t>Dairy|TRUE|600to700|DrainedAr</t>
  </si>
  <si>
    <t>Dairy|TRUE|600to700|DrainedArGr</t>
  </si>
  <si>
    <t>Dairy|TRUE|700to900|FreeDrain</t>
  </si>
  <si>
    <t>Dairy|TRUE|700to900|DrainedAr</t>
  </si>
  <si>
    <t>Dairy|TRUE|700to900|DrainedArGr</t>
  </si>
  <si>
    <t>LFA|TRUE|600to700|FreeDrain</t>
  </si>
  <si>
    <t>LFA|TRUE|600to700|DrainedAr</t>
  </si>
  <si>
    <t>LFA|TRUE|600to700|DrainedArGr</t>
  </si>
  <si>
    <t>Lowland|TRUE|600to700|FreeDrain</t>
  </si>
  <si>
    <t>Lowland|TRUE|600to700|DrainedAr</t>
  </si>
  <si>
    <t>Lowland|TRUE|600to700|DrainedArGr</t>
  </si>
  <si>
    <t>Lowland|TRUE|700to900|FreeDrain</t>
  </si>
  <si>
    <t>Lowland|TRUE|700to900|DrainedAr</t>
  </si>
  <si>
    <t>Lowland|TRUE|700to900|DrainedArGr</t>
  </si>
  <si>
    <t>Mixed|TRUE|600to700|FreeDrain</t>
  </si>
  <si>
    <t>Mixed|TRUE|600to700|DrainedAr</t>
  </si>
  <si>
    <t>Mixed|TRUE|600to700|DrainedArGr</t>
  </si>
  <si>
    <t>Mixed|TRUE|700to900|FreeDrain</t>
  </si>
  <si>
    <t>Mixed|TRUE|700to900|DrainedAr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</si>
  <si>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</si>
  <si>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</si>
  <si>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</si>
  <si>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</si>
  <si>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</si>
  <si>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</si>
  <si>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</si>
  <si>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</si>
  <si>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</si>
  <si>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</si>
  <si>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</si>
  <si>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</si>
  <si>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</si>
  <si>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</si>
  <si>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</si>
  <si>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</si>
  <si>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</si>
  <si>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</si>
  <si>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</si>
  <si>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</si>
  <si>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</si>
  <si>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</si>
  <si>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</si>
  <si>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</si>
  <si>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</si>
  <si>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</si>
  <si>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</si>
  <si>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</si>
  <si>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</si>
  <si>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</si>
  <si>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</si>
  <si>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</si>
  <si>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</si>
  <si>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</si>
  <si>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</si>
  <si>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</si>
  <si>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</si>
  <si>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</si>
  <si>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</si>
  <si>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</si>
  <si>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</si>
  <si>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</si>
  <si>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</si>
  <si>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</si>
  <si>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</si>
  <si>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</si>
  <si>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</si>
  <si>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</si>
  <si>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</si>
  <si>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</si>
  <si>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</si>
  <si>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</si>
  <si>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</si>
  <si>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</si>
  <si>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</si>
  <si>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</si>
  <si>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</si>
  <si>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</si>
  <si>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</si>
  <si>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</si>
  <si>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</si>
  <si>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</si>
  <si>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</si>
  <si>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</si>
  <si>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</si>
  <si>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</si>
  <si>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</si>
  <si>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</si>
  <si>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</si>
  <si>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</si>
  <si>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</si>
  <si>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Mease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</si>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</sst>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3">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0" fontId="24" fillId="3" borderId="1" xfId="1" applyFont="1" applyFill="1" applyBorder="1" applyAlignment="1" applyProtection="1">
      <alignment horizontal="left" vertical="center" wrapText="1"/>
    </xf>
    <xf numFmtId="0" fontId="6" fillId="2" borderId="1" xfId="0" applyFont="1" applyFill="1" applyBorder="1"/>
  </cellXfs>
  <cellStyles count="4">
    <cellStyle name="Heading 1" xfId="2" builtinId="16" customBuiltin="1"/>
    <cellStyle name="Heading 2" xfId="3" builtinId="17" customBuiltin="1"/>
    <cellStyle name="Hyperlink" xfId="1" builtinId="8"/>
    <cellStyle name="Normal" xfId="0" builtinId="0"/>
  </cellStyles>
  <dxfs count="117">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16" dataDxfId="115">
  <autoFilter ref="A10:B15" xr:uid="{7EBF9311-A278-4083-BF4D-937B4AAC2ED7}">
    <filterColumn colId="0" hiddenButton="1"/>
    <filterColumn colId="1" hiddenButton="1"/>
  </autoFilter>
  <tableColumns count="2">
    <tableColumn id="1" xr3:uid="{D307493E-2059-46BA-8359-3AF9476DA77C}" name="Topic of each table" dataDxfId="114"/>
    <tableColumn id="2" xr3:uid="{232F3596-0F30-49C4-AE95-A48E7051B620}" name="Link to each worksheet" dataDxfId="113"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54:A171" totalsRowShown="0" headerRowDxfId="54" dataDxfId="52" headerRowBorderDxfId="53" tableBorderDxfId="51" totalsRowBorderDxfId="50">
  <autoFilter ref="A154:A171" xr:uid="{27E373C5-D0CE-42F2-9526-68F6C3493A4E}">
    <filterColumn colId="0" hiddenButton="1"/>
  </autoFilter>
  <tableColumns count="1">
    <tableColumn id="1" xr3:uid="{53B368C1-8BC9-40BE-BF12-2BD44CBABE8A}" name="All Possible Landcover Types" dataDxfId="4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49:B151" totalsRowShown="0" headerRowDxfId="48" dataDxfId="47">
  <autoFilter ref="A149:B151" xr:uid="{92ED230A-D03F-4AFE-B6E2-A2C0CA247A6E}">
    <filterColumn colId="0" hiddenButton="1"/>
    <filterColumn colId="1" hiddenButton="1"/>
  </autoFilter>
  <tableColumns count="2">
    <tableColumn id="1" xr3:uid="{733091DA-D7C2-4BC5-B808-44E4059922C0}" name="NVZ" dataDxfId="46"/>
    <tableColumn id="2" xr3:uid="{F0C58FBC-95F8-49DE-8689-2F83AB0C11EB}" name="Farmscoper equivalent" dataDxfId="45"/>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40:C146" totalsRowShown="0" headerRowDxfId="44" dataDxfId="43">
  <autoFilter ref="A140:C146" xr:uid="{1A6CB2E1-69B4-4AD4-994C-659133C27DDB}">
    <filterColumn colId="0" hiddenButton="1"/>
    <filterColumn colId="1" hiddenButton="1"/>
    <filterColumn colId="2" hiddenButton="1"/>
  </autoFilter>
  <tableColumns count="3">
    <tableColumn id="1" xr3:uid="{22766906-A0A6-4E97-AF30-1597153F0350}" name="Soilscape drainage term" dataDxfId="42"/>
    <tableColumn id="2" xr3:uid="{F002BB36-823A-4836-A21B-B579E90BABD3}" name="Farmscoper term" dataDxfId="41"/>
    <tableColumn id="3" xr3:uid="{9175DC56-F38C-4D28-A172-11226D1D23E9}" name="Definition" dataDxfId="40"/>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10:K133" totalsRowShown="0" headerRowDxfId="39" dataDxfId="37" headerRowBorderDxfId="38">
  <autoFilter ref="A110:K133"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22:M107" totalsRowShown="0" headerRowDxfId="25" dataDxfId="24">
  <autoFilter ref="A22:M107"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"|"&amp;"|"&amp;"|"&amp;E23</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19" totalsRowShown="0" headerRowDxfId="10" dataDxfId="8" headerRowBorderDxfId="9" tableBorderDxfId="7" totalsRowBorderDxfId="6">
  <autoFilter ref="A4:D19"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2" dataDxfId="110" headerRowBorderDxfId="111" tableBorderDxfId="109" totalsRowBorderDxfId="108">
  <autoFilter ref="A42:A46" xr:uid="{64981484-4795-461F-A3C7-626CD012A06C}">
    <filterColumn colId="0" hiddenButton="1"/>
  </autoFilter>
  <tableColumns count="1">
    <tableColumn id="1" xr3:uid="{F955E827-6C2D-4DAA-893A-D0A3AA8CBF38}" name="Description of the information:" dataDxfId="107"/>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6" dataDxfId="104" headerRowBorderDxfId="105" tableBorderDxfId="103" totalsRowBorderDxfId="102">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1"/>
    <tableColumn id="2" xr3:uid="{D22CDBE7-9B75-4248-A951-0D061DAA9F1C}" name="Data entry column - user inputs required" dataDxfId="100"/>
    <tableColumn id="4" xr3:uid="{20424A8D-23FA-4C1D-B394-6A4A0726E8D6}" name="Additional data entry column - user inputs may be required" dataDxfId="9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98" dataDxfId="96" headerRowBorderDxfId="97" tableBorderDxfId="95">
  <autoFilter ref="A14:B22" xr:uid="{B50C45A2-2A77-478E-B226-DC5B3B2EA72E}">
    <filterColumn colId="0" hiddenButton="1"/>
    <filterColumn colId="1" hiddenButton="1"/>
  </autoFilter>
  <tableColumns count="2">
    <tableColumn id="1" xr3:uid="{FA8C78F6-50A3-498F-8975-6D1EC817B86B}" name="Description of values generated" dataDxfId="94"/>
    <tableColumn id="2" xr3:uid="{150A0AA5-FDF2-4BA1-A9A8-36A566F3E6CC}" name="Values generated" dataDxfId="93"/>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2" dataDxfId="90" headerRowBorderDxfId="91" tableBorderDxfId="89" totalsRowBorderDxfId="88">
  <autoFilter ref="A4:B8" xr:uid="{E51AE02F-7B0C-4640-BEBD-8FD46432F29C}">
    <filterColumn colId="0" hiddenButton="1"/>
    <filterColumn colId="1" hiddenButton="1"/>
  </autoFilter>
  <tableColumns count="2">
    <tableColumn id="1" xr3:uid="{C513A266-837A-4378-8552-D156135B549F}" name="Description of required information" dataDxfId="87"/>
    <tableColumn id="2" xr3:uid="{9FEADC6D-D9F7-40A8-AB95-390DAB627A00}" name="Data entry column - user inputs required" dataDxfId="86"/>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5" dataDxfId="83" headerRowBorderDxfId="84" tableBorderDxfId="82" totalsRowBorderDxfId="81">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0"/>
    <tableColumn id="2" xr3:uid="{DA6AF240-7DDF-40CC-B3C9-0A6C10900A68}" name="Area (ha) - user inputs required" dataDxfId="79"/>
    <tableColumn id="4" xr3:uid="{D46D9DE3-2913-45A9-81EF-5C0B16A60B70}" name="Annual phosphorus export  _x000a_(kg TP/yr)" dataDxfId="78"/>
    <tableColumn id="5" xr3:uid="{B35F3CE8-F7D9-4526-B8D6-064B09EE0E77}" name="Notes on data" dataDxfId="77"/>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6" dataDxfId="75">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4"/>
    <tableColumn id="2" xr3:uid="{2BF0443C-5885-452F-9860-409F1647E1C1}" name="Area (ha) - user inputs required" dataDxfId="73"/>
    <tableColumn id="4" xr3:uid="{D4EA72A6-0C9C-4A1E-8AAC-10EB38F195A8}" name="Annual phosphorus export_x000a_(kg TP/yr)" dataDxfId="72"/>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1" dataDxfId="70">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69"/>
    <tableColumn id="2" xr3:uid="{72D29FD7-7898-4191-A97D-55B2AC2A6039}" name="SuDS catchment area (ha) - user inputs required" dataDxfId="68"/>
    <tableColumn id="10" xr3:uid="{C118AB6C-A0C7-46A0-B4D4-823E8172F281}" name="Percentage of flow entering the SuDS (%) - user inputs required" dataDxfId="67"/>
    <tableColumn id="4" xr3:uid="{C9DF269B-9235-47CA-9628-CA0EAEA7E887}" name="Annual phosphorus inputs to SuDS feature(s)_x000a_(kg T/yr)" dataDxfId="66">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5"/>
    <tableColumn id="8" xr3:uid="{6CE040BE-33E5-44DA-B389-E1BC789E21E5}" name="TP removal rate for features - user specified (%) - user inputs required" dataDxfId="64">
      <calculatedColumnFormula>IF(OR(#REF!="No",ISBLANK(#REF!)),"",IF(#REF!="Yes","","TN removal rate - user specified (%)"))</calculatedColumnFormula>
    </tableColumn>
    <tableColumn id="14" xr3:uid="{1156F97A-C06E-4041-A8E9-274F94CC02BE}" name="Annual phosphorus load removed by SuDS_x000a_(kg TP/yr)" dataDxfId="63"/>
    <tableColumn id="6" xr3:uid="{E06A970A-6835-4E49-9119-FEAF7BC8D4A0}" name="Notes on data" dataDxfId="62">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1" dataDxfId="59" headerRowBorderDxfId="60" tableBorderDxfId="58" totalsRowBorderDxfId="57">
  <autoFilter ref="A4:B14" xr:uid="{A0BD0106-977A-4B15-9C53-C66CDF6772BD}">
    <filterColumn colId="0" hiddenButton="1"/>
    <filterColumn colId="1" hiddenButton="1"/>
  </autoFilter>
  <tableColumns count="2">
    <tableColumn id="1" xr3:uid="{31004191-352C-44A7-A242-30E88F4CD5ED}" name="Description of values generated" dataDxfId="56"/>
    <tableColumn id="2" xr3:uid="{C357CE45-1FD7-4EF9-804B-579D3A1CC1A7}" name="Values generated" dataDxfId="55"/>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nrfa.ceh.ac.uk/data/station/spatial/28019"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5546875" defaultRowHeight="15" x14ac:dyDescent="0.25"/>
  <cols>
    <col min="1" max="1" width="124.28515625" style="6" customWidth="1"/>
    <col min="2" max="2" width="44.85546875" style="6" customWidth="1"/>
    <col min="3" max="207" width="8.5703125" style="6" customWidth="1"/>
    <col min="208" max="16384" width="8.85546875" style="6"/>
  </cols>
  <sheetData>
    <row r="1" spans="1:2" ht="50.45" customHeight="1" x14ac:dyDescent="0.25">
      <c r="A1" s="5" t="s">
        <v>0</v>
      </c>
    </row>
    <row r="2" spans="1:2" ht="23.45" customHeight="1" x14ac:dyDescent="0.25">
      <c r="A2" s="112" t="s">
        <v>1</v>
      </c>
    </row>
    <row r="3" spans="1:2" ht="24" customHeight="1" x14ac:dyDescent="0.25">
      <c r="A3" s="7" t="s">
        <v>2</v>
      </c>
    </row>
    <row r="4" spans="1:2" ht="23.1" customHeight="1" x14ac:dyDescent="0.25">
      <c r="A4" s="7" t="s">
        <v>3</v>
      </c>
    </row>
    <row r="5" spans="1:2" ht="26.25" customHeight="1" x14ac:dyDescent="0.25">
      <c r="A5" s="7" t="s">
        <v>4</v>
      </c>
    </row>
    <row r="6" spans="1:2" ht="26.25" customHeight="1" x14ac:dyDescent="0.25">
      <c r="A6" s="7" t="s">
        <v>5</v>
      </c>
    </row>
    <row r="7" spans="1:2" ht="39.6" customHeight="1" x14ac:dyDescent="0.25">
      <c r="A7" s="7" t="s">
        <v>6</v>
      </c>
    </row>
    <row r="8" spans="1:2" ht="40.5" customHeight="1" x14ac:dyDescent="0.25">
      <c r="A8" s="7" t="s">
        <v>7</v>
      </c>
    </row>
    <row r="9" spans="1:2" ht="37.5" customHeight="1" x14ac:dyDescent="0.25">
      <c r="A9" s="8" t="s">
        <v>8</v>
      </c>
    </row>
    <row r="10" spans="1:2" ht="37.5" customHeight="1" x14ac:dyDescent="0.25">
      <c r="A10" s="9" t="s">
        <v>9</v>
      </c>
      <c r="B10" s="10" t="s">
        <v>10</v>
      </c>
    </row>
    <row r="11" spans="1:2" ht="20.100000000000001" customHeight="1" x14ac:dyDescent="0.25">
      <c r="A11" s="7" t="s">
        <v>11</v>
      </c>
      <c r="B11" s="11" t="s">
        <v>12</v>
      </c>
    </row>
    <row r="12" spans="1:2" ht="20.100000000000001" customHeight="1" x14ac:dyDescent="0.25">
      <c r="A12" s="7" t="s">
        <v>13</v>
      </c>
      <c r="B12" s="11" t="s">
        <v>14</v>
      </c>
    </row>
    <row r="13" spans="1:2" ht="20.100000000000001" customHeight="1" x14ac:dyDescent="0.25">
      <c r="A13" s="7" t="s">
        <v>15</v>
      </c>
      <c r="B13" s="11" t="s">
        <v>16</v>
      </c>
    </row>
    <row r="14" spans="1:2" ht="20.100000000000001" customHeight="1" x14ac:dyDescent="0.25">
      <c r="A14" s="7" t="s">
        <v>17</v>
      </c>
      <c r="B14" s="11" t="s">
        <v>18</v>
      </c>
    </row>
    <row r="15" spans="1:2" ht="20.100000000000001" customHeight="1" x14ac:dyDescent="0.25">
      <c r="A15" s="7" t="s">
        <v>19</v>
      </c>
      <c r="B15" s="11" t="s">
        <v>20</v>
      </c>
    </row>
    <row r="16" spans="1:2" ht="37.5" customHeight="1" x14ac:dyDescent="0.25">
      <c r="A16" s="8" t="s">
        <v>21</v>
      </c>
      <c r="B16" s="12"/>
    </row>
    <row r="17" spans="1:2" ht="20.25" customHeight="1" x14ac:dyDescent="0.25">
      <c r="A17" s="7" t="s">
        <v>22</v>
      </c>
      <c r="B17" s="12"/>
    </row>
    <row r="18" spans="1:2" ht="36.75" customHeight="1" x14ac:dyDescent="0.25">
      <c r="A18" s="7" t="s">
        <v>23</v>
      </c>
      <c r="B18" s="12"/>
    </row>
    <row r="19" spans="1:2" ht="36.75" customHeight="1" x14ac:dyDescent="0.25">
      <c r="A19" s="7" t="s">
        <v>24</v>
      </c>
      <c r="B19" s="12"/>
    </row>
    <row r="20" spans="1:2" ht="67.5" customHeight="1" x14ac:dyDescent="0.25">
      <c r="A20" s="7" t="s">
        <v>25</v>
      </c>
    </row>
    <row r="21" spans="1:2" ht="33" customHeight="1" x14ac:dyDescent="0.25">
      <c r="A21" s="7" t="s">
        <v>26</v>
      </c>
    </row>
    <row r="22" spans="1:2" ht="25.5" customHeight="1" x14ac:dyDescent="0.25">
      <c r="A22" s="11" t="s">
        <v>27</v>
      </c>
    </row>
    <row r="23" spans="1:2" ht="22.5" customHeight="1" x14ac:dyDescent="0.25">
      <c r="A23" s="7" t="s">
        <v>28</v>
      </c>
    </row>
    <row r="24" spans="1:2" ht="30" x14ac:dyDescent="0.25">
      <c r="A24" s="7" t="s">
        <v>29</v>
      </c>
    </row>
    <row r="25" spans="1:2" ht="37.5" customHeight="1" x14ac:dyDescent="0.25">
      <c r="A25" s="7" t="s">
        <v>30</v>
      </c>
    </row>
    <row r="26" spans="1:2" ht="54" customHeight="1" x14ac:dyDescent="0.25">
      <c r="A26" s="113" t="s">
        <v>31</v>
      </c>
    </row>
    <row r="27" spans="1:2" ht="38.450000000000003" customHeight="1" x14ac:dyDescent="0.25">
      <c r="A27" s="7" t="s">
        <v>32</v>
      </c>
    </row>
    <row r="28" spans="1:2" ht="37.5" customHeight="1" x14ac:dyDescent="0.25">
      <c r="A28" s="8" t="s">
        <v>33</v>
      </c>
    </row>
    <row r="29" spans="1:2" ht="22.5" customHeight="1" x14ac:dyDescent="0.25">
      <c r="A29" s="7" t="s">
        <v>34</v>
      </c>
    </row>
    <row r="30" spans="1:2" ht="50.25" customHeight="1" x14ac:dyDescent="0.25">
      <c r="A30" s="7" t="s">
        <v>35</v>
      </c>
    </row>
    <row r="31" spans="1:2" ht="51.75" customHeight="1" x14ac:dyDescent="0.25">
      <c r="A31" s="7" t="s">
        <v>36</v>
      </c>
    </row>
    <row r="32" spans="1:2" ht="161.44999999999999" customHeight="1" x14ac:dyDescent="0.25">
      <c r="A32" s="7" t="s">
        <v>37</v>
      </c>
    </row>
    <row r="33" spans="1:2" ht="53.1" customHeight="1" x14ac:dyDescent="0.25">
      <c r="A33" s="7" t="s">
        <v>38</v>
      </c>
    </row>
    <row r="34" spans="1:2" ht="43.5" customHeight="1" x14ac:dyDescent="0.25">
      <c r="A34" s="7" t="s">
        <v>39</v>
      </c>
    </row>
    <row r="35" spans="1:2" ht="39.950000000000003" customHeight="1" x14ac:dyDescent="0.25">
      <c r="A35" s="7" t="s">
        <v>40</v>
      </c>
    </row>
    <row r="36" spans="1:2" ht="156.6" customHeight="1" x14ac:dyDescent="0.25">
      <c r="A36" s="7" t="s">
        <v>41</v>
      </c>
    </row>
    <row r="37" spans="1:2" ht="37.5" customHeight="1" x14ac:dyDescent="0.25">
      <c r="A37" s="8" t="s">
        <v>42</v>
      </c>
    </row>
    <row r="38" spans="1:2" ht="79.5" customHeight="1" x14ac:dyDescent="0.25">
      <c r="A38" s="7" t="s">
        <v>43</v>
      </c>
    </row>
    <row r="39" spans="1:2" ht="72" customHeight="1" x14ac:dyDescent="0.25">
      <c r="A39" s="11" t="s">
        <v>44</v>
      </c>
    </row>
    <row r="40" spans="1:2" ht="29.1" customHeight="1" x14ac:dyDescent="0.25">
      <c r="A40" s="11" t="s">
        <v>45</v>
      </c>
    </row>
    <row r="41" spans="1:2" ht="36.950000000000003" customHeight="1" x14ac:dyDescent="0.25">
      <c r="A41" s="8" t="s">
        <v>46</v>
      </c>
    </row>
    <row r="42" spans="1:2" ht="37.5" customHeight="1" x14ac:dyDescent="0.25">
      <c r="A42" s="9" t="s">
        <v>47</v>
      </c>
      <c r="B42" s="13"/>
    </row>
    <row r="43" spans="1:2" ht="41.45" customHeight="1" x14ac:dyDescent="0.25">
      <c r="A43" s="113" t="s">
        <v>48</v>
      </c>
      <c r="B43" s="14"/>
    </row>
    <row r="44" spans="1:2" ht="27" customHeight="1" x14ac:dyDescent="0.25">
      <c r="A44" s="113" t="s">
        <v>49</v>
      </c>
      <c r="B44" s="14"/>
    </row>
    <row r="45" spans="1:2" ht="42.6" customHeight="1" x14ac:dyDescent="0.25">
      <c r="A45" s="131" t="s">
        <v>50</v>
      </c>
      <c r="B45" s="14"/>
    </row>
    <row r="46" spans="1:2" ht="41.45" customHeight="1" x14ac:dyDescent="0.25">
      <c r="A46" s="114" t="s">
        <v>51</v>
      </c>
      <c r="B46" s="14"/>
    </row>
    <row r="47" spans="1:2" ht="36.950000000000003" customHeight="1" x14ac:dyDescent="0.25">
      <c r="A47" s="8" t="s">
        <v>52</v>
      </c>
    </row>
    <row r="48" spans="1:2" ht="56.45" customHeight="1" x14ac:dyDescent="0.25">
      <c r="A48" s="7" t="s">
        <v>53</v>
      </c>
    </row>
    <row r="49" spans="1:1" ht="207.95" customHeight="1" x14ac:dyDescent="0.25">
      <c r="A49" s="7" t="s">
        <v>54</v>
      </c>
    </row>
    <row r="50" spans="1:1" ht="29.1" customHeight="1" x14ac:dyDescent="0.25">
      <c r="A50" s="16" t="s">
        <v>55</v>
      </c>
    </row>
    <row r="51" spans="1:1" ht="35.450000000000003" customHeight="1" x14ac:dyDescent="0.25">
      <c r="A51" s="8" t="s">
        <v>56</v>
      </c>
    </row>
    <row r="52" spans="1:1" ht="36.75" customHeight="1" x14ac:dyDescent="0.25">
      <c r="A52" s="7" t="s">
        <v>57</v>
      </c>
    </row>
    <row r="53" spans="1:1" ht="195.6" customHeight="1" x14ac:dyDescent="0.25">
      <c r="A53" s="7" t="s">
        <v>58</v>
      </c>
    </row>
    <row r="54" spans="1:1" ht="37.5" customHeight="1" x14ac:dyDescent="0.25">
      <c r="A54" s="8" t="s">
        <v>59</v>
      </c>
    </row>
    <row r="55" spans="1:1" ht="25.5" customHeight="1" x14ac:dyDescent="0.25">
      <c r="A55" s="7" t="s">
        <v>60</v>
      </c>
    </row>
    <row r="56" spans="1:1" ht="23.25" customHeight="1" x14ac:dyDescent="0.25">
      <c r="A56" s="7" t="s">
        <v>61</v>
      </c>
    </row>
    <row r="57" spans="1:1" ht="39" customHeight="1" x14ac:dyDescent="0.25">
      <c r="A57" s="7" t="s">
        <v>62</v>
      </c>
    </row>
    <row r="68" spans="1:1" ht="15.75" x14ac:dyDescent="0.25">
      <c r="A68" s="15"/>
    </row>
  </sheetData>
  <sheetProtection algorithmName="SHA-512" hashValue="vtdfmegZotFTss6gZriU/fk1852g2Rxq+yuiLWKnfx/iiIVL9N4PYlpDdeIhT3T++j6bCtbJBVE/4165Df4a3g==" saltValue="8pelQLJqFa8SvjUY243sWA=="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45" r:id="rId4" xr:uid="{924BEF43-F6DE-4D1C-92CD-E51413280336}"/>
    <hyperlink ref="A22" r:id="rId5" xr:uid="{389423FF-7AF3-4C87-A6A1-9253674EC26E}"/>
    <hyperlink ref="A40" r:id="rId6" xr:uid="{5F9A32EC-3423-491E-A26C-F5C100A13B41}"/>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8" xr:uid="{C23FA76E-3ADE-40CE-8CF5-F50BB3BE414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5546875" defaultRowHeight="15" x14ac:dyDescent="0.25"/>
  <cols>
    <col min="1" max="1" width="120.85546875" style="17" customWidth="1"/>
    <col min="2" max="2" width="33.5703125" style="17" customWidth="1"/>
    <col min="3" max="3" width="26.140625" style="17" customWidth="1"/>
    <col min="4" max="6" width="30.5703125" style="17" customWidth="1"/>
    <col min="7" max="360" width="8.5703125" style="17" customWidth="1"/>
    <col min="361" max="16384" width="8.85546875" style="17"/>
  </cols>
  <sheetData>
    <row r="1" spans="1:5" ht="50.25" customHeight="1" x14ac:dyDescent="0.25">
      <c r="A1" s="5" t="s">
        <v>12</v>
      </c>
    </row>
    <row r="2" spans="1:5" ht="409.5" customHeight="1" x14ac:dyDescent="0.25">
      <c r="A2" s="124" t="s">
        <v>63</v>
      </c>
    </row>
    <row r="3" spans="1:5" ht="51.6" customHeight="1" x14ac:dyDescent="0.25">
      <c r="A3" s="8" t="s">
        <v>64</v>
      </c>
      <c r="B3" s="15"/>
      <c r="C3" s="6"/>
    </row>
    <row r="4" spans="1:5" ht="47.25" x14ac:dyDescent="0.25">
      <c r="A4" s="1" t="s">
        <v>65</v>
      </c>
      <c r="B4" s="2" t="s">
        <v>66</v>
      </c>
      <c r="C4" s="2" t="s">
        <v>67</v>
      </c>
    </row>
    <row r="5" spans="1:5" ht="24.6" customHeight="1" x14ac:dyDescent="0.25">
      <c r="A5" s="18" t="s">
        <v>68</v>
      </c>
      <c r="B5" s="29"/>
      <c r="C5" s="19"/>
    </row>
    <row r="6" spans="1:5" ht="24.6" customHeight="1" x14ac:dyDescent="0.25">
      <c r="A6" s="18" t="s">
        <v>69</v>
      </c>
      <c r="B6" s="30">
        <v>2.4</v>
      </c>
      <c r="C6" s="19"/>
    </row>
    <row r="7" spans="1:5" ht="24.6" customHeight="1" x14ac:dyDescent="0.25">
      <c r="A7" s="18" t="s">
        <v>70</v>
      </c>
      <c r="B7" s="31">
        <v>120</v>
      </c>
      <c r="C7" s="19"/>
    </row>
    <row r="8" spans="1:5" ht="24.6" customHeight="1" x14ac:dyDescent="0.25">
      <c r="A8" s="18" t="s">
        <v>71</v>
      </c>
      <c r="B8" s="31"/>
      <c r="C8" s="19"/>
    </row>
    <row r="9" spans="1:5" ht="39.6" customHeight="1" x14ac:dyDescent="0.25">
      <c r="A9" s="18" t="s">
        <v>72</v>
      </c>
      <c r="B9" s="31"/>
      <c r="C9" s="19"/>
    </row>
    <row r="10" spans="1:5" ht="24.6" customHeight="1" x14ac:dyDescent="0.25">
      <c r="A10" s="18" t="s">
        <v>73</v>
      </c>
      <c r="B10" s="117">
        <f>IFERROR(IF(OR(B9="Package Treatment Plant user defined",B9="Septic Tank user defined"),"Enter value in cell C10",IF(AND(B5&lt;DATE(2025,1,1)),VLOOKUP(B9,Value_look_up_tables!$A$5:$J$19,2,FALSE),IF(AND(B5&lt;DATE(2025,1,1)),VLOOKUP(B9,Value_look_up_tables!$A$5:$J$19,2,FALSE),IF(AND(B5&lt;DATE(2030,4,1),B5&gt;=DATE(2025,1,1)),VLOOKUP(B9,Value_look_up_tables!$A$5:$J$19,3,FALSE),IF(AND(B5&lt;DATE(2030,4,1),B5&gt;=DATE(2025,1,1)),IF(AND(B5&lt;DATE(2030,4,1)),VLOOKUP(B9,Value_look_up_tables!$A$5:$J$19,2,FALSE),IF(AND(B5&lt;DATE(2030,4,1)),VLOOKUP(B9,Value_look_up_tables!$A$5:$J$19,3,FALSE),IF(AND(B5&gt;=DATE(2030,4,1)),VLOOKUP(B9,Value_look_up_tables!$A$5:$J$19,4,FALSE),IF(AND(B5&gt;=DATE(2030,4,1)),VLOOKUP(B9,Value_look_up_tables!$A$5:$J$19,4,FALSE),0)))),VLOOKUP(B9,Value_look_up_tables!$A$5:$J$19,4,FALSE)))))),0)</f>
        <v>0</v>
      </c>
      <c r="C10" s="130"/>
    </row>
    <row r="11" spans="1:5" ht="24.6" customHeight="1" x14ac:dyDescent="0.25">
      <c r="A11" s="18" t="str">
        <f>IFERROR(IF(AND($B$5&lt;DATE(2025,1,1),(VLOOKUP($B$9,Value_look_up_tables!$A$5:$E$17,2,FALSE))&gt;(VLOOKUP($B$9,Value_look_up_tables!$A$5:$E$17,3,FALSE))), "Post 2025 WwTW P permit (mg TP/litre):","Not applicable"),"Not applicable")</f>
        <v>Not applicable</v>
      </c>
      <c r="B11" s="20" t="str">
        <f>IFERROR(IF(AND($B$5&lt;DATE(2025,1,1),(VLOOKUP($B$9,Value_look_up_tables!$A$5:$J$17,2,FALSE))&gt;(VLOOKUP($B$9,Value_look_up_tables!$A$5:$J$17,3,FALSE))),VLOOKUP(B9,Value_look_up_tables!$A$5:$J$20,3,FALSE),"Not applicable"),"Not applicable")</f>
        <v>Not applicable</v>
      </c>
      <c r="C11" s="19"/>
    </row>
    <row r="12" spans="1:5" ht="24.6" customHeight="1" x14ac:dyDescent="0.25">
      <c r="A12" s="21" t="str">
        <f>IFERROR(IF(AND($B$5&lt;DATE(2030,4,1),(VLOOKUP($B$9,Value_look_up_tables!$A$5:$J$17,3,FALSE))&gt;(VLOOKUP($B$9,Value_look_up_tables!$A$5:$J$17,4,FALSE))), "Post 2030 WwTW P permit (mg TP/litre):","Not applicable"),"Not applicable")</f>
        <v>Not applicable</v>
      </c>
      <c r="B12" s="22" t="str">
        <f>IFERROR(IF(AND($B$5&lt;DATE(2030,4,1),(VLOOKUP($B$9,Value_look_up_tables!$A$5:$J$17,3,FALSE))&gt;(VLOOKUP($B$9,Value_look_up_tables!$A$5:$J$17,4,FALSE))), VLOOKUP(B9,Value_look_up_tables!$A$5:$J$20,4,FALSE),"Not applicable"),"Not applicable")</f>
        <v>Not applicable</v>
      </c>
      <c r="C12" s="23"/>
      <c r="E12" s="17" t="s">
        <v>74</v>
      </c>
    </row>
    <row r="13" spans="1:5" ht="37.5" customHeight="1" x14ac:dyDescent="0.25">
      <c r="A13" s="8" t="s">
        <v>75</v>
      </c>
      <c r="B13" s="6"/>
    </row>
    <row r="14" spans="1:5" ht="21" customHeight="1" x14ac:dyDescent="0.25">
      <c r="A14" s="32" t="s">
        <v>76</v>
      </c>
      <c r="B14" s="2" t="s">
        <v>77</v>
      </c>
      <c r="C14" s="24"/>
    </row>
    <row r="15" spans="1:5" ht="28.5" customHeight="1" x14ac:dyDescent="0.25">
      <c r="A15" s="33" t="str">
        <f>IFERROR(IF(AND($B$5&lt;DATE(2030,4,1),OR((VLOOKUP($B$9,Value_look_up_tables!$A$5:$J$17,3,FALSE))&gt;(VLOOKUP($B$9,Value_look_up_tables!$A$5:$J$17,4,FALSE)))),"Post-2030 wastewater nutrient Loading",IF(AND($B$5&lt;DATE(2025,1,1),OR((VLOOKUP($B$9,Value_look_up_tables!$A$5:$E$17,2,FALSE))&gt;(VLOOKUP($B$9,Value_look_up_tables!$A$5:$E$17,3,FALSE)))),"Post-2025 wastewater nutrient Loading","Wastewater nutrient loading")),IF(B10="Enter value in cell C10","Wastewater nutrient loading","Wastewater nutrient loading"))</f>
        <v>Wastewater nutrient loading</v>
      </c>
      <c r="B15" s="116"/>
    </row>
    <row r="16" spans="1:5" ht="23.25" customHeight="1" x14ac:dyDescent="0.25">
      <c r="A16" s="25" t="s">
        <v>78</v>
      </c>
      <c r="B16" s="115">
        <f>IF(ISBLANK(B8),0,B6*B8)</f>
        <v>0</v>
      </c>
    </row>
    <row r="17" spans="1:2" ht="23.25" customHeight="1" x14ac:dyDescent="0.25">
      <c r="A17" s="26" t="s">
        <v>79</v>
      </c>
      <c r="B17" s="42">
        <f>IFERROR(B16*B7,0)</f>
        <v>0</v>
      </c>
    </row>
    <row r="18" spans="1:2" ht="23.25" customHeight="1" x14ac:dyDescent="0.25">
      <c r="A18" s="26" t="s">
        <v>80</v>
      </c>
      <c r="B18" s="42">
        <f>IFERROR(ROUND(IF(ISNUMBER(B12),B12*B17*0.9/1000000*365.25,IF(ISNUMBER(B11),B11*B17*0.9/1000000*365.25,IF(B10="Enter value in cell C10",IF(AND(B10="Enter value in cell C10",ISNUMBER(C10)),B17*(IF(C10&lt;0,0,C10))/1000000*365.25, VLOOKUP((LEFT(B9,(LEN(B9)-13))&amp;" default"),Value_look_up_tables!$A$16:$C$17,3,FALSE)*B17/1000000*365.25),IF(OR(B9="Package Treatment Plant default",B9="Septic Tank default"),B10*B17/1000000*365.25,IF(B10=8,B10*B17/1000000*365.25,B10*B17*0.9/1000000*365.25))))),2),0)</f>
        <v>0</v>
      </c>
    </row>
    <row r="19" spans="1:2" ht="23.25" customHeight="1" x14ac:dyDescent="0.25">
      <c r="A19" s="34" t="str">
        <f>IFERROR(IF(AND($B$5&lt;DATE(2030,4,1),OR((VLOOKUP($B$9,Value_look_up_tables!$A$5:$J$17,3,FALSE))&gt;(VLOOKUP($B$9,Value_look_up_tables!$A$5:$J$17,4,FALSE)))),"Pre-2030 wastewater nutrient loading",IF(AND($B$5&lt;DATE(2025,1,1),OR((VLOOKUP($B$9,Value_look_up_tables!$A$5:$E$17,2,FALSE))&gt;(VLOOKUP($B$9,Value_look_up_tables!$A$5:$E$17,3,FALSE)))),IF(B18=B20,A15,"Pre-2025 wastewater nutrient loading"),"Not applicable")),"Not applicable")</f>
        <v>Not applicable</v>
      </c>
      <c r="B19" s="35"/>
    </row>
    <row r="20" spans="1:2" ht="23.25" customHeight="1" x14ac:dyDescent="0.25">
      <c r="A20" s="25" t="str">
        <f>IFERROR(IF(AND($B$5&lt;DATE(2030,4,1),OR((VLOOKUP($B$9,Value_look_up_tables!$A$5:$J$17,3,FALSE))&gt;(VLOOKUP($B$9,Value_look_up_tables!$A$5:$J$17,4,FALSE)),(VLOOKUP($B$9,Value_look_up_tables!$A$5:$J$17,2,FALSE))&gt;(VLOOKUP($B$9,Value_look_up_tables!$A$5:$J$17,4,FALSE)))),"Annual wastewater TP load (kg TP/yr):","Not applicable"),"Not applicable")</f>
        <v>Not applicable</v>
      </c>
      <c r="B20" s="28" t="str">
        <f>IFERROR(ROUND(IF(AND($B$5&lt;DATE(2030,4,1),OR((VLOOKUP($B$9,Value_look_up_tables!$A$5:$J$17,3,FALSE))&gt;(VLOOKUP($B$9,Value_look_up_tables!$A$5:$J$17,4,FALSE)),(VLOOKUP($B$9,Value_look_up_tables!$A$5:$J$17,2,FALSE))&gt;(VLOOKUP($B$9,Value_look_up_tables!$A$5:$J$17,4,FALSE)))),IF(ISNUMBER(B11),IF(B11=8,(B11*B$17)/1000000*365.25,(B11*B$17*0.9)/1000000*365.25),IF(B10=8,(B10*B$17)/1000000*365.25,(B10*B$17*0.9)/1000000*365.25)),"Not applicable"),2),"Not applicable")</f>
        <v>Not applicable</v>
      </c>
    </row>
    <row r="21" spans="1:2" ht="23.25" customHeight="1" x14ac:dyDescent="0.25">
      <c r="A21" s="34" t="str">
        <f>IFERROR(IF(AND($B$5&lt;DATE(2025,1,1),$B$5&lt;DATE(2030,4,1),OR((VLOOKUP($B$9,Value_look_up_tables!$A$5:$J$17,3,FALSE))&gt;(VLOOKUP($B$9,Value_look_up_tables!$A$5:$J$17,4,FALSE)))),IF(AND(B22="Not applicable"),"Not applicable","Pre-2025 wastewater nutrient loading"),IF(AND($B$5&lt;DATE(2025,1,1),OR((VLOOKUP($B$9,Value_look_up_tables!$A$5:$E$17,2,FALSE))&gt;(VLOOKUP($B$9,Value_look_up_tables!$A$5:$E$17,3,FALSE)))),IF(LEFT(A19,9)="Post-2025","Pre-2025 wastewater nutrient loading","wastewater nutrient loading "),"Not applicable")),"Not applicable")</f>
        <v>Not applicable</v>
      </c>
      <c r="B21" s="35"/>
    </row>
    <row r="22" spans="1:2" ht="23.25" customHeight="1" x14ac:dyDescent="0.25">
      <c r="A22" s="25" t="str">
        <f>IFERROR(IF(AND($B$5&lt;DATE(2025,1,1),OR((VLOOKUP($B$9,Value_look_up_tables!$A$5:$E$17,2,FALSE))&gt;(VLOOKUP($B$9,Value_look_up_tables!$A$5:$E$17,3,FALSE)),(VLOOKUP($B$9,Value_look_up_tables!$A$5:$E$17,2,FALSE))&gt;(VLOOKUP($B$9,Value_look_up_tables!$A$5:$E$17,3,FALSE)))),"Annual wastewater TP load (kg TP/yr):","Not applicable"),"Not applicable")</f>
        <v>Not applicable</v>
      </c>
      <c r="B22" s="27" t="str">
        <f>IFERROR(ROUND(IF(AND($B$5&lt;DATE(2025,1,1),$B$5&lt;DATE(2030,4,1),OR((VLOOKUP($B$9,Value_look_up_tables!$A$5:$J$17,3,FALSE))&gt;(VLOOKUP($B$9,Value_look_up_tables!$A$5:$J$17,4,FALSE)),(VLOOKUP($B$9,Value_look_up_tables!$A$5:$J$17,2,FALSE))&gt;(VLOOKUP($B$9,Value_look_up_tables!$A$5:$J$17,3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Value_look_up_tables!$A$5:$A$19</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x14ac:dyDescent="0.25"/>
  <cols>
    <col min="1" max="1" width="90.140625" style="37" customWidth="1"/>
    <col min="2" max="2" width="27.28515625" style="37" customWidth="1"/>
    <col min="3" max="3" width="24.28515625" style="37" customWidth="1"/>
    <col min="4" max="4" width="124.7109375" style="37" customWidth="1"/>
    <col min="5" max="386" width="8.5703125" style="37" customWidth="1"/>
    <col min="387" max="16384" width="9.140625" style="37"/>
  </cols>
  <sheetData>
    <row r="1" spans="1:6" ht="50.25" customHeight="1" x14ac:dyDescent="0.25">
      <c r="A1" s="5" t="s">
        <v>14</v>
      </c>
      <c r="B1" s="36"/>
      <c r="C1" s="36"/>
      <c r="D1" s="36"/>
    </row>
    <row r="2" spans="1:6" ht="409.5" customHeight="1" x14ac:dyDescent="0.25">
      <c r="A2" s="7" t="s">
        <v>81</v>
      </c>
      <c r="B2" s="36"/>
      <c r="C2" s="36"/>
      <c r="D2" s="36"/>
      <c r="E2" s="15"/>
      <c r="F2" s="6"/>
    </row>
    <row r="3" spans="1:6" ht="37.5" customHeight="1" x14ac:dyDescent="0.25">
      <c r="A3" s="8" t="s">
        <v>82</v>
      </c>
      <c r="B3" s="38"/>
      <c r="C3" s="38"/>
      <c r="E3" s="6"/>
      <c r="F3" s="6"/>
    </row>
    <row r="4" spans="1:6" ht="38.85" customHeight="1" x14ac:dyDescent="0.25">
      <c r="A4" s="4" t="s">
        <v>65</v>
      </c>
      <c r="B4" s="85" t="s">
        <v>66</v>
      </c>
      <c r="C4" s="38"/>
      <c r="E4" s="6"/>
      <c r="F4" s="6"/>
    </row>
    <row r="5" spans="1:6" ht="29.85" customHeight="1" x14ac:dyDescent="0.25">
      <c r="A5" s="18" t="s">
        <v>83</v>
      </c>
      <c r="B5" s="44"/>
      <c r="C5" s="6"/>
      <c r="D5" s="6"/>
      <c r="E5" s="6"/>
      <c r="F5" s="39"/>
    </row>
    <row r="6" spans="1:6" ht="29.85" customHeight="1" x14ac:dyDescent="0.25">
      <c r="A6" s="18" t="s">
        <v>84</v>
      </c>
      <c r="B6" s="45"/>
      <c r="C6" s="6"/>
      <c r="D6" s="6"/>
      <c r="E6" s="6"/>
      <c r="F6" s="6"/>
    </row>
    <row r="7" spans="1:6" ht="29.85" customHeight="1" x14ac:dyDescent="0.25">
      <c r="A7" s="18" t="s">
        <v>85</v>
      </c>
      <c r="B7" s="46"/>
      <c r="C7" s="6"/>
      <c r="D7" s="6"/>
      <c r="E7" s="6"/>
      <c r="F7" s="6"/>
    </row>
    <row r="8" spans="1:6" ht="29.85" customHeight="1" x14ac:dyDescent="0.25">
      <c r="A8" s="21" t="s">
        <v>86</v>
      </c>
      <c r="B8" s="47"/>
      <c r="C8" s="6"/>
      <c r="D8" s="6"/>
      <c r="E8" s="6"/>
      <c r="F8" s="6"/>
    </row>
    <row r="9" spans="1:6" ht="48" customHeight="1" x14ac:dyDescent="0.25">
      <c r="A9" s="8" t="s">
        <v>87</v>
      </c>
      <c r="B9" s="40"/>
      <c r="C9" s="6"/>
      <c r="D9" s="6"/>
      <c r="E9" s="6"/>
      <c r="F9" s="6"/>
    </row>
    <row r="10" spans="1:6" ht="66" customHeight="1" x14ac:dyDescent="0.25">
      <c r="A10" s="1" t="s">
        <v>88</v>
      </c>
      <c r="B10" s="2" t="s">
        <v>89</v>
      </c>
      <c r="C10" s="2" t="s">
        <v>90</v>
      </c>
      <c r="D10" s="2" t="s">
        <v>91</v>
      </c>
      <c r="E10" s="6"/>
      <c r="F10" s="39"/>
    </row>
    <row r="11" spans="1:6" ht="42.95" customHeight="1" x14ac:dyDescent="0.2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$137:$B$137,2,FALSE)&amp;"|"&amp;$A11&amp;"|"&amp;VLOOKUP(Nutrients_from_current_land_use!$B$8,Value_look_up_tables!$A$150:$B$151,2,FALSE)&amp;"|"&amp;VLOOKUP(Nutrients_from_current_land_use!$B$7,Value_look_up_tables!$A$111:$C$133,3,FALSE)&amp;"|"&amp;VLOOKUP($B$6,Value_look_up_tables!$A$141:$B$146,2,FALSE)))),Value_look_up_tables!$F$23:$H$107,3,FALSE),
IFERROR(IFERROR($B11*VLOOKUP($A11&amp;"|"&amp;VLOOKUP(Nutrients_from_current_land_use!$B$8,Value_look_up_tables!$A$150:$B$151,2,FALSE)&amp;"|"&amp;VLOOKUP(Nutrients_from_current_land_use!$B$7,Value_look_up_tables!$A$111:$C$133,3,FALSE)&amp;"|"&amp;VLOOKUP($B$6,Value_look_up_tables!$A$141:$B$146,2,FALSE),Value_look_up_tables!$F$23:$H$107,3,FALSE),IFERROR($B11*VLOOKUP($A11&amp;"|"&amp;"TRUE"&amp;"|"&amp;VLOOKUP(Nutrients_from_current_land_use!$B$7,Value_look_up_tables!$A$111:$C$133,3,FALSE)&amp;"|"&amp;VLOOKUP($B$6,Value_look_up_tables!$A$141:$B$146,2,FALSE),Value_look_up_tables!$F$23:$H$107,3,FALSE),$B11*VLOOKUP($A11&amp;"|"&amp;VLOOKUP(Nutrients_from_current_land_use!$B$8,Value_look_up_tables!$A$150:$B$151,2,FALSE)&amp;"|"&amp;VLOOKUP(Nutrients_from_current_land_use!$B$7,Value_look_up_tables!$A$111:$C$133,3,FALSE)&amp;"|"&amp;"DrainedArGr",Value_look_up_tables!$F$23:$H$107,3,FALSE))),IFERROR($B11*VLOOKUP($A11&amp;"|"&amp;VLOOKUP(Nutrients_from_current_land_use!$B$7,Value_look_up_tables!$A$111:$C$133,3,FALSE),Value_look_up_tables!$I$23:$K$99,3,FALSE),$B11*VLOOKUP($A11,Value_look_up_tables!$B$23:$M$99,12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$137:$B$137,2,FALSE)&amp;"|"&amp;$A11&amp;"|"&amp;VLOOKUP(Nutrients_from_current_land_use!$B$8,Value_look_up_tables!$A$150:$B$151,2,FALSE)&amp;"|"&amp;VLOOKUP(Nutrients_from_current_land_use!$B$7,Value_look_up_tables!$A$111:$C$133,3,FALSE)&amp;"|"&amp;VLOOKUP($B$6,Value_look_up_tables!$A$141:$B$146,2,FALSE)))),Value_look_up_tables!$F$23:$H$107,3,FALSE),
IFERROR($B11*VLOOKUP($A11&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2.95" customHeight="1" x14ac:dyDescent="0.2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$137:$B$137,2,FALSE)&amp;"|"&amp;$A12&amp;"|"&amp;VLOOKUP(Nutrients_from_current_land_use!$B$8,Value_look_up_tables!$A$150:$B$151,2,FALSE)&amp;"|"&amp;VLOOKUP(Nutrients_from_current_land_use!$B$7,Value_look_up_tables!$A$111:$C$133,3,FALSE)&amp;"|"&amp;VLOOKUP($B$6,Value_look_up_tables!$A$141:$B$146,2,FALSE)))),Value_look_up_tables!$F$23:$H$107,3,FALSE),
IFERROR(IFERROR($B12*VLOOKUP($A12&amp;"|"&amp;VLOOKUP(Nutrients_from_current_land_use!$B$8,Value_look_up_tables!$A$150:$B$151,2,FALSE)&amp;"|"&amp;VLOOKUP(Nutrients_from_current_land_use!$B$7,Value_look_up_tables!$A$111:$C$133,3,FALSE)&amp;"|"&amp;VLOOKUP($B$6,Value_look_up_tables!$A$141:$B$146,2,FALSE),Value_look_up_tables!$F$23:$H$107,3,FALSE),IFERROR($B12*VLOOKUP($A12&amp;"|"&amp;"TRUE"&amp;"|"&amp;VLOOKUP(Nutrients_from_current_land_use!$B$7,Value_look_up_tables!$A$111:$C$133,3,FALSE)&amp;"|"&amp;VLOOKUP($B$6,Value_look_up_tables!$A$141:$B$146,2,FALSE),Value_look_up_tables!$F$23:$H$107,3,FALSE),$B12*VLOOKUP($A12&amp;"|"&amp;VLOOKUP(Nutrients_from_current_land_use!$B$8,Value_look_up_tables!$A$150:$B$151,2,FALSE)&amp;"|"&amp;VLOOKUP(Nutrients_from_current_land_use!$B$7,Value_look_up_tables!$A$111:$C$133,3,FALSE)&amp;"|"&amp;"DrainedArGr",Value_look_up_tables!$F$23:$H$107,3,FALSE))),IFERROR($B12*VLOOKUP($A12&amp;"|"&amp;VLOOKUP(Nutrients_from_current_land_use!$B$7,Value_look_up_tables!$A$111:$C$133,3,FALSE),Value_look_up_tables!$I$23:$K$99,3,FALSE),$B12*VLOOKUP($A12,Value_look_up_tables!$B$23:$M$99,12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$137:$B$137,2,FALSE)&amp;"|"&amp;$A12&amp;"|"&amp;VLOOKUP(Nutrients_from_current_land_use!$B$8,Value_look_up_tables!$A$150:$B$151,2,FALSE)&amp;"|"&amp;VLOOKUP(Nutrients_from_current_land_use!$B$7,Value_look_up_tables!$A$111:$C$133,3,FALSE)&amp;"|"&amp;VLOOKUP($B$6,Value_look_up_tables!$A$141:$B$146,2,FALSE)))),Value_look_up_tables!$F$23:$H$107,3,FALSE),
IFERROR($B12*VLOOKUP($A12&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2.95" customHeight="1" x14ac:dyDescent="0.2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$137:$B$137,2,FALSE)&amp;"|"&amp;$A13&amp;"|"&amp;VLOOKUP(Nutrients_from_current_land_use!$B$8,Value_look_up_tables!$A$150:$B$151,2,FALSE)&amp;"|"&amp;VLOOKUP(Nutrients_from_current_land_use!$B$7,Value_look_up_tables!$A$111:$C$133,3,FALSE)&amp;"|"&amp;VLOOKUP($B$6,Value_look_up_tables!$A$141:$B$146,2,FALSE)))),Value_look_up_tables!$F$23:$H$107,3,FALSE),
IFERROR(IFERROR($B13*VLOOKUP($A13&amp;"|"&amp;VLOOKUP(Nutrients_from_current_land_use!$B$8,Value_look_up_tables!$A$150:$B$151,2,FALSE)&amp;"|"&amp;VLOOKUP(Nutrients_from_current_land_use!$B$7,Value_look_up_tables!$A$111:$C$133,3,FALSE)&amp;"|"&amp;VLOOKUP($B$6,Value_look_up_tables!$A$141:$B$146,2,FALSE),Value_look_up_tables!$F$23:$H$107,3,FALSE),IFERROR($B13*VLOOKUP($A13&amp;"|"&amp;"TRUE"&amp;"|"&amp;VLOOKUP(Nutrients_from_current_land_use!$B$7,Value_look_up_tables!$A$111:$C$133,3,FALSE)&amp;"|"&amp;VLOOKUP($B$6,Value_look_up_tables!$A$141:$B$146,2,FALSE),Value_look_up_tables!$F$23:$H$107,3,FALSE),$B13*VLOOKUP($A13&amp;"|"&amp;VLOOKUP(Nutrients_from_current_land_use!$B$8,Value_look_up_tables!$A$150:$B$151,2,FALSE)&amp;"|"&amp;VLOOKUP(Nutrients_from_current_land_use!$B$7,Value_look_up_tables!$A$111:$C$133,3,FALSE)&amp;"|"&amp;"DrainedArGr",Value_look_up_tables!$F$23:$H$107,3,FALSE))),IFERROR($B13*VLOOKUP($A13&amp;"|"&amp;VLOOKUP(Nutrients_from_current_land_use!$B$7,Value_look_up_tables!$A$111:$C$133,3,FALSE),Value_look_up_tables!$I$23:$K$99,3,FALSE),$B13*VLOOKUP($A13,Value_look_up_tables!$B$23:$M$99,12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$137:$B$137,2,FALSE)&amp;"|"&amp;$A13&amp;"|"&amp;VLOOKUP(Nutrients_from_current_land_use!$B$8,Value_look_up_tables!$A$150:$B$151,2,FALSE)&amp;"|"&amp;VLOOKUP(Nutrients_from_current_land_use!$B$7,Value_look_up_tables!$A$111:$C$133,3,FALSE)&amp;"|"&amp;VLOOKUP($B$6,Value_look_up_tables!$A$141:$B$146,2,FALSE)))),Value_look_up_tables!$F$23:$H$107,3,FALSE),
IFERROR($B13*VLOOKUP($A13&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2.95" customHeight="1" x14ac:dyDescent="0.2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$137:$B$137,2,FALSE)&amp;"|"&amp;$A14&amp;"|"&amp;VLOOKUP(Nutrients_from_current_land_use!$B$8,Value_look_up_tables!$A$150:$B$151,2,FALSE)&amp;"|"&amp;VLOOKUP(Nutrients_from_current_land_use!$B$7,Value_look_up_tables!$A$111:$C$133,3,FALSE)&amp;"|"&amp;VLOOKUP($B$6,Value_look_up_tables!$A$141:$B$146,2,FALSE)))),Value_look_up_tables!$F$23:$H$107,3,FALSE),
IFERROR(IFERROR($B14*VLOOKUP($A14&amp;"|"&amp;VLOOKUP(Nutrients_from_current_land_use!$B$8,Value_look_up_tables!$A$150:$B$151,2,FALSE)&amp;"|"&amp;VLOOKUP(Nutrients_from_current_land_use!$B$7,Value_look_up_tables!$A$111:$C$133,3,FALSE)&amp;"|"&amp;VLOOKUP($B$6,Value_look_up_tables!$A$141:$B$146,2,FALSE),Value_look_up_tables!$F$23:$H$107,3,FALSE),IFERROR($B14*VLOOKUP($A14&amp;"|"&amp;"TRUE"&amp;"|"&amp;VLOOKUP(Nutrients_from_current_land_use!$B$7,Value_look_up_tables!$A$111:$C$133,3,FALSE)&amp;"|"&amp;VLOOKUP($B$6,Value_look_up_tables!$A$141:$B$146,2,FALSE),Value_look_up_tables!$F$23:$H$107,3,FALSE),$B14*VLOOKUP($A14&amp;"|"&amp;VLOOKUP(Nutrients_from_current_land_use!$B$8,Value_look_up_tables!$A$150:$B$151,2,FALSE)&amp;"|"&amp;VLOOKUP(Nutrients_from_current_land_use!$B$7,Value_look_up_tables!$A$111:$C$133,3,FALSE)&amp;"|"&amp;"DrainedArGr",Value_look_up_tables!$F$23:$H$107,3,FALSE))),IFERROR($B14*VLOOKUP($A14&amp;"|"&amp;VLOOKUP(Nutrients_from_current_land_use!$B$7,Value_look_up_tables!$A$111:$C$133,3,FALSE),Value_look_up_tables!$I$23:$K$99,3,FALSE),$B14*VLOOKUP($A14,Value_look_up_tables!$B$23:$M$99,12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$137:$B$137,2,FALSE)&amp;"|"&amp;$A14&amp;"|"&amp;VLOOKUP(Nutrients_from_current_land_use!$B$8,Value_look_up_tables!$A$150:$B$151,2,FALSE)&amp;"|"&amp;VLOOKUP(Nutrients_from_current_land_use!$B$7,Value_look_up_tables!$A$111:$C$133,3,FALSE)&amp;"|"&amp;VLOOKUP($B$6,Value_look_up_tables!$A$141:$B$146,2,FALSE)))),Value_look_up_tables!$F$23:$H$107,3,FALSE),
IFERROR($B14*VLOOKUP($A14&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2.95" customHeight="1" x14ac:dyDescent="0.2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$137:$B$137,2,FALSE)&amp;"|"&amp;$A15&amp;"|"&amp;VLOOKUP(Nutrients_from_current_land_use!$B$8,Value_look_up_tables!$A$150:$B$151,2,FALSE)&amp;"|"&amp;VLOOKUP(Nutrients_from_current_land_use!$B$7,Value_look_up_tables!$A$111:$C$133,3,FALSE)&amp;"|"&amp;VLOOKUP($B$6,Value_look_up_tables!$A$141:$B$146,2,FALSE)))),Value_look_up_tables!$F$23:$H$107,3,FALSE),
IFERROR(IFERROR($B15*VLOOKUP($A15&amp;"|"&amp;VLOOKUP(Nutrients_from_current_land_use!$B$8,Value_look_up_tables!$A$150:$B$151,2,FALSE)&amp;"|"&amp;VLOOKUP(Nutrients_from_current_land_use!$B$7,Value_look_up_tables!$A$111:$C$133,3,FALSE)&amp;"|"&amp;VLOOKUP($B$6,Value_look_up_tables!$A$141:$B$146,2,FALSE),Value_look_up_tables!$F$23:$H$107,3,FALSE),IFERROR($B15*VLOOKUP($A15&amp;"|"&amp;"TRUE"&amp;"|"&amp;VLOOKUP(Nutrients_from_current_land_use!$B$7,Value_look_up_tables!$A$111:$C$133,3,FALSE)&amp;"|"&amp;VLOOKUP($B$6,Value_look_up_tables!$A$141:$B$146,2,FALSE),Value_look_up_tables!$F$23:$H$107,3,FALSE),$B15*VLOOKUP($A15&amp;"|"&amp;VLOOKUP(Nutrients_from_current_land_use!$B$8,Value_look_up_tables!$A$150:$B$151,2,FALSE)&amp;"|"&amp;VLOOKUP(Nutrients_from_current_land_use!$B$7,Value_look_up_tables!$A$111:$C$133,3,FALSE)&amp;"|"&amp;"DrainedArGr",Value_look_up_tables!$F$23:$H$107,3,FALSE))),IFERROR($B15*VLOOKUP($A15&amp;"|"&amp;VLOOKUP(Nutrients_from_current_land_use!$B$7,Value_look_up_tables!$A$111:$C$133,3,FALSE),Value_look_up_tables!$I$23:$K$99,3,FALSE),$B15*VLOOKUP($A15,Value_look_up_tables!$B$23:$M$99,12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$137:$B$137,2,FALSE)&amp;"|"&amp;$A15&amp;"|"&amp;VLOOKUP(Nutrients_from_current_land_use!$B$8,Value_look_up_tables!$A$150:$B$151,2,FALSE)&amp;"|"&amp;VLOOKUP(Nutrients_from_current_land_use!$B$7,Value_look_up_tables!$A$111:$C$133,3,FALSE)&amp;"|"&amp;VLOOKUP($B$6,Value_look_up_tables!$A$141:$B$146,2,FALSE)))),Value_look_up_tables!$F$23:$H$107,3,FALSE),
IFERROR($B15*VLOOKUP($A15&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2.95" customHeight="1" x14ac:dyDescent="0.2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$137:$B$137,2,FALSE)&amp;"|"&amp;$A16&amp;"|"&amp;VLOOKUP(Nutrients_from_current_land_use!$B$8,Value_look_up_tables!$A$150:$B$151,2,FALSE)&amp;"|"&amp;VLOOKUP(Nutrients_from_current_land_use!$B$7,Value_look_up_tables!$A$111:$C$133,3,FALSE)&amp;"|"&amp;VLOOKUP($B$6,Value_look_up_tables!$A$141:$B$146,2,FALSE)))),Value_look_up_tables!$F$23:$H$107,3,FALSE),
IFERROR(IFERROR($B16*VLOOKUP($A16&amp;"|"&amp;VLOOKUP(Nutrients_from_current_land_use!$B$8,Value_look_up_tables!$A$150:$B$151,2,FALSE)&amp;"|"&amp;VLOOKUP(Nutrients_from_current_land_use!$B$7,Value_look_up_tables!$A$111:$C$133,3,FALSE)&amp;"|"&amp;VLOOKUP($B$6,Value_look_up_tables!$A$141:$B$146,2,FALSE),Value_look_up_tables!$F$23:$H$107,3,FALSE),IFERROR($B16*VLOOKUP($A16&amp;"|"&amp;"TRUE"&amp;"|"&amp;VLOOKUP(Nutrients_from_current_land_use!$B$7,Value_look_up_tables!$A$111:$C$133,3,FALSE)&amp;"|"&amp;VLOOKUP($B$6,Value_look_up_tables!$A$141:$B$146,2,FALSE),Value_look_up_tables!$F$23:$H$107,3,FALSE),$B16*VLOOKUP($A16&amp;"|"&amp;VLOOKUP(Nutrients_from_current_land_use!$B$8,Value_look_up_tables!$A$150:$B$151,2,FALSE)&amp;"|"&amp;VLOOKUP(Nutrients_from_current_land_use!$B$7,Value_look_up_tables!$A$111:$C$133,3,FALSE)&amp;"|"&amp;"DrainedArGr",Value_look_up_tables!$F$23:$H$107,3,FALSE))),IFERROR($B16*VLOOKUP($A16&amp;"|"&amp;VLOOKUP(Nutrients_from_current_land_use!$B$7,Value_look_up_tables!$A$111:$C$133,3,FALSE),Value_look_up_tables!$I$23:$K$99,3,FALSE),$B16*VLOOKUP($A16,Value_look_up_tables!$B$23:$M$99,12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$137:$B$137,2,FALSE)&amp;"|"&amp;$A16&amp;"|"&amp;VLOOKUP(Nutrients_from_current_land_use!$B$8,Value_look_up_tables!$A$150:$B$151,2,FALSE)&amp;"|"&amp;VLOOKUP(Nutrients_from_current_land_use!$B$7,Value_look_up_tables!$A$111:$C$133,3,FALSE)&amp;"|"&amp;VLOOKUP($B$6,Value_look_up_tables!$A$141:$B$146,2,FALSE)))),Value_look_up_tables!$F$23:$H$107,3,FALSE),
IFERROR($B16*VLOOKUP($A16&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2.95" customHeight="1" x14ac:dyDescent="0.2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$137:$B$137,2,FALSE)&amp;"|"&amp;$A17&amp;"|"&amp;VLOOKUP(Nutrients_from_current_land_use!$B$8,Value_look_up_tables!$A$150:$B$151,2,FALSE)&amp;"|"&amp;VLOOKUP(Nutrients_from_current_land_use!$B$7,Value_look_up_tables!$A$111:$C$133,3,FALSE)&amp;"|"&amp;VLOOKUP($B$6,Value_look_up_tables!$A$141:$B$146,2,FALSE)))),Value_look_up_tables!$F$23:$H$107,3,FALSE),
IFERROR(IFERROR($B17*VLOOKUP($A17&amp;"|"&amp;VLOOKUP(Nutrients_from_current_land_use!$B$8,Value_look_up_tables!$A$150:$B$151,2,FALSE)&amp;"|"&amp;VLOOKUP(Nutrients_from_current_land_use!$B$7,Value_look_up_tables!$A$111:$C$133,3,FALSE)&amp;"|"&amp;VLOOKUP($B$6,Value_look_up_tables!$A$141:$B$146,2,FALSE),Value_look_up_tables!$F$23:$H$107,3,FALSE),IFERROR($B17*VLOOKUP($A17&amp;"|"&amp;"TRUE"&amp;"|"&amp;VLOOKUP(Nutrients_from_current_land_use!$B$7,Value_look_up_tables!$A$111:$C$133,3,FALSE)&amp;"|"&amp;VLOOKUP($B$6,Value_look_up_tables!$A$141:$B$146,2,FALSE),Value_look_up_tables!$F$23:$H$107,3,FALSE),$B17*VLOOKUP($A17&amp;"|"&amp;VLOOKUP(Nutrients_from_current_land_use!$B$8,Value_look_up_tables!$A$150:$B$151,2,FALSE)&amp;"|"&amp;VLOOKUP(Nutrients_from_current_land_use!$B$7,Value_look_up_tables!$A$111:$C$133,3,FALSE)&amp;"|"&amp;"DrainedArGr",Value_look_up_tables!$F$23:$H$107,3,FALSE))),IFERROR($B17*VLOOKUP($A17&amp;"|"&amp;VLOOKUP(Nutrients_from_current_land_use!$B$7,Value_look_up_tables!$A$111:$C$133,3,FALSE),Value_look_up_tables!$I$23:$K$99,3,FALSE),$B17*VLOOKUP($A17,Value_look_up_tables!$B$23:$M$99,12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$137:$B$137,2,FALSE)&amp;"|"&amp;$A17&amp;"|"&amp;VLOOKUP(Nutrients_from_current_land_use!$B$8,Value_look_up_tables!$A$150:$B$151,2,FALSE)&amp;"|"&amp;VLOOKUP(Nutrients_from_current_land_use!$B$7,Value_look_up_tables!$A$111:$C$133,3,FALSE)&amp;"|"&amp;VLOOKUP($B$6,Value_look_up_tables!$A$141:$B$146,2,FALSE)))),Value_look_up_tables!$F$23:$H$107,3,FALSE),
IFERROR($B17*VLOOKUP($A17&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2.95" customHeight="1" x14ac:dyDescent="0.2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$137:$B$137,2,FALSE)&amp;"|"&amp;$A18&amp;"|"&amp;VLOOKUP(Nutrients_from_current_land_use!$B$8,Value_look_up_tables!$A$150:$B$151,2,FALSE)&amp;"|"&amp;VLOOKUP(Nutrients_from_current_land_use!$B$7,Value_look_up_tables!$A$111:$C$133,3,FALSE)&amp;"|"&amp;VLOOKUP($B$6,Value_look_up_tables!$A$141:$B$146,2,FALSE)))),Value_look_up_tables!$F$23:$H$107,3,FALSE),
IFERROR(IFERROR($B18*VLOOKUP($A18&amp;"|"&amp;VLOOKUP(Nutrients_from_current_land_use!$B$8,Value_look_up_tables!$A$150:$B$151,2,FALSE)&amp;"|"&amp;VLOOKUP(Nutrients_from_current_land_use!$B$7,Value_look_up_tables!$A$111:$C$133,3,FALSE)&amp;"|"&amp;VLOOKUP($B$6,Value_look_up_tables!$A$141:$B$146,2,FALSE),Value_look_up_tables!$F$23:$H$107,3,FALSE),IFERROR($B18*VLOOKUP($A18&amp;"|"&amp;"TRUE"&amp;"|"&amp;VLOOKUP(Nutrients_from_current_land_use!$B$7,Value_look_up_tables!$A$111:$C$133,3,FALSE)&amp;"|"&amp;VLOOKUP($B$6,Value_look_up_tables!$A$141:$B$146,2,FALSE),Value_look_up_tables!$F$23:$H$107,3,FALSE),$B18*VLOOKUP($A18&amp;"|"&amp;VLOOKUP(Nutrients_from_current_land_use!$B$8,Value_look_up_tables!$A$150:$B$151,2,FALSE)&amp;"|"&amp;VLOOKUP(Nutrients_from_current_land_use!$B$7,Value_look_up_tables!$A$111:$C$133,3,FALSE)&amp;"|"&amp;"DrainedArGr",Value_look_up_tables!$F$23:$H$107,3,FALSE))),IFERROR($B18*VLOOKUP($A18&amp;"|"&amp;VLOOKUP(Nutrients_from_current_land_use!$B$7,Value_look_up_tables!$A$111:$C$133,3,FALSE),Value_look_up_tables!$I$23:$K$99,3,FALSE),$B18*VLOOKUP($A18,Value_look_up_tables!$B$23:$M$99,12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$137:$B$137,2,FALSE)&amp;"|"&amp;$A18&amp;"|"&amp;VLOOKUP(Nutrients_from_current_land_use!$B$8,Value_look_up_tables!$A$150:$B$151,2,FALSE)&amp;"|"&amp;VLOOKUP(Nutrients_from_current_land_use!$B$7,Value_look_up_tables!$A$111:$C$133,3,FALSE)&amp;"|"&amp;VLOOKUP($B$6,Value_look_up_tables!$A$141:$B$146,2,FALSE)))),Value_look_up_tables!$F$23:$H$107,3,FALSE),
IFERROR($B18*VLOOKUP($A18&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2.95" customHeight="1" x14ac:dyDescent="0.2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$137:$B$137,2,FALSE)&amp;"|"&amp;$A19&amp;"|"&amp;VLOOKUP(Nutrients_from_current_land_use!$B$8,Value_look_up_tables!$A$150:$B$151,2,FALSE)&amp;"|"&amp;VLOOKUP(Nutrients_from_current_land_use!$B$7,Value_look_up_tables!$A$111:$C$133,3,FALSE)&amp;"|"&amp;VLOOKUP($B$6,Value_look_up_tables!$A$141:$B$146,2,FALSE)))),Value_look_up_tables!$F$23:$H$107,3,FALSE),
IFERROR(IFERROR($B19*VLOOKUP($A19&amp;"|"&amp;VLOOKUP(Nutrients_from_current_land_use!$B$8,Value_look_up_tables!$A$150:$B$151,2,FALSE)&amp;"|"&amp;VLOOKUP(Nutrients_from_current_land_use!$B$7,Value_look_up_tables!$A$111:$C$133,3,FALSE)&amp;"|"&amp;VLOOKUP($B$6,Value_look_up_tables!$A$141:$B$146,2,FALSE),Value_look_up_tables!$F$23:$H$107,3,FALSE),IFERROR($B19*VLOOKUP($A19&amp;"|"&amp;"TRUE"&amp;"|"&amp;VLOOKUP(Nutrients_from_current_land_use!$B$7,Value_look_up_tables!$A$111:$C$133,3,FALSE)&amp;"|"&amp;VLOOKUP($B$6,Value_look_up_tables!$A$141:$B$146,2,FALSE),Value_look_up_tables!$F$23:$H$107,3,FALSE),$B19*VLOOKUP($A19&amp;"|"&amp;VLOOKUP(Nutrients_from_current_land_use!$B$8,Value_look_up_tables!$A$150:$B$151,2,FALSE)&amp;"|"&amp;VLOOKUP(Nutrients_from_current_land_use!$B$7,Value_look_up_tables!$A$111:$C$133,3,FALSE)&amp;"|"&amp;"DrainedArGr",Value_look_up_tables!$F$23:$H$107,3,FALSE))),IFERROR($B19*VLOOKUP($A19&amp;"|"&amp;VLOOKUP(Nutrients_from_current_land_use!$B$7,Value_look_up_tables!$A$111:$C$133,3,FALSE),Value_look_up_tables!$I$23:$K$99,3,FALSE),$B19*VLOOKUP($A19,Value_look_up_tables!$B$23:$M$99,12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$137:$B$137,2,FALSE)&amp;"|"&amp;$A19&amp;"|"&amp;VLOOKUP(Nutrients_from_current_land_use!$B$8,Value_look_up_tables!$A$150:$B$151,2,FALSE)&amp;"|"&amp;VLOOKUP(Nutrients_from_current_land_use!$B$7,Value_look_up_tables!$A$111:$C$133,3,FALSE)&amp;"|"&amp;VLOOKUP($B$6,Value_look_up_tables!$A$141:$B$146,2,FALSE)))),Value_look_up_tables!$F$23:$H$107,3,FALSE),
IFERROR($B19*VLOOKUP($A19&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2.95" customHeight="1" x14ac:dyDescent="0.2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$137:$B$137,2,FALSE)&amp;"|"&amp;$A20&amp;"|"&amp;VLOOKUP(Nutrients_from_current_land_use!$B$8,Value_look_up_tables!$A$150:$B$151,2,FALSE)&amp;"|"&amp;VLOOKUP(Nutrients_from_current_land_use!$B$7,Value_look_up_tables!$A$111:$C$133,3,FALSE)&amp;"|"&amp;VLOOKUP($B$6,Value_look_up_tables!$A$141:$B$146,2,FALSE)))),Value_look_up_tables!$F$23:$H$107,3,FALSE),
IFERROR(IFERROR($B20*VLOOKUP($A20&amp;"|"&amp;VLOOKUP(Nutrients_from_current_land_use!$B$8,Value_look_up_tables!$A$150:$B$151,2,FALSE)&amp;"|"&amp;VLOOKUP(Nutrients_from_current_land_use!$B$7,Value_look_up_tables!$A$111:$C$133,3,FALSE)&amp;"|"&amp;VLOOKUP($B$6,Value_look_up_tables!$A$141:$B$146,2,FALSE),Value_look_up_tables!$F$23:$H$107,3,FALSE),IFERROR($B20*VLOOKUP($A20&amp;"|"&amp;"TRUE"&amp;"|"&amp;VLOOKUP(Nutrients_from_current_land_use!$B$7,Value_look_up_tables!$A$111:$C$133,3,FALSE)&amp;"|"&amp;VLOOKUP($B$6,Value_look_up_tables!$A$141:$B$146,2,FALSE),Value_look_up_tables!$F$23:$H$107,3,FALSE),$B20*VLOOKUP($A20&amp;"|"&amp;VLOOKUP(Nutrients_from_current_land_use!$B$8,Value_look_up_tables!$A$150:$B$151,2,FALSE)&amp;"|"&amp;VLOOKUP(Nutrients_from_current_land_use!$B$7,Value_look_up_tables!$A$111:$C$133,3,FALSE)&amp;"|"&amp;"DrainedArGr",Value_look_up_tables!$F$23:$H$107,3,FALSE))),IFERROR($B20*VLOOKUP($A20&amp;"|"&amp;VLOOKUP(Nutrients_from_current_land_use!$B$7,Value_look_up_tables!$A$111:$C$133,3,FALSE),Value_look_up_tables!$I$23:$K$99,3,FALSE),$B20*VLOOKUP($A20,Value_look_up_tables!$B$23:$M$99,12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$137:$B$137,2,FALSE)&amp;"|"&amp;$A20&amp;"|"&amp;VLOOKUP(Nutrients_from_current_land_use!$B$8,Value_look_up_tables!$A$150:$B$151,2,FALSE)&amp;"|"&amp;VLOOKUP(Nutrients_from_current_land_use!$B$7,Value_look_up_tables!$A$111:$C$133,3,FALSE)&amp;"|"&amp;VLOOKUP($B$6,Value_look_up_tables!$A$141:$B$146,2,FALSE)))),Value_look_up_tables!$F$23:$H$107,3,FALSE),
IFERROR($B20*VLOOKUP($A20&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2.95" customHeight="1" x14ac:dyDescent="0.2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$137:$B$137,2,FALSE)&amp;"|"&amp;$A21&amp;"|"&amp;VLOOKUP(Nutrients_from_current_land_use!$B$8,Value_look_up_tables!$A$150:$B$151,2,FALSE)&amp;"|"&amp;VLOOKUP(Nutrients_from_current_land_use!$B$7,Value_look_up_tables!$A$111:$C$133,3,FALSE)&amp;"|"&amp;VLOOKUP($B$6,Value_look_up_tables!$A$141:$B$146,2,FALSE)))),Value_look_up_tables!$F$23:$H$107,3,FALSE),
IFERROR(IFERROR($B21*VLOOKUP($A21&amp;"|"&amp;VLOOKUP(Nutrients_from_current_land_use!$B$8,Value_look_up_tables!$A$150:$B$151,2,FALSE)&amp;"|"&amp;VLOOKUP(Nutrients_from_current_land_use!$B$7,Value_look_up_tables!$A$111:$C$133,3,FALSE)&amp;"|"&amp;VLOOKUP($B$6,Value_look_up_tables!$A$141:$B$146,2,FALSE),Value_look_up_tables!$F$23:$H$107,3,FALSE),IFERROR($B21*VLOOKUP($A21&amp;"|"&amp;"TRUE"&amp;"|"&amp;VLOOKUP(Nutrients_from_current_land_use!$B$7,Value_look_up_tables!$A$111:$C$133,3,FALSE)&amp;"|"&amp;VLOOKUP($B$6,Value_look_up_tables!$A$141:$B$146,2,FALSE),Value_look_up_tables!$F$23:$H$107,3,FALSE),$B21*VLOOKUP($A21&amp;"|"&amp;VLOOKUP(Nutrients_from_current_land_use!$B$8,Value_look_up_tables!$A$150:$B$151,2,FALSE)&amp;"|"&amp;VLOOKUP(Nutrients_from_current_land_use!$B$7,Value_look_up_tables!$A$111:$C$133,3,FALSE)&amp;"|"&amp;"DrainedArGr",Value_look_up_tables!$F$23:$H$107,3,FALSE))),IFERROR($B21*VLOOKUP($A21&amp;"|"&amp;VLOOKUP(Nutrients_from_current_land_use!$B$7,Value_look_up_tables!$A$111:$C$133,3,FALSE),Value_look_up_tables!$I$23:$K$99,3,FALSE),$B21*VLOOKUP($A21,Value_look_up_tables!$B$23:$M$99,12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$137:$B$137,2,FALSE)&amp;"|"&amp;$A21&amp;"|"&amp;VLOOKUP(Nutrients_from_current_land_use!$B$8,Value_look_up_tables!$A$150:$B$151,2,FALSE)&amp;"|"&amp;VLOOKUP(Nutrients_from_current_land_use!$B$7,Value_look_up_tables!$A$111:$C$133,3,FALSE)&amp;"|"&amp;VLOOKUP($B$6,Value_look_up_tables!$A$141:$B$146,2,FALSE)))),Value_look_up_tables!$F$23:$H$107,3,FALSE),
IFERROR($B21*VLOOKUP($A21&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2.95" customHeight="1" x14ac:dyDescent="0.2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$137:$B$137,2,FALSE)&amp;"|"&amp;$A22&amp;"|"&amp;VLOOKUP(Nutrients_from_current_land_use!$B$8,Value_look_up_tables!$A$150:$B$151,2,FALSE)&amp;"|"&amp;VLOOKUP(Nutrients_from_current_land_use!$B$7,Value_look_up_tables!$A$111:$C$133,3,FALSE)&amp;"|"&amp;VLOOKUP($B$6,Value_look_up_tables!$A$141:$B$146,2,FALSE)))),Value_look_up_tables!$F$23:$H$107,3,FALSE),
IFERROR(IFERROR($B22*VLOOKUP($A22&amp;"|"&amp;VLOOKUP(Nutrients_from_current_land_use!$B$8,Value_look_up_tables!$A$150:$B$151,2,FALSE)&amp;"|"&amp;VLOOKUP(Nutrients_from_current_land_use!$B$7,Value_look_up_tables!$A$111:$C$133,3,FALSE)&amp;"|"&amp;VLOOKUP($B$6,Value_look_up_tables!$A$141:$B$146,2,FALSE),Value_look_up_tables!$F$23:$H$107,3,FALSE),IFERROR($B22*VLOOKUP($A22&amp;"|"&amp;"TRUE"&amp;"|"&amp;VLOOKUP(Nutrients_from_current_land_use!$B$7,Value_look_up_tables!$A$111:$C$133,3,FALSE)&amp;"|"&amp;VLOOKUP($B$6,Value_look_up_tables!$A$141:$B$146,2,FALSE),Value_look_up_tables!$F$23:$H$107,3,FALSE),$B22*VLOOKUP($A22&amp;"|"&amp;VLOOKUP(Nutrients_from_current_land_use!$B$8,Value_look_up_tables!$A$150:$B$151,2,FALSE)&amp;"|"&amp;VLOOKUP(Nutrients_from_current_land_use!$B$7,Value_look_up_tables!$A$111:$C$133,3,FALSE)&amp;"|"&amp;"DrainedArGr",Value_look_up_tables!$F$23:$H$107,3,FALSE))),IFERROR($B22*VLOOKUP($A22&amp;"|"&amp;VLOOKUP(Nutrients_from_current_land_use!$B$7,Value_look_up_tables!$A$111:$C$133,3,FALSE),Value_look_up_tables!$I$23:$K$99,3,FALSE),$B22*VLOOKUP($A22,Value_look_up_tables!$B$23:$M$99,12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$137:$B$137,2,FALSE)&amp;"|"&amp;$A22&amp;"|"&amp;VLOOKUP(Nutrients_from_current_land_use!$B$8,Value_look_up_tables!$A$150:$B$151,2,FALSE)&amp;"|"&amp;VLOOKUP(Nutrients_from_current_land_use!$B$7,Value_look_up_tables!$A$111:$C$133,3,FALSE)&amp;"|"&amp;VLOOKUP($B$6,Value_look_up_tables!$A$141:$B$146,2,FALSE)))),Value_look_up_tables!$F$23:$H$107,3,FALSE),
IFERROR($B22*VLOOKUP($A22&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2.95" customHeight="1" x14ac:dyDescent="0.2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$137:$B$137,2,FALSE)&amp;"|"&amp;$A23&amp;"|"&amp;VLOOKUP(Nutrients_from_current_land_use!$B$8,Value_look_up_tables!$A$150:$B$151,2,FALSE)&amp;"|"&amp;VLOOKUP(Nutrients_from_current_land_use!$B$7,Value_look_up_tables!$A$111:$C$133,3,FALSE)&amp;"|"&amp;VLOOKUP($B$6,Value_look_up_tables!$A$141:$B$146,2,FALSE)))),Value_look_up_tables!$F$23:$H$107,3,FALSE),
IFERROR(IFERROR($B23*VLOOKUP($A23&amp;"|"&amp;VLOOKUP(Nutrients_from_current_land_use!$B$8,Value_look_up_tables!$A$150:$B$151,2,FALSE)&amp;"|"&amp;VLOOKUP(Nutrients_from_current_land_use!$B$7,Value_look_up_tables!$A$111:$C$133,3,FALSE)&amp;"|"&amp;VLOOKUP($B$6,Value_look_up_tables!$A$141:$B$146,2,FALSE),Value_look_up_tables!$F$23:$H$107,3,FALSE),IFERROR($B23*VLOOKUP($A23&amp;"|"&amp;"TRUE"&amp;"|"&amp;VLOOKUP(Nutrients_from_current_land_use!$B$7,Value_look_up_tables!$A$111:$C$133,3,FALSE)&amp;"|"&amp;VLOOKUP($B$6,Value_look_up_tables!$A$141:$B$146,2,FALSE),Value_look_up_tables!$F$23:$H$107,3,FALSE),$B23*VLOOKUP($A23&amp;"|"&amp;VLOOKUP(Nutrients_from_current_land_use!$B$8,Value_look_up_tables!$A$150:$B$151,2,FALSE)&amp;"|"&amp;VLOOKUP(Nutrients_from_current_land_use!$B$7,Value_look_up_tables!$A$111:$C$133,3,FALSE)&amp;"|"&amp;"DrainedArGr",Value_look_up_tables!$F$23:$H$107,3,FALSE))),IFERROR($B23*VLOOKUP($A23&amp;"|"&amp;VLOOKUP(Nutrients_from_current_land_use!$B$7,Value_look_up_tables!$A$111:$C$133,3,FALSE),Value_look_up_tables!$I$23:$K$99,3,FALSE),$B23*VLOOKUP($A23,Value_look_up_tables!$B$23:$M$99,12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$137:$B$137,2,FALSE)&amp;"|"&amp;$A23&amp;"|"&amp;VLOOKUP(Nutrients_from_current_land_use!$B$8,Value_look_up_tables!$A$150:$B$151,2,FALSE)&amp;"|"&amp;VLOOKUP(Nutrients_from_current_land_use!$B$7,Value_look_up_tables!$A$111:$C$133,3,FALSE)&amp;"|"&amp;VLOOKUP($B$6,Value_look_up_tables!$A$141:$B$146,2,FALSE)))),Value_look_up_tables!$F$23:$H$107,3,FALSE),
IFERROR($B23*VLOOKUP($A23&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2.95" customHeight="1" x14ac:dyDescent="0.2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$137:$B$137,2,FALSE)&amp;"|"&amp;$A24&amp;"|"&amp;VLOOKUP(Nutrients_from_current_land_use!$B$8,Value_look_up_tables!$A$150:$B$151,2,FALSE)&amp;"|"&amp;VLOOKUP(Nutrients_from_current_land_use!$B$7,Value_look_up_tables!$A$111:$C$133,3,FALSE)&amp;"|"&amp;VLOOKUP($B$6,Value_look_up_tables!$A$141:$B$146,2,FALSE)))),Value_look_up_tables!$F$23:$H$107,3,FALSE),
IFERROR(IFERROR($B24*VLOOKUP($A24&amp;"|"&amp;VLOOKUP(Nutrients_from_current_land_use!$B$8,Value_look_up_tables!$A$150:$B$151,2,FALSE)&amp;"|"&amp;VLOOKUP(Nutrients_from_current_land_use!$B$7,Value_look_up_tables!$A$111:$C$133,3,FALSE)&amp;"|"&amp;VLOOKUP($B$6,Value_look_up_tables!$A$141:$B$146,2,FALSE),Value_look_up_tables!$F$23:$H$107,3,FALSE),IFERROR($B24*VLOOKUP($A24&amp;"|"&amp;"TRUE"&amp;"|"&amp;VLOOKUP(Nutrients_from_current_land_use!$B$7,Value_look_up_tables!$A$111:$C$133,3,FALSE)&amp;"|"&amp;VLOOKUP($B$6,Value_look_up_tables!$A$141:$B$146,2,FALSE),Value_look_up_tables!$F$23:$H$107,3,FALSE),$B24*VLOOKUP($A24&amp;"|"&amp;VLOOKUP(Nutrients_from_current_land_use!$B$8,Value_look_up_tables!$A$150:$B$151,2,FALSE)&amp;"|"&amp;VLOOKUP(Nutrients_from_current_land_use!$B$7,Value_look_up_tables!$A$111:$C$133,3,FALSE)&amp;"|"&amp;"DrainedArGr",Value_look_up_tables!$F$23:$H$107,3,FALSE))),IFERROR($B24*VLOOKUP($A24&amp;"|"&amp;VLOOKUP(Nutrients_from_current_land_use!$B$7,Value_look_up_tables!$A$111:$C$133,3,FALSE),Value_look_up_tables!$I$23:$K$99,3,FALSE),$B24*VLOOKUP($A24,Value_look_up_tables!$B$23:$M$99,12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$137:$B$137,2,FALSE)&amp;"|"&amp;$A24&amp;"|"&amp;VLOOKUP(Nutrients_from_current_land_use!$B$8,Value_look_up_tables!$A$150:$B$151,2,FALSE)&amp;"|"&amp;VLOOKUP(Nutrients_from_current_land_use!$B$7,Value_look_up_tables!$A$111:$C$133,3,FALSE)&amp;"|"&amp;VLOOKUP($B$6,Value_look_up_tables!$A$141:$B$146,2,FALSE)))),Value_look_up_tables!$F$23:$H$107,3,FALSE),
IFERROR($B24*VLOOKUP($A24&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2.95" customHeight="1" x14ac:dyDescent="0.2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$137:$B$137,2,FALSE)&amp;"|"&amp;$A25&amp;"|"&amp;VLOOKUP(Nutrients_from_current_land_use!$B$8,Value_look_up_tables!$A$150:$B$151,2,FALSE)&amp;"|"&amp;VLOOKUP(Nutrients_from_current_land_use!$B$7,Value_look_up_tables!$A$111:$C$133,3,FALSE)&amp;"|"&amp;VLOOKUP($B$6,Value_look_up_tables!$A$141:$B$146,2,FALSE)))),Value_look_up_tables!$F$23:$H$107,3,FALSE),
IFERROR(IFERROR($B25*VLOOKUP($A25&amp;"|"&amp;VLOOKUP(Nutrients_from_current_land_use!$B$8,Value_look_up_tables!$A$150:$B$151,2,FALSE)&amp;"|"&amp;VLOOKUP(Nutrients_from_current_land_use!$B$7,Value_look_up_tables!$A$111:$C$133,3,FALSE)&amp;"|"&amp;VLOOKUP($B$6,Value_look_up_tables!$A$141:$B$146,2,FALSE),Value_look_up_tables!$F$23:$H$107,3,FALSE),IFERROR($B25*VLOOKUP($A25&amp;"|"&amp;"TRUE"&amp;"|"&amp;VLOOKUP(Nutrients_from_current_land_use!$B$7,Value_look_up_tables!$A$111:$C$133,3,FALSE)&amp;"|"&amp;VLOOKUP($B$6,Value_look_up_tables!$A$141:$B$146,2,FALSE),Value_look_up_tables!$F$23:$H$107,3,FALSE),$B25*VLOOKUP($A25&amp;"|"&amp;VLOOKUP(Nutrients_from_current_land_use!$B$8,Value_look_up_tables!$A$150:$B$151,2,FALSE)&amp;"|"&amp;VLOOKUP(Nutrients_from_current_land_use!$B$7,Value_look_up_tables!$A$111:$C$133,3,FALSE)&amp;"|"&amp;"DrainedArGr",Value_look_up_tables!$F$23:$H$107,3,FALSE))),IFERROR($B25*VLOOKUP($A25&amp;"|"&amp;VLOOKUP(Nutrients_from_current_land_use!$B$7,Value_look_up_tables!$A$111:$C$133,3,FALSE),Value_look_up_tables!$I$23:$K$99,3,FALSE),$B25*VLOOKUP($A25,Value_look_up_tables!$B$23:$M$99,12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$137:$B$137,2,FALSE)&amp;"|"&amp;$A25&amp;"|"&amp;VLOOKUP(Nutrients_from_current_land_use!$B$8,Value_look_up_tables!$A$150:$B$151,2,FALSE)&amp;"|"&amp;VLOOKUP(Nutrients_from_current_land_use!$B$7,Value_look_up_tables!$A$111:$C$133,3,FALSE)&amp;"|"&amp;VLOOKUP($B$6,Value_look_up_tables!$A$141:$B$146,2,FALSE)))),Value_look_up_tables!$F$23:$H$107,3,FALSE),
IFERROR($B25*VLOOKUP($A25&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2.95" customHeight="1" x14ac:dyDescent="0.2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$137:$B$137,2,FALSE)&amp;"|"&amp;$A26&amp;"|"&amp;VLOOKUP(Nutrients_from_current_land_use!$B$8,Value_look_up_tables!$A$150:$B$151,2,FALSE)&amp;"|"&amp;VLOOKUP(Nutrients_from_current_land_use!$B$7,Value_look_up_tables!$A$111:$C$133,3,FALSE)&amp;"|"&amp;VLOOKUP($B$6,Value_look_up_tables!$A$141:$B$146,2,FALSE)))),Value_look_up_tables!$F$23:$H$107,3,FALSE),
IFERROR(IFERROR($B26*VLOOKUP($A26&amp;"|"&amp;VLOOKUP(Nutrients_from_current_land_use!$B$8,Value_look_up_tables!$A$150:$B$151,2,FALSE)&amp;"|"&amp;VLOOKUP(Nutrients_from_current_land_use!$B$7,Value_look_up_tables!$A$111:$C$133,3,FALSE)&amp;"|"&amp;VLOOKUP($B$6,Value_look_up_tables!$A$141:$B$146,2,FALSE),Value_look_up_tables!$F$23:$H$107,3,FALSE),IFERROR($B26*VLOOKUP($A26&amp;"|"&amp;"TRUE"&amp;"|"&amp;VLOOKUP(Nutrients_from_current_land_use!$B$7,Value_look_up_tables!$A$111:$C$133,3,FALSE)&amp;"|"&amp;VLOOKUP($B$6,Value_look_up_tables!$A$141:$B$146,2,FALSE),Value_look_up_tables!$F$23:$H$107,3,FALSE),$B26*VLOOKUP($A26&amp;"|"&amp;VLOOKUP(Nutrients_from_current_land_use!$B$8,Value_look_up_tables!$A$150:$B$151,2,FALSE)&amp;"|"&amp;VLOOKUP(Nutrients_from_current_land_use!$B$7,Value_look_up_tables!$A$111:$C$133,3,FALSE)&amp;"|"&amp;"DrainedArGr",Value_look_up_tables!$F$23:$H$107,3,FALSE))),IFERROR($B26*VLOOKUP($A26&amp;"|"&amp;VLOOKUP(Nutrients_from_current_land_use!$B$7,Value_look_up_tables!$A$111:$C$133,3,FALSE),Value_look_up_tables!$I$23:$K$99,3,FALSE),$B26*VLOOKUP($A26,Value_look_up_tables!$B$23:$M$99,12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$137:$B$137,2,FALSE)&amp;"|"&amp;$A26&amp;"|"&amp;VLOOKUP(Nutrients_from_current_land_use!$B$8,Value_look_up_tables!$A$150:$B$151,2,FALSE)&amp;"|"&amp;VLOOKUP(Nutrients_from_current_land_use!$B$7,Value_look_up_tables!$A$111:$C$133,3,FALSE)&amp;"|"&amp;VLOOKUP($B$6,Value_look_up_tables!$A$141:$B$146,2,FALSE)))),Value_look_up_tables!$F$23:$H$107,3,FALSE),
IFERROR($B26*VLOOKUP($A26&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95" customHeight="1" x14ac:dyDescent="0.2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$137:$B$137,2,FALSE)&amp;"|"&amp;$A27&amp;"|"&amp;VLOOKUP(Nutrients_from_current_land_use!$B$8,Value_look_up_tables!$A$150:$B$151,2,FALSE)&amp;"|"&amp;VLOOKUP(Nutrients_from_current_land_use!$B$7,Value_look_up_tables!$A$111:$C$133,3,FALSE)&amp;"|"&amp;VLOOKUP($B$6,Value_look_up_tables!$A$141:$B$146,2,FALSE)))),Value_look_up_tables!$F$23:$H$107,3,FALSE),
IFERROR(IFERROR($B27*VLOOKUP($A27&amp;"|"&amp;VLOOKUP(Nutrients_from_current_land_use!$B$8,Value_look_up_tables!$A$150:$B$151,2,FALSE)&amp;"|"&amp;VLOOKUP(Nutrients_from_current_land_use!$B$7,Value_look_up_tables!$A$111:$C$133,3,FALSE)&amp;"|"&amp;VLOOKUP($B$6,Value_look_up_tables!$A$141:$B$146,2,FALSE),Value_look_up_tables!$F$23:$H$107,3,FALSE),IFERROR($B27*VLOOKUP($A27&amp;"|"&amp;"TRUE"&amp;"|"&amp;VLOOKUP(Nutrients_from_current_land_use!$B$7,Value_look_up_tables!$A$111:$C$133,3,FALSE)&amp;"|"&amp;VLOOKUP($B$6,Value_look_up_tables!$A$141:$B$146,2,FALSE),Value_look_up_tables!$F$23:$H$107,3,FALSE),$B27*VLOOKUP($A27&amp;"|"&amp;VLOOKUP(Nutrients_from_current_land_use!$B$8,Value_look_up_tables!$A$150:$B$151,2,FALSE)&amp;"|"&amp;VLOOKUP(Nutrients_from_current_land_use!$B$7,Value_look_up_tables!$A$111:$C$133,3,FALSE)&amp;"|"&amp;"DrainedArGr",Value_look_up_tables!$F$23:$H$107,3,FALSE))),IFERROR($B27*VLOOKUP($A27&amp;"|"&amp;VLOOKUP(Nutrients_from_current_land_use!$B$7,Value_look_up_tables!$A$111:$C$133,3,FALSE),Value_look_up_tables!$I$23:$K$99,3,FALSE),$B27*VLOOKUP($A27,Value_look_up_tables!$B$23:$M$99,12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$137:$B$137,2,FALSE)&amp;"|"&amp;$A27&amp;"|"&amp;VLOOKUP(Nutrients_from_current_land_use!$B$8,Value_look_up_tables!$A$150:$B$151,2,FALSE)&amp;"|"&amp;VLOOKUP(Nutrients_from_current_land_use!$B$7,Value_look_up_tables!$A$111:$C$133,3,FALSE)&amp;"|"&amp;VLOOKUP($B$6,Value_look_up_tables!$A$141:$B$146,2,FALSE)))),Value_look_up_tables!$F$23:$H$107,3,FALSE),
IFERROR($B27*VLOOKUP($A27&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42">
        <f>SUM(B11:B27)</f>
        <v>0</v>
      </c>
      <c r="C28" s="42">
        <f>SUM(C11:C27)</f>
        <v>0</v>
      </c>
      <c r="D28" s="49"/>
    </row>
    <row r="30" spans="1:6" ht="15" x14ac:dyDescent="0.25">
      <c r="F30" s="43"/>
    </row>
  </sheetData>
  <sheetProtection algorithmName="SHA-512" hashValue="BIaxGas0PHGKuUnAtb+EK0cTddzr/ypdqAGcusEgCxgaCbP3e8gRfchzU436dYWTtVNNTlfRpcRQZnJBb6Yojw==" saltValue="wUaKCDlUy4j5/gyBcgXH3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Value_look_up_tables!$A$115:$A$122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Value_look_up_tables!$A$150:$A$151</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Value_look_up_tables!$A$141:$A$146</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Value_look_up_tables!$A$137:$A$137</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Value_look_up_tables!$A$175:$A$189</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x14ac:dyDescent="0.2"/>
  <cols>
    <col min="1" max="1" width="67.7109375" style="52" customWidth="1"/>
    <col min="2" max="2" width="22.85546875" style="52" customWidth="1"/>
    <col min="3" max="3" width="24.5703125" style="52" customWidth="1"/>
    <col min="4" max="473" width="8.5703125" style="52" customWidth="1"/>
    <col min="474" max="16384" width="9.140625" style="52"/>
  </cols>
  <sheetData>
    <row r="1" spans="1:3" ht="50.25" customHeight="1" x14ac:dyDescent="0.2">
      <c r="A1" s="5" t="s">
        <v>16</v>
      </c>
      <c r="B1" s="51"/>
      <c r="C1" s="51"/>
    </row>
    <row r="2" spans="1:3" ht="373.5" customHeight="1" x14ac:dyDescent="0.2">
      <c r="A2" s="7" t="s">
        <v>93</v>
      </c>
      <c r="B2" s="53"/>
      <c r="C2" s="51"/>
    </row>
    <row r="3" spans="1:3" ht="51" customHeight="1" x14ac:dyDescent="0.25">
      <c r="A3" s="8" t="s">
        <v>94</v>
      </c>
      <c r="B3" s="54"/>
      <c r="C3" s="54"/>
    </row>
    <row r="4" spans="1:3" ht="56.25" customHeight="1" x14ac:dyDescent="0.2">
      <c r="A4" s="59" t="s">
        <v>95</v>
      </c>
      <c r="B4" s="59" t="s">
        <v>89</v>
      </c>
      <c r="C4" s="59" t="s">
        <v>96</v>
      </c>
    </row>
    <row r="5" spans="1:3" ht="23.25" customHeight="1" x14ac:dyDescent="0.2">
      <c r="A5" s="61"/>
      <c r="B5" s="30"/>
      <c r="C5" s="50">
        <f>IFERROR(IF(OR(ISBLANK(A5),ISBLANK(B5)),0,B5*VLOOKUP((IF(OR(A5="Residential urban land",A5="Commercial/industrial urban land",A5="Open urban land",A5="Greenspace",A5="Community food growing",A5="Woodland",A5="Shrub", A5="Water"), "|||"&amp;A5, (VLOOKUP(Nutrients_from_current_land_use!$B$5,Value_look_up_tables!$A$137:$B$137,2,FALSE)&amp;"|"&amp;A5&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6" spans="1:3" ht="23.25" customHeight="1" x14ac:dyDescent="0.2">
      <c r="A6" s="62"/>
      <c r="B6" s="63"/>
      <c r="C6" s="50">
        <f>IFERROR(IF(OR(ISBLANK(A6),ISBLANK(B6)),0,B6*VLOOKUP((IF(OR(A6="Residential urban land",A6="Commercial/industrial urban land",A6="Open urban land",A6="Greenspace",A6="Community food growing",A6="Woodland",A6="Shrub", A6="Water"), "|||"&amp;A6, (VLOOKUP(Nutrients_from_current_land_use!$B$5,Value_look_up_tables!$A$137:$B$137,2,FALSE)&amp;"|"&amp;A6&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7" spans="1:3" ht="23.25" customHeight="1" x14ac:dyDescent="0.2">
      <c r="A7" s="62"/>
      <c r="B7" s="63"/>
      <c r="C7" s="50">
        <f>IFERROR(IF(OR(ISBLANK(A7),ISBLANK(B7)),0,B7*VLOOKUP((IF(OR(A7="Residential urban land",A7="Commercial/industrial urban land",A7="Open urban land",A7="Greenspace",A7="Community food growing",A7="Woodland",A7="Shrub", A7="Water"), "|||"&amp;A7, (VLOOKUP(Nutrients_from_current_land_use!$B$5,Value_look_up_tables!$A$137:$B$137,2,FALSE)&amp;"|"&amp;A7&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8" spans="1:3" ht="23.25" customHeight="1" x14ac:dyDescent="0.2">
      <c r="A8" s="62"/>
      <c r="B8" s="63"/>
      <c r="C8" s="50">
        <f>IFERROR(IF(OR(ISBLANK(A8),ISBLANK(B8)),0,B8*VLOOKUP((IF(OR(A8="Residential urban land",A8="Commercial/industrial urban land",A8="Open urban land",A8="Greenspace",A8="Community food growing",A8="Woodland",A8="Shrub", A8="Water"), "|||"&amp;A8, (VLOOKUP(Nutrients_from_current_land_use!$B$5,Value_look_up_tables!$A$137:$B$137,2,FALSE)&amp;"|"&amp;A8&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9" spans="1:3" ht="23.25" customHeight="1" x14ac:dyDescent="0.2">
      <c r="A9" s="62"/>
      <c r="B9" s="63"/>
      <c r="C9" s="50">
        <f>IFERROR(IF(OR(ISBLANK(A9),ISBLANK(B9)),0,B9*VLOOKUP((IF(OR(A9="Residential urban land",A9="Commercial/industrial urban land",A9="Open urban land",A9="Greenspace",A9="Community food growing",A9="Woodland",A9="Shrub", A9="Water"), "|||"&amp;A9, (VLOOKUP(Nutrients_from_current_land_use!$B$5,Value_look_up_tables!$A$137:$B$137,2,FALSE)&amp;"|"&amp;A9&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0" spans="1:3" ht="23.25" customHeight="1" x14ac:dyDescent="0.2">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$137:$B$137,2,FALSE)&amp;"|"&amp;A10&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1" spans="1:3" ht="23.25" customHeight="1" x14ac:dyDescent="0.2">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$137:$B$137,2,FALSE)&amp;"|"&amp;A11&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2" spans="1:3" ht="23.25" customHeight="1" x14ac:dyDescent="0.2">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$137:$B$137,2,FALSE)&amp;"|"&amp;A12&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3" spans="1:3" ht="23.25" customHeight="1" x14ac:dyDescent="0.2">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$137:$B$137,2,FALSE)&amp;"|"&amp;A13&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4" spans="1:3" ht="23.25" customHeight="1" x14ac:dyDescent="0.2">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$137:$B$137,2,FALSE)&amp;"|"&amp;A14&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5" spans="1:3" ht="23.25" customHeight="1" x14ac:dyDescent="0.2">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$137:$B$137,2,FALSE)&amp;"|"&amp;A15&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6" spans="1:3" ht="23.25" customHeight="1" x14ac:dyDescent="0.2">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$137:$B$137,2,FALSE)&amp;"|"&amp;A16&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7" spans="1:5" ht="23.25" customHeight="1" x14ac:dyDescent="0.2">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$137:$B$137,2,FALSE)&amp;"|"&amp;A17&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8" spans="1:5" ht="23.25" customHeight="1" x14ac:dyDescent="0.2">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$137:$B$137,2,FALSE)&amp;"|"&amp;A18&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9" spans="1:5" ht="23.25" customHeight="1" x14ac:dyDescent="0.2">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$137:$B$137,2,FALSE)&amp;"|"&amp;A19&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20" spans="1:5" ht="23.25" customHeight="1" x14ac:dyDescent="0.25">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$137:$B$137,2,FALSE)&amp;"|"&amp;A20&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c r="E20" s="57"/>
    </row>
    <row r="21" spans="1:5" ht="23.25" customHeight="1" x14ac:dyDescent="0.2">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$137:$B$137,2,FALSE)&amp;"|"&amp;A21&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22" spans="1:5" ht="23.25" customHeight="1" x14ac:dyDescent="0.2">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Value_look_up_tables!$A$164:$A$171</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topLeftCell="A10" zoomScaleNormal="100" workbookViewId="0"/>
  </sheetViews>
  <sheetFormatPr defaultColWidth="9.140625" defaultRowHeight="14.25" x14ac:dyDescent="0.25"/>
  <cols>
    <col min="1" max="1" width="132.140625" style="65" customWidth="1"/>
    <col min="2" max="3" width="19.85546875" style="65" customWidth="1"/>
    <col min="4" max="4" width="22.140625" style="65" customWidth="1"/>
    <col min="5" max="5" width="60.85546875" style="65" customWidth="1"/>
    <col min="6" max="6" width="23" style="65" customWidth="1"/>
    <col min="7" max="7" width="23.7109375" style="65" customWidth="1"/>
    <col min="8" max="8" width="117.140625" style="65" customWidth="1"/>
    <col min="9" max="471" width="8.5703125" style="65" customWidth="1"/>
    <col min="472" max="16384" width="9.140625" style="65"/>
  </cols>
  <sheetData>
    <row r="1" spans="1:11" ht="67.5" customHeight="1" x14ac:dyDescent="0.25">
      <c r="A1" s="5" t="s">
        <v>97</v>
      </c>
      <c r="B1" s="51"/>
      <c r="C1" s="51"/>
      <c r="D1" s="51"/>
    </row>
    <row r="2" spans="1:11" ht="409.6" customHeight="1" x14ac:dyDescent="0.25">
      <c r="A2" s="7" t="s">
        <v>98</v>
      </c>
      <c r="B2" s="66"/>
      <c r="C2" s="66"/>
      <c r="D2" s="66"/>
    </row>
    <row r="3" spans="1:11" ht="53.25" customHeight="1" x14ac:dyDescent="0.25">
      <c r="A3" s="84" t="s">
        <v>99</v>
      </c>
      <c r="B3" s="66"/>
      <c r="C3" s="66"/>
      <c r="D3" s="66"/>
    </row>
    <row r="4" spans="1:11" ht="97.5" customHeight="1" x14ac:dyDescent="0.25">
      <c r="A4" s="60" t="s">
        <v>100</v>
      </c>
      <c r="B4" s="60" t="s">
        <v>101</v>
      </c>
      <c r="C4" s="60" t="s">
        <v>102</v>
      </c>
      <c r="D4" s="60" t="s">
        <v>103</v>
      </c>
      <c r="E4" s="60" t="s">
        <v>104</v>
      </c>
      <c r="F4" s="60" t="s">
        <v>105</v>
      </c>
      <c r="G4" s="60" t="s">
        <v>106</v>
      </c>
      <c r="H4" s="69" t="s">
        <v>91</v>
      </c>
    </row>
    <row r="5" spans="1:11" ht="36" customHeight="1" x14ac:dyDescent="0.2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2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2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2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2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2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2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2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_xlfn.ANCHORARRAY(Value_look_up_tables!$A$193)</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40625" defaultRowHeight="14.25" x14ac:dyDescent="0.25"/>
  <cols>
    <col min="1" max="1" width="78.7109375" style="65" customWidth="1"/>
    <col min="2" max="2" width="30.85546875" style="65" customWidth="1"/>
    <col min="3" max="4" width="40.5703125" style="65" customWidth="1"/>
    <col min="5" max="466" width="8.5703125" style="65" customWidth="1"/>
    <col min="467" max="16384" width="9.140625" style="65"/>
  </cols>
  <sheetData>
    <row r="1" spans="1:4" ht="50.25" customHeight="1" x14ac:dyDescent="0.25">
      <c r="A1" s="5" t="s">
        <v>107</v>
      </c>
      <c r="B1" s="51"/>
    </row>
    <row r="2" spans="1:4" ht="249" customHeight="1" x14ac:dyDescent="0.25">
      <c r="A2" s="55" t="s">
        <v>108</v>
      </c>
      <c r="B2" s="75"/>
      <c r="C2" s="74"/>
      <c r="D2" s="74"/>
    </row>
    <row r="3" spans="1:4" ht="50.25" customHeight="1" x14ac:dyDescent="0.25">
      <c r="A3" s="8" t="s">
        <v>109</v>
      </c>
      <c r="B3" s="58"/>
      <c r="C3" s="74"/>
      <c r="D3" s="74"/>
    </row>
    <row r="4" spans="1:4" ht="24.75" customHeight="1" x14ac:dyDescent="0.25">
      <c r="A4" s="32" t="s">
        <v>76</v>
      </c>
      <c r="B4" s="2" t="s">
        <v>77</v>
      </c>
    </row>
    <row r="5" spans="1:4" ht="24.75" customHeight="1" x14ac:dyDescent="0.25">
      <c r="A5" s="76" t="s">
        <v>110</v>
      </c>
      <c r="B5" s="77">
        <f>Nutrients_from_wastewater!B18</f>
        <v>0</v>
      </c>
    </row>
    <row r="6" spans="1:4" ht="24.75" customHeight="1" x14ac:dyDescent="0.25">
      <c r="A6" s="18" t="s">
        <v>111</v>
      </c>
      <c r="B6" s="78">
        <f>IFERROR(Nutrients_from_future_land_use!C22-SuDS!G30-Nutrients_from_current_land_use!C28,0)</f>
        <v>0</v>
      </c>
    </row>
    <row r="7" spans="1:4" ht="24.75" customHeight="1" x14ac:dyDescent="0.25">
      <c r="A7" s="18" t="s">
        <v>112</v>
      </c>
      <c r="B7" s="78">
        <f>IFERROR(B5+B6,0)</f>
        <v>0</v>
      </c>
    </row>
    <row r="8" spans="1:4" ht="24.75" customHeight="1" x14ac:dyDescent="0.25">
      <c r="A8" s="18" t="s">
        <v>113</v>
      </c>
      <c r="B8" s="78">
        <f>IFERROR(IF(B7&lt;0,B7,B7*1.2),0)</f>
        <v>0</v>
      </c>
    </row>
    <row r="9" spans="1:4" ht="24.75" customHeight="1" x14ac:dyDescent="0.25">
      <c r="A9" s="82" t="str">
        <f>IFERROR(IF(AND(Nutrients_from_wastewater!$B$5&lt;DATE(2025,1,1),OR((VLOOKUP(Nutrients_from_wastewater!$B$9,Value_look_up_tables!$A$5:$E$17,2,FALSE))&gt;(VLOOKUP(Nutrients_from_wastewater!$B$9,Value_look_up_tables!$A$5:$E$17,3,FALSE)),(VLOOKUP(Nutrients_from_wastewater!$B$9,Value_look_up_tables!$A$5:$E$17,2,FALSE))&gt;(VLOOKUP(Nutrients_from_wastewater!$B$9,Value_look_up_tables!$A$5:$E$17,3,FALSE)))),"Post-2030 annual nutrient budget","Annual nutrient budget"),"Annual nutrient budget")</f>
        <v>Annual nutrient budget</v>
      </c>
      <c r="B9" s="83"/>
    </row>
    <row r="10" spans="1:4" ht="24.75" customHeight="1" x14ac:dyDescent="0.25">
      <c r="A10" s="76" t="s">
        <v>114</v>
      </c>
      <c r="B10" s="78">
        <f>IFERROR(IF(ROUND(B8,2)&lt;0,0,ROUND(B8,2)),0)</f>
        <v>0</v>
      </c>
    </row>
    <row r="11" spans="1:4" ht="24.75" customHeight="1" x14ac:dyDescent="0.2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2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25">
      <c r="A13" s="82" t="str">
        <f>IF(Nutrients_from_wastewater!A21="Not applicable","Not applicable",LEFT(Nutrients_from_wastewater!A21,9)&amp;"nutrient budget")</f>
        <v>Not applicable</v>
      </c>
      <c r="B13" s="83"/>
    </row>
    <row r="14" spans="1:4" ht="24.75" customHeight="1" x14ac:dyDescent="0.2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25">
      <c r="A15" s="81"/>
      <c r="B15" s="56"/>
    </row>
    <row r="16" spans="1:4" ht="15.75" x14ac:dyDescent="0.2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193"/>
  <sheetViews>
    <sheetView topLeftCell="A3" zoomScaleNormal="100" workbookViewId="0">
      <selection activeCell="F9" sqref="F9"/>
    </sheetView>
  </sheetViews>
  <sheetFormatPr defaultColWidth="65.42578125" defaultRowHeight="14.25" x14ac:dyDescent="0.2"/>
  <cols>
    <col min="1" max="1" width="47.28515625" style="88" customWidth="1"/>
    <col min="2" max="4" width="15.7109375" style="88" customWidth="1"/>
    <col min="5" max="5" width="25.7109375" style="88" customWidth="1"/>
    <col min="6" max="6" width="79.85546875" style="88" customWidth="1"/>
    <col min="7" max="8" width="15.7109375" style="88" customWidth="1"/>
    <col min="9" max="9" width="25.7109375" style="88" customWidth="1"/>
    <col min="10" max="13" width="15.7109375" style="88" customWidth="1"/>
    <col min="14" max="16384" width="65.42578125" style="88"/>
  </cols>
  <sheetData>
    <row r="1" spans="1:14" ht="50.25" customHeight="1" x14ac:dyDescent="0.2">
      <c r="A1" s="111" t="s">
        <v>12</v>
      </c>
      <c r="B1" s="86"/>
      <c r="C1" s="87"/>
      <c r="D1" s="87"/>
      <c r="E1" s="87"/>
      <c r="F1" s="87"/>
      <c r="G1" s="87"/>
      <c r="H1" s="87"/>
      <c r="I1" s="87"/>
      <c r="J1" s="87"/>
      <c r="K1" s="87"/>
      <c r="L1" s="87"/>
      <c r="M1" s="87"/>
      <c r="N1" s="87"/>
    </row>
    <row r="2" spans="1:14" ht="57.75" customHeight="1" x14ac:dyDescent="0.2">
      <c r="A2" s="99" t="s">
        <v>115</v>
      </c>
    </row>
    <row r="3" spans="1:14" ht="37.5" customHeight="1" x14ac:dyDescent="0.2">
      <c r="A3" s="110" t="s">
        <v>116</v>
      </c>
      <c r="B3" s="89"/>
    </row>
    <row r="4" spans="1:14" ht="75.75" customHeight="1" x14ac:dyDescent="0.2">
      <c r="A4" s="121" t="s">
        <v>117</v>
      </c>
      <c r="B4" s="122" t="s">
        <v>118</v>
      </c>
      <c r="C4" s="122" t="s">
        <v>119</v>
      </c>
      <c r="D4" s="123" t="s">
        <v>120</v>
      </c>
      <c r="E4" s="43"/>
      <c r="F4" s="81"/>
      <c r="G4" s="81"/>
      <c r="H4" s="43"/>
      <c r="I4" s="43"/>
      <c r="J4" s="81"/>
      <c r="L4" s="65"/>
      <c r="M4" s="65"/>
    </row>
    <row r="5" spans="1:14" x14ac:dyDescent="0.2">
      <c r="A5" s="90" t="s">
        <v>121</v>
      </c>
      <c r="B5" s="91">
        <v>8</v>
      </c>
      <c r="C5" s="91">
        <v>8</v>
      </c>
      <c r="D5" s="92">
        <v>8</v>
      </c>
      <c r="E5" s="65"/>
      <c r="F5" s="65"/>
      <c r="G5" s="65"/>
      <c r="H5" s="65"/>
      <c r="I5" s="65"/>
      <c r="J5" s="65"/>
      <c r="L5" s="65"/>
      <c r="M5" s="65"/>
    </row>
    <row r="6" spans="1:14" x14ac:dyDescent="0.2">
      <c r="A6" s="90" t="s">
        <v>122</v>
      </c>
      <c r="B6" s="91">
        <v>2</v>
      </c>
      <c r="C6" s="91">
        <v>2</v>
      </c>
      <c r="D6" s="92">
        <v>2</v>
      </c>
      <c r="E6" s="65"/>
      <c r="F6" s="65"/>
      <c r="G6" s="65"/>
      <c r="H6" s="65"/>
      <c r="I6" s="65"/>
      <c r="J6" s="65"/>
      <c r="L6" s="65"/>
      <c r="M6" s="65"/>
    </row>
    <row r="7" spans="1:14" x14ac:dyDescent="0.2">
      <c r="A7" s="90" t="s">
        <v>123</v>
      </c>
      <c r="B7" s="91">
        <v>1</v>
      </c>
      <c r="C7" s="91">
        <v>1</v>
      </c>
      <c r="D7" s="92">
        <v>0.25</v>
      </c>
      <c r="E7" s="65"/>
      <c r="F7" s="65"/>
      <c r="G7" s="65"/>
      <c r="H7" s="65"/>
      <c r="I7" s="65"/>
      <c r="J7" s="65"/>
      <c r="L7" s="65"/>
      <c r="M7" s="65"/>
    </row>
    <row r="8" spans="1:14" x14ac:dyDescent="0.2">
      <c r="A8" s="90" t="s">
        <v>124</v>
      </c>
      <c r="B8" s="91">
        <v>2</v>
      </c>
      <c r="C8" s="91">
        <v>2</v>
      </c>
      <c r="D8" s="92">
        <v>2</v>
      </c>
      <c r="E8" s="65"/>
      <c r="F8" s="65"/>
      <c r="G8" s="65"/>
      <c r="H8" s="65"/>
      <c r="I8" s="65"/>
      <c r="J8" s="65"/>
      <c r="L8" s="65"/>
      <c r="M8" s="65"/>
    </row>
    <row r="9" spans="1:14" x14ac:dyDescent="0.2">
      <c r="A9" s="90" t="s">
        <v>125</v>
      </c>
      <c r="B9" s="91">
        <v>1</v>
      </c>
      <c r="C9" s="91">
        <v>1</v>
      </c>
      <c r="D9" s="92">
        <v>0.25</v>
      </c>
      <c r="E9" s="65"/>
      <c r="F9" s="65"/>
      <c r="G9" s="65"/>
      <c r="H9" s="65"/>
      <c r="I9" s="65"/>
      <c r="J9" s="65"/>
      <c r="L9" s="65"/>
      <c r="M9" s="65"/>
    </row>
    <row r="10" spans="1:14" x14ac:dyDescent="0.2">
      <c r="A10" s="90" t="s">
        <v>126</v>
      </c>
      <c r="B10" s="91">
        <v>2</v>
      </c>
      <c r="C10" s="91">
        <v>2</v>
      </c>
      <c r="D10" s="92">
        <v>2</v>
      </c>
      <c r="E10" s="65"/>
      <c r="F10" s="65"/>
      <c r="G10" s="65"/>
      <c r="H10" s="65"/>
      <c r="I10" s="65"/>
      <c r="J10" s="65"/>
      <c r="L10" s="65"/>
      <c r="M10" s="65"/>
    </row>
    <row r="11" spans="1:14" x14ac:dyDescent="0.2">
      <c r="A11" s="90" t="s">
        <v>127</v>
      </c>
      <c r="B11" s="91">
        <v>2</v>
      </c>
      <c r="C11" s="91">
        <v>2</v>
      </c>
      <c r="D11" s="92">
        <v>2</v>
      </c>
      <c r="E11" s="65"/>
      <c r="F11" s="65"/>
      <c r="G11" s="65"/>
      <c r="H11" s="65"/>
      <c r="I11" s="65"/>
      <c r="J11" s="65"/>
      <c r="L11" s="65"/>
      <c r="M11" s="65"/>
    </row>
    <row r="12" spans="1:14" x14ac:dyDescent="0.2">
      <c r="A12" s="90" t="s">
        <v>128</v>
      </c>
      <c r="B12" s="91">
        <v>1</v>
      </c>
      <c r="C12" s="91">
        <v>1</v>
      </c>
      <c r="D12" s="92">
        <v>0.25</v>
      </c>
      <c r="E12" s="65"/>
      <c r="F12" s="65"/>
      <c r="G12" s="65"/>
      <c r="H12" s="65"/>
      <c r="I12" s="65"/>
      <c r="J12" s="65"/>
      <c r="L12" s="65"/>
      <c r="M12" s="65"/>
    </row>
    <row r="13" spans="1:14" x14ac:dyDescent="0.2">
      <c r="A13" s="90" t="s">
        <v>129</v>
      </c>
      <c r="B13" s="91">
        <v>1</v>
      </c>
      <c r="C13" s="91">
        <v>1</v>
      </c>
      <c r="D13" s="92">
        <v>0.25</v>
      </c>
      <c r="E13" s="65"/>
      <c r="F13" s="65"/>
      <c r="G13" s="65"/>
      <c r="H13" s="65"/>
      <c r="I13" s="65"/>
      <c r="J13" s="65"/>
      <c r="L13" s="65"/>
      <c r="M13" s="65"/>
    </row>
    <row r="14" spans="1:14" x14ac:dyDescent="0.2">
      <c r="A14" s="90" t="s">
        <v>130</v>
      </c>
      <c r="B14" s="91">
        <v>2</v>
      </c>
      <c r="C14" s="91">
        <v>2</v>
      </c>
      <c r="D14" s="92">
        <v>2</v>
      </c>
      <c r="E14" s="65"/>
      <c r="F14" s="65"/>
      <c r="G14" s="65"/>
      <c r="H14" s="65"/>
      <c r="I14" s="65"/>
      <c r="J14" s="65"/>
      <c r="L14" s="65"/>
      <c r="M14" s="65"/>
    </row>
    <row r="15" spans="1:14" x14ac:dyDescent="0.2">
      <c r="A15" s="90" t="s">
        <v>131</v>
      </c>
      <c r="B15" s="91">
        <v>1</v>
      </c>
      <c r="C15" s="91">
        <v>1</v>
      </c>
      <c r="D15" s="92">
        <v>0.25</v>
      </c>
      <c r="E15" s="65"/>
      <c r="F15" s="65"/>
      <c r="G15" s="65"/>
      <c r="H15" s="65"/>
      <c r="I15" s="65"/>
      <c r="J15" s="65"/>
      <c r="L15" s="65"/>
      <c r="M15" s="65"/>
    </row>
    <row r="16" spans="1:14" x14ac:dyDescent="0.2">
      <c r="A16" s="90" t="s">
        <v>132</v>
      </c>
      <c r="B16" s="91">
        <v>9.6999999999999993</v>
      </c>
      <c r="C16" s="91">
        <v>9.6999999999999993</v>
      </c>
      <c r="D16" s="92">
        <v>9.6999999999999993</v>
      </c>
      <c r="E16" s="65"/>
      <c r="F16" s="65"/>
      <c r="G16" s="65"/>
      <c r="H16" s="65"/>
      <c r="I16" s="65"/>
      <c r="J16" s="65"/>
      <c r="L16" s="65"/>
      <c r="M16" s="65"/>
    </row>
    <row r="17" spans="1:13" x14ac:dyDescent="0.2">
      <c r="A17" s="90" t="s">
        <v>133</v>
      </c>
      <c r="B17" s="91">
        <v>11.6</v>
      </c>
      <c r="C17" s="91">
        <v>11.6</v>
      </c>
      <c r="D17" s="92">
        <v>11.6</v>
      </c>
      <c r="E17" s="65"/>
      <c r="F17" s="65"/>
      <c r="G17" s="65"/>
      <c r="H17" s="65"/>
      <c r="I17" s="65"/>
      <c r="J17" s="65"/>
      <c r="L17" s="65"/>
      <c r="M17" s="65"/>
    </row>
    <row r="18" spans="1:13" x14ac:dyDescent="0.2">
      <c r="A18" s="90" t="s">
        <v>134</v>
      </c>
      <c r="B18" s="91"/>
      <c r="C18" s="91"/>
      <c r="D18" s="92"/>
      <c r="E18" s="65"/>
      <c r="F18" s="65"/>
      <c r="G18" s="65"/>
      <c r="H18" s="65"/>
      <c r="I18" s="65"/>
      <c r="J18" s="65"/>
      <c r="L18" s="65"/>
      <c r="M18" s="65"/>
    </row>
    <row r="19" spans="1:13" x14ac:dyDescent="0.2">
      <c r="A19" s="93" t="s">
        <v>135</v>
      </c>
      <c r="B19" s="94"/>
      <c r="C19" s="94"/>
      <c r="D19" s="95"/>
      <c r="E19" s="65"/>
      <c r="F19" s="65"/>
      <c r="G19" s="65"/>
      <c r="H19" s="65"/>
      <c r="I19" s="65"/>
      <c r="J19" s="65"/>
      <c r="L19" s="65"/>
      <c r="M19" s="65"/>
    </row>
    <row r="20" spans="1:13" x14ac:dyDescent="0.2">
      <c r="A20" s="65"/>
      <c r="B20" s="65"/>
      <c r="C20" s="65"/>
      <c r="D20" s="65"/>
      <c r="E20" s="65"/>
      <c r="F20" s="65"/>
      <c r="G20" s="65"/>
      <c r="H20" s="65"/>
      <c r="I20" s="65"/>
      <c r="J20" s="65"/>
      <c r="K20" s="65"/>
      <c r="L20" s="65"/>
      <c r="M20" s="65"/>
    </row>
    <row r="21" spans="1:13" ht="37.5" customHeight="1" x14ac:dyDescent="0.2">
      <c r="A21" s="106" t="s">
        <v>136</v>
      </c>
      <c r="B21" s="108"/>
      <c r="C21" s="65"/>
      <c r="D21" s="65"/>
      <c r="E21" s="65"/>
      <c r="F21" s="65"/>
      <c r="G21" s="65"/>
      <c r="H21" s="65"/>
      <c r="I21" s="65"/>
      <c r="J21" s="65"/>
      <c r="K21" s="65"/>
      <c r="L21" s="65"/>
      <c r="M21" s="65"/>
    </row>
    <row r="22" spans="1:13" ht="75" x14ac:dyDescent="0.2">
      <c r="A22" s="120" t="s">
        <v>137</v>
      </c>
      <c r="B22" s="120" t="s">
        <v>138</v>
      </c>
      <c r="C22" s="120" t="s">
        <v>139</v>
      </c>
      <c r="D22" s="120" t="s">
        <v>140</v>
      </c>
      <c r="E22" s="120" t="s">
        <v>141</v>
      </c>
      <c r="F22" s="120" t="s">
        <v>142</v>
      </c>
      <c r="G22" s="120" t="s">
        <v>143</v>
      </c>
      <c r="H22" s="120" t="s">
        <v>144</v>
      </c>
      <c r="I22" s="120" t="s">
        <v>145</v>
      </c>
      <c r="J22" s="120" t="s">
        <v>146</v>
      </c>
      <c r="K22" s="120" t="s">
        <v>147</v>
      </c>
      <c r="L22" s="120" t="s">
        <v>148</v>
      </c>
      <c r="M22" s="120" t="s">
        <v>149</v>
      </c>
    </row>
    <row r="23" spans="1:13" x14ac:dyDescent="0.2">
      <c r="A23" s="96" t="s">
        <v>150</v>
      </c>
      <c r="B23" s="96" t="s">
        <v>151</v>
      </c>
      <c r="C23" s="96" t="b">
        <v>1</v>
      </c>
      <c r="D23" s="96" t="s">
        <v>152</v>
      </c>
      <c r="E23" s="96" t="s">
        <v>153</v>
      </c>
      <c r="F23" s="91" t="s">
        <v>154</v>
      </c>
      <c r="G23" s="103"/>
      <c r="H23" s="103">
        <v>5.2987642833602584E-2</v>
      </c>
      <c r="I23" s="91" t="s">
        <v>155</v>
      </c>
      <c r="J23" s="91"/>
      <c r="K23" s="91">
        <v>0.2993213302763531</v>
      </c>
      <c r="L23" s="91"/>
      <c r="M23" s="91">
        <v>0.44434612001781687</v>
      </c>
    </row>
    <row r="24" spans="1:13" x14ac:dyDescent="0.2">
      <c r="A24" s="96" t="s">
        <v>150</v>
      </c>
      <c r="B24" s="96" t="s">
        <v>151</v>
      </c>
      <c r="C24" s="96" t="b">
        <v>1</v>
      </c>
      <c r="D24" s="96" t="s">
        <v>152</v>
      </c>
      <c r="E24" s="96" t="s">
        <v>156</v>
      </c>
      <c r="F24" s="91" t="s">
        <v>157</v>
      </c>
      <c r="G24" s="103"/>
      <c r="H24" s="103">
        <v>0.31816946794955031</v>
      </c>
      <c r="I24" s="91" t="s">
        <v>155</v>
      </c>
      <c r="J24" s="91"/>
      <c r="K24" s="91"/>
      <c r="L24" s="91"/>
      <c r="M24" s="91"/>
    </row>
    <row r="25" spans="1:13" x14ac:dyDescent="0.2">
      <c r="A25" s="96" t="s">
        <v>150</v>
      </c>
      <c r="B25" s="96" t="s">
        <v>151</v>
      </c>
      <c r="C25" s="96" t="b">
        <v>1</v>
      </c>
      <c r="D25" s="96" t="s">
        <v>152</v>
      </c>
      <c r="E25" s="96" t="s">
        <v>158</v>
      </c>
      <c r="F25" s="91" t="s">
        <v>159</v>
      </c>
      <c r="G25" s="103"/>
      <c r="H25" s="103">
        <v>0.52680688004590648</v>
      </c>
      <c r="I25" s="91" t="s">
        <v>155</v>
      </c>
      <c r="J25" s="91"/>
      <c r="K25" s="91"/>
      <c r="L25" s="91"/>
      <c r="M25" s="91"/>
    </row>
    <row r="26" spans="1:13" x14ac:dyDescent="0.2">
      <c r="A26" s="96" t="s">
        <v>150</v>
      </c>
      <c r="B26" s="96" t="s">
        <v>151</v>
      </c>
      <c r="C26" s="96" t="b">
        <v>1</v>
      </c>
      <c r="D26" s="96" t="s">
        <v>160</v>
      </c>
      <c r="E26" s="96" t="s">
        <v>153</v>
      </c>
      <c r="F26" s="91" t="s">
        <v>161</v>
      </c>
      <c r="G26" s="103"/>
      <c r="H26" s="103">
        <v>0.14547274881812677</v>
      </c>
      <c r="I26" s="91" t="s">
        <v>162</v>
      </c>
      <c r="J26" s="91"/>
      <c r="K26" s="91">
        <v>0.58937090975928064</v>
      </c>
      <c r="L26" s="91"/>
      <c r="M26" s="91"/>
    </row>
    <row r="27" spans="1:13" x14ac:dyDescent="0.2">
      <c r="A27" s="96" t="s">
        <v>150</v>
      </c>
      <c r="B27" s="96" t="s">
        <v>151</v>
      </c>
      <c r="C27" s="96" t="b">
        <v>1</v>
      </c>
      <c r="D27" s="96" t="s">
        <v>160</v>
      </c>
      <c r="E27" s="96" t="s">
        <v>156</v>
      </c>
      <c r="F27" s="91" t="s">
        <v>163</v>
      </c>
      <c r="G27" s="103"/>
      <c r="H27" s="103">
        <v>0.68863856574138427</v>
      </c>
      <c r="I27" s="91" t="s">
        <v>162</v>
      </c>
      <c r="J27" s="91"/>
      <c r="K27" s="91"/>
      <c r="L27" s="91"/>
      <c r="M27" s="91"/>
    </row>
    <row r="28" spans="1:13" x14ac:dyDescent="0.2">
      <c r="A28" s="96" t="s">
        <v>150</v>
      </c>
      <c r="B28" s="96" t="s">
        <v>151</v>
      </c>
      <c r="C28" s="96" t="b">
        <v>1</v>
      </c>
      <c r="D28" s="96" t="s">
        <v>160</v>
      </c>
      <c r="E28" s="96" t="s">
        <v>158</v>
      </c>
      <c r="F28" s="91" t="s">
        <v>164</v>
      </c>
      <c r="G28" s="103"/>
      <c r="H28" s="103">
        <v>0.93400141471833087</v>
      </c>
      <c r="I28" s="91" t="s">
        <v>162</v>
      </c>
      <c r="J28" s="91"/>
      <c r="K28" s="91"/>
      <c r="L28" s="91"/>
      <c r="M28" s="91"/>
    </row>
    <row r="29" spans="1:13" x14ac:dyDescent="0.2">
      <c r="A29" s="96" t="s">
        <v>150</v>
      </c>
      <c r="B29" s="96" t="s">
        <v>165</v>
      </c>
      <c r="C29" s="96" t="b">
        <v>1</v>
      </c>
      <c r="D29" s="96" t="s">
        <v>152</v>
      </c>
      <c r="E29" s="96" t="s">
        <v>153</v>
      </c>
      <c r="F29" s="91" t="s">
        <v>166</v>
      </c>
      <c r="G29" s="103"/>
      <c r="H29" s="103">
        <v>4.7145326673579638E-2</v>
      </c>
      <c r="I29" s="91" t="s">
        <v>167</v>
      </c>
      <c r="J29" s="91"/>
      <c r="K29" s="91">
        <v>0.28546466532082443</v>
      </c>
      <c r="L29" s="91"/>
      <c r="M29" s="91">
        <v>0.36821434812090448</v>
      </c>
    </row>
    <row r="30" spans="1:13" x14ac:dyDescent="0.2">
      <c r="A30" s="96" t="s">
        <v>150</v>
      </c>
      <c r="B30" s="96" t="s">
        <v>165</v>
      </c>
      <c r="C30" s="96" t="b">
        <v>1</v>
      </c>
      <c r="D30" s="96" t="s">
        <v>152</v>
      </c>
      <c r="E30" s="96" t="s">
        <v>156</v>
      </c>
      <c r="F30" s="91" t="s">
        <v>168</v>
      </c>
      <c r="G30" s="103"/>
      <c r="H30" s="103">
        <v>0.29704669251486027</v>
      </c>
      <c r="I30" s="91" t="s">
        <v>167</v>
      </c>
      <c r="J30" s="91"/>
      <c r="K30" s="91"/>
      <c r="L30" s="91"/>
      <c r="M30" s="91"/>
    </row>
    <row r="31" spans="1:13" x14ac:dyDescent="0.2">
      <c r="A31" s="96" t="s">
        <v>150</v>
      </c>
      <c r="B31" s="96" t="s">
        <v>165</v>
      </c>
      <c r="C31" s="96" t="b">
        <v>1</v>
      </c>
      <c r="D31" s="96" t="s">
        <v>152</v>
      </c>
      <c r="E31" s="96" t="s">
        <v>158</v>
      </c>
      <c r="F31" s="91" t="s">
        <v>169</v>
      </c>
      <c r="G31" s="103"/>
      <c r="H31" s="103">
        <v>0.51220197677403345</v>
      </c>
      <c r="I31" s="91" t="s">
        <v>167</v>
      </c>
      <c r="J31" s="91"/>
      <c r="K31" s="91"/>
      <c r="L31" s="91"/>
      <c r="M31" s="91"/>
    </row>
    <row r="32" spans="1:13" x14ac:dyDescent="0.2">
      <c r="A32" s="96" t="s">
        <v>150</v>
      </c>
      <c r="B32" s="96" t="s">
        <v>165</v>
      </c>
      <c r="C32" s="96" t="b">
        <v>1</v>
      </c>
      <c r="D32" s="96" t="s">
        <v>160</v>
      </c>
      <c r="E32" s="96" t="s">
        <v>153</v>
      </c>
      <c r="F32" s="91" t="s">
        <v>170</v>
      </c>
      <c r="G32" s="103"/>
      <c r="H32" s="103">
        <v>0.12638813680095767</v>
      </c>
      <c r="I32" s="91" t="s">
        <v>171</v>
      </c>
      <c r="J32" s="91"/>
      <c r="K32" s="91">
        <v>0.50741802178135342</v>
      </c>
      <c r="L32" s="91"/>
      <c r="M32" s="91"/>
    </row>
    <row r="33" spans="1:14" x14ac:dyDescent="0.2">
      <c r="A33" s="96" t="s">
        <v>150</v>
      </c>
      <c r="B33" s="96" t="s">
        <v>165</v>
      </c>
      <c r="C33" s="96" t="b">
        <v>1</v>
      </c>
      <c r="D33" s="96" t="s">
        <v>160</v>
      </c>
      <c r="E33" s="96" t="s">
        <v>158</v>
      </c>
      <c r="F33" s="91" t="s">
        <v>172</v>
      </c>
      <c r="G33" s="103"/>
      <c r="H33" s="103">
        <v>0.85828960784109154</v>
      </c>
      <c r="I33" s="91" t="s">
        <v>171</v>
      </c>
      <c r="J33" s="91"/>
      <c r="K33" s="91"/>
      <c r="L33" s="91"/>
      <c r="M33" s="91"/>
    </row>
    <row r="34" spans="1:14" x14ac:dyDescent="0.2">
      <c r="A34" s="96" t="s">
        <v>150</v>
      </c>
      <c r="B34" s="96" t="s">
        <v>173</v>
      </c>
      <c r="C34" s="96" t="b">
        <v>1</v>
      </c>
      <c r="D34" s="96" t="s">
        <v>152</v>
      </c>
      <c r="E34" s="96" t="s">
        <v>153</v>
      </c>
      <c r="F34" s="91" t="s">
        <v>174</v>
      </c>
      <c r="G34" s="103"/>
      <c r="H34" s="103">
        <v>4.8349600895220009E-2</v>
      </c>
      <c r="I34" s="91" t="s">
        <v>175</v>
      </c>
      <c r="J34" s="91"/>
      <c r="K34" s="91">
        <v>0.29649518536355685</v>
      </c>
      <c r="L34" s="91"/>
      <c r="M34" s="91">
        <v>0.29649518536355685</v>
      </c>
    </row>
    <row r="35" spans="1:14" x14ac:dyDescent="0.2">
      <c r="A35" s="96" t="s">
        <v>150</v>
      </c>
      <c r="B35" s="96" t="s">
        <v>173</v>
      </c>
      <c r="C35" s="96" t="b">
        <v>1</v>
      </c>
      <c r="D35" s="96" t="s">
        <v>152</v>
      </c>
      <c r="E35" s="96" t="s">
        <v>156</v>
      </c>
      <c r="F35" s="91" t="s">
        <v>176</v>
      </c>
      <c r="G35" s="103"/>
      <c r="H35" s="103">
        <v>0.30958212495574555</v>
      </c>
      <c r="I35" s="91" t="s">
        <v>175</v>
      </c>
      <c r="J35" s="91"/>
      <c r="K35" s="91"/>
      <c r="L35" s="91"/>
      <c r="M35" s="91"/>
    </row>
    <row r="36" spans="1:14" x14ac:dyDescent="0.2">
      <c r="A36" s="96" t="s">
        <v>150</v>
      </c>
      <c r="B36" s="96" t="s">
        <v>173</v>
      </c>
      <c r="C36" s="96" t="b">
        <v>1</v>
      </c>
      <c r="D36" s="96" t="s">
        <v>152</v>
      </c>
      <c r="E36" s="96" t="s">
        <v>158</v>
      </c>
      <c r="F36" s="91" t="s">
        <v>177</v>
      </c>
      <c r="G36" s="103"/>
      <c r="H36" s="103">
        <v>0.53155383023970493</v>
      </c>
      <c r="I36" s="91" t="s">
        <v>175</v>
      </c>
      <c r="J36" s="91"/>
      <c r="K36" s="91"/>
      <c r="L36" s="91"/>
      <c r="M36" s="91"/>
    </row>
    <row r="37" spans="1:14" x14ac:dyDescent="0.2">
      <c r="A37" s="96" t="s">
        <v>150</v>
      </c>
      <c r="B37" s="96" t="s">
        <v>178</v>
      </c>
      <c r="C37" s="96" t="b">
        <v>1</v>
      </c>
      <c r="D37" s="96" t="s">
        <v>152</v>
      </c>
      <c r="E37" s="96" t="s">
        <v>156</v>
      </c>
      <c r="F37" s="91" t="s">
        <v>179</v>
      </c>
      <c r="G37" s="103"/>
      <c r="H37" s="103">
        <v>0.26646300847446341</v>
      </c>
      <c r="I37" s="91" t="s">
        <v>180</v>
      </c>
      <c r="J37" s="91"/>
      <c r="K37" s="91">
        <v>0.47309468172529684</v>
      </c>
      <c r="L37" s="91"/>
      <c r="M37" s="91">
        <v>0.64058218735285477</v>
      </c>
    </row>
    <row r="38" spans="1:14" x14ac:dyDescent="0.2">
      <c r="A38" s="96" t="s">
        <v>150</v>
      </c>
      <c r="B38" s="96" t="s">
        <v>178</v>
      </c>
      <c r="C38" s="96" t="b">
        <v>1</v>
      </c>
      <c r="D38" s="96" t="s">
        <v>152</v>
      </c>
      <c r="E38" s="96" t="s">
        <v>158</v>
      </c>
      <c r="F38" s="91" t="s">
        <v>181</v>
      </c>
      <c r="G38" s="103"/>
      <c r="H38" s="103">
        <v>1.0147013662312461</v>
      </c>
      <c r="I38" s="91" t="s">
        <v>180</v>
      </c>
      <c r="J38" s="91"/>
      <c r="K38" s="91"/>
      <c r="L38" s="91"/>
      <c r="M38" s="91"/>
    </row>
    <row r="39" spans="1:14" x14ac:dyDescent="0.2">
      <c r="A39" s="96" t="s">
        <v>150</v>
      </c>
      <c r="B39" s="96" t="s">
        <v>182</v>
      </c>
      <c r="C39" s="96" t="b">
        <v>1</v>
      </c>
      <c r="D39" s="96" t="s">
        <v>152</v>
      </c>
      <c r="E39" s="96" t="s">
        <v>153</v>
      </c>
      <c r="F39" s="91" t="s">
        <v>183</v>
      </c>
      <c r="G39" s="103"/>
      <c r="H39" s="103">
        <v>5.1918503995313933E-2</v>
      </c>
      <c r="I39" s="91" t="s">
        <v>184</v>
      </c>
      <c r="J39" s="91"/>
      <c r="K39" s="91">
        <v>0.16167996489337202</v>
      </c>
      <c r="L39" s="91"/>
      <c r="M39" s="91">
        <v>0.16167996489337202</v>
      </c>
    </row>
    <row r="40" spans="1:14" x14ac:dyDescent="0.2">
      <c r="A40" s="96" t="s">
        <v>150</v>
      </c>
      <c r="B40" s="96" t="s">
        <v>182</v>
      </c>
      <c r="C40" s="96" t="b">
        <v>1</v>
      </c>
      <c r="D40" s="96" t="s">
        <v>152</v>
      </c>
      <c r="E40" s="96" t="s">
        <v>156</v>
      </c>
      <c r="F40" s="91" t="s">
        <v>185</v>
      </c>
      <c r="G40" s="103"/>
      <c r="H40" s="103">
        <v>6.3159515267229432E-2</v>
      </c>
      <c r="I40" s="91" t="s">
        <v>184</v>
      </c>
      <c r="J40" s="91"/>
      <c r="K40" s="91"/>
      <c r="L40" s="91"/>
      <c r="M40" s="91"/>
    </row>
    <row r="41" spans="1:14" x14ac:dyDescent="0.2">
      <c r="A41" s="96" t="s">
        <v>150</v>
      </c>
      <c r="B41" s="96" t="s">
        <v>182</v>
      </c>
      <c r="C41" s="96" t="b">
        <v>1</v>
      </c>
      <c r="D41" s="96" t="s">
        <v>152</v>
      </c>
      <c r="E41" s="96" t="s">
        <v>158</v>
      </c>
      <c r="F41" s="91" t="s">
        <v>186</v>
      </c>
      <c r="G41" s="103"/>
      <c r="H41" s="103">
        <v>0.36996187541757269</v>
      </c>
      <c r="I41" s="91" t="s">
        <v>184</v>
      </c>
      <c r="J41" s="91"/>
      <c r="K41" s="91"/>
      <c r="L41" s="91"/>
      <c r="M41" s="91"/>
    </row>
    <row r="42" spans="1:14" x14ac:dyDescent="0.2">
      <c r="A42" s="96" t="s">
        <v>150</v>
      </c>
      <c r="B42" s="96" t="s">
        <v>187</v>
      </c>
      <c r="C42" s="96" t="b">
        <v>1</v>
      </c>
      <c r="D42" s="96" t="s">
        <v>152</v>
      </c>
      <c r="E42" s="96" t="s">
        <v>153</v>
      </c>
      <c r="F42" s="91" t="s">
        <v>188</v>
      </c>
      <c r="G42" s="103"/>
      <c r="H42" s="103">
        <v>6.7770876695631782E-2</v>
      </c>
      <c r="I42" s="91" t="s">
        <v>189</v>
      </c>
      <c r="J42" s="91"/>
      <c r="K42" s="91">
        <v>0.23232608685248321</v>
      </c>
      <c r="L42" s="91"/>
      <c r="M42" s="91">
        <v>0.32114504190882931</v>
      </c>
    </row>
    <row r="43" spans="1:14" x14ac:dyDescent="0.2">
      <c r="A43" s="96" t="s">
        <v>150</v>
      </c>
      <c r="B43" s="96" t="s">
        <v>187</v>
      </c>
      <c r="C43" s="96" t="b">
        <v>1</v>
      </c>
      <c r="D43" s="96" t="s">
        <v>152</v>
      </c>
      <c r="E43" s="96" t="s">
        <v>156</v>
      </c>
      <c r="F43" s="91" t="s">
        <v>190</v>
      </c>
      <c r="G43" s="103"/>
      <c r="H43" s="103">
        <v>0.12507664120337114</v>
      </c>
      <c r="I43" s="91" t="s">
        <v>189</v>
      </c>
      <c r="J43" s="91"/>
      <c r="K43" s="91"/>
      <c r="L43" s="91"/>
      <c r="M43" s="91"/>
    </row>
    <row r="44" spans="1:14" x14ac:dyDescent="0.2">
      <c r="A44" s="96" t="s">
        <v>150</v>
      </c>
      <c r="B44" s="96" t="s">
        <v>187</v>
      </c>
      <c r="C44" s="96" t="b">
        <v>1</v>
      </c>
      <c r="D44" s="96" t="s">
        <v>152</v>
      </c>
      <c r="E44" s="96" t="s">
        <v>158</v>
      </c>
      <c r="F44" s="91" t="s">
        <v>191</v>
      </c>
      <c r="G44" s="103"/>
      <c r="H44" s="103">
        <v>0.50413074265844671</v>
      </c>
      <c r="I44" s="91" t="s">
        <v>189</v>
      </c>
      <c r="J44" s="91"/>
      <c r="K44" s="91"/>
      <c r="L44" s="91"/>
      <c r="M44" s="91"/>
      <c r="N44" s="65"/>
    </row>
    <row r="45" spans="1:14" x14ac:dyDescent="0.2">
      <c r="A45" s="96" t="s">
        <v>150</v>
      </c>
      <c r="B45" s="96" t="s">
        <v>187</v>
      </c>
      <c r="C45" s="96" t="b">
        <v>1</v>
      </c>
      <c r="D45" s="96" t="s">
        <v>160</v>
      </c>
      <c r="E45" s="96" t="s">
        <v>153</v>
      </c>
      <c r="F45" s="91" t="s">
        <v>192</v>
      </c>
      <c r="G45" s="103"/>
      <c r="H45" s="103">
        <v>0.11844484343825211</v>
      </c>
      <c r="I45" s="91" t="s">
        <v>193</v>
      </c>
      <c r="J45" s="91"/>
      <c r="K45" s="91">
        <v>0.36860328221632899</v>
      </c>
      <c r="L45" s="91"/>
      <c r="M45" s="91"/>
      <c r="N45" s="65"/>
    </row>
    <row r="46" spans="1:14" x14ac:dyDescent="0.2">
      <c r="A46" s="96" t="s">
        <v>150</v>
      </c>
      <c r="B46" s="96" t="s">
        <v>187</v>
      </c>
      <c r="C46" s="96" t="b">
        <v>1</v>
      </c>
      <c r="D46" s="96" t="s">
        <v>160</v>
      </c>
      <c r="E46" s="96" t="s">
        <v>158</v>
      </c>
      <c r="F46" s="91" t="s">
        <v>194</v>
      </c>
      <c r="G46" s="103"/>
      <c r="H46" s="103">
        <v>0.79030210554844493</v>
      </c>
      <c r="I46" s="91" t="s">
        <v>193</v>
      </c>
      <c r="J46" s="91"/>
      <c r="K46" s="91"/>
      <c r="L46" s="91"/>
      <c r="M46" s="91"/>
      <c r="N46" s="65"/>
    </row>
    <row r="47" spans="1:14" x14ac:dyDescent="0.2">
      <c r="A47" s="96" t="s">
        <v>150</v>
      </c>
      <c r="B47" s="96" t="s">
        <v>195</v>
      </c>
      <c r="C47" s="96" t="b">
        <v>1</v>
      </c>
      <c r="D47" s="96" t="s">
        <v>152</v>
      </c>
      <c r="E47" s="96" t="s">
        <v>153</v>
      </c>
      <c r="F47" s="91" t="s">
        <v>196</v>
      </c>
      <c r="G47" s="103"/>
      <c r="H47" s="103">
        <v>6.7331374224421453E-2</v>
      </c>
      <c r="I47" s="91" t="s">
        <v>197</v>
      </c>
      <c r="J47" s="91"/>
      <c r="K47" s="91">
        <v>0.31214644792156104</v>
      </c>
      <c r="L47" s="91"/>
      <c r="M47" s="91">
        <v>0.31214644792156104</v>
      </c>
      <c r="N47" s="65"/>
    </row>
    <row r="48" spans="1:14" x14ac:dyDescent="0.2">
      <c r="A48" s="96" t="s">
        <v>150</v>
      </c>
      <c r="B48" s="96" t="s">
        <v>195</v>
      </c>
      <c r="C48" s="96" t="b">
        <v>1</v>
      </c>
      <c r="D48" s="96" t="s">
        <v>152</v>
      </c>
      <c r="E48" s="96" t="s">
        <v>156</v>
      </c>
      <c r="F48" s="91" t="s">
        <v>198</v>
      </c>
      <c r="G48" s="103"/>
      <c r="H48" s="103">
        <v>0.27823236592543132</v>
      </c>
      <c r="I48" s="91" t="s">
        <v>197</v>
      </c>
      <c r="J48" s="91"/>
      <c r="K48" s="91"/>
      <c r="L48" s="91"/>
      <c r="M48" s="91"/>
      <c r="N48" s="65"/>
    </row>
    <row r="49" spans="1:14" x14ac:dyDescent="0.2">
      <c r="A49" s="96" t="s">
        <v>150</v>
      </c>
      <c r="B49" s="96" t="s">
        <v>195</v>
      </c>
      <c r="C49" s="96" t="b">
        <v>1</v>
      </c>
      <c r="D49" s="96" t="s">
        <v>152</v>
      </c>
      <c r="E49" s="96" t="s">
        <v>158</v>
      </c>
      <c r="F49" s="91" t="s">
        <v>199</v>
      </c>
      <c r="G49" s="103"/>
      <c r="H49" s="103">
        <v>0.59087560361483038</v>
      </c>
      <c r="I49" s="91" t="s">
        <v>197</v>
      </c>
      <c r="J49" s="91"/>
      <c r="K49" s="91"/>
      <c r="L49" s="91"/>
      <c r="M49" s="91"/>
      <c r="N49" s="65"/>
    </row>
    <row r="50" spans="1:14" x14ac:dyDescent="0.2">
      <c r="A50" s="96" t="s">
        <v>200</v>
      </c>
      <c r="B50" s="96" t="s">
        <v>151</v>
      </c>
      <c r="C50" s="96" t="b">
        <v>1</v>
      </c>
      <c r="D50" s="96" t="s">
        <v>152</v>
      </c>
      <c r="E50" s="96" t="s">
        <v>153</v>
      </c>
      <c r="F50" s="91" t="s">
        <v>201</v>
      </c>
      <c r="G50" s="103"/>
      <c r="H50" s="103">
        <v>5.4758291159478389E-2</v>
      </c>
      <c r="I50" s="91"/>
      <c r="J50" s="91"/>
      <c r="K50" s="91"/>
      <c r="L50" s="91"/>
      <c r="M50" s="91"/>
      <c r="N50" s="65"/>
    </row>
    <row r="51" spans="1:14" x14ac:dyDescent="0.2">
      <c r="A51" s="96" t="s">
        <v>200</v>
      </c>
      <c r="B51" s="96" t="s">
        <v>151</v>
      </c>
      <c r="C51" s="96" t="b">
        <v>1</v>
      </c>
      <c r="D51" s="96" t="s">
        <v>152</v>
      </c>
      <c r="E51" s="96" t="s">
        <v>156</v>
      </c>
      <c r="F51" s="91" t="s">
        <v>202</v>
      </c>
      <c r="G51" s="103"/>
      <c r="H51" s="103">
        <v>0.31368206010369076</v>
      </c>
      <c r="I51" s="91"/>
      <c r="J51" s="91"/>
      <c r="K51" s="91"/>
      <c r="L51" s="91"/>
      <c r="M51" s="91"/>
      <c r="N51" s="65"/>
    </row>
    <row r="52" spans="1:14" x14ac:dyDescent="0.2">
      <c r="A52" s="96" t="s">
        <v>200</v>
      </c>
      <c r="B52" s="96" t="s">
        <v>151</v>
      </c>
      <c r="C52" s="96" t="b">
        <v>1</v>
      </c>
      <c r="D52" s="96" t="s">
        <v>152</v>
      </c>
      <c r="E52" s="96" t="s">
        <v>158</v>
      </c>
      <c r="F52" s="91" t="s">
        <v>203</v>
      </c>
      <c r="G52" s="103"/>
      <c r="H52" s="103">
        <v>0.52238854423953363</v>
      </c>
      <c r="I52" s="91"/>
      <c r="J52" s="91"/>
      <c r="K52" s="91"/>
      <c r="L52" s="91"/>
      <c r="M52" s="91"/>
      <c r="N52" s="65"/>
    </row>
    <row r="53" spans="1:14" x14ac:dyDescent="0.2">
      <c r="A53" s="96" t="s">
        <v>200</v>
      </c>
      <c r="B53" s="96" t="s">
        <v>151</v>
      </c>
      <c r="C53" s="96" t="b">
        <v>1</v>
      </c>
      <c r="D53" s="96" t="s">
        <v>160</v>
      </c>
      <c r="E53" s="96" t="s">
        <v>153</v>
      </c>
      <c r="F53" s="91" t="s">
        <v>204</v>
      </c>
      <c r="G53" s="103"/>
      <c r="H53" s="103">
        <v>0.15113934055486639</v>
      </c>
      <c r="I53" s="91"/>
      <c r="J53" s="91"/>
      <c r="K53" s="91"/>
      <c r="L53" s="91"/>
      <c r="M53" s="91"/>
      <c r="N53" s="65"/>
    </row>
    <row r="54" spans="1:14" x14ac:dyDescent="0.2">
      <c r="A54" s="96" t="s">
        <v>200</v>
      </c>
      <c r="B54" s="96" t="s">
        <v>151</v>
      </c>
      <c r="C54" s="96" t="b">
        <v>1</v>
      </c>
      <c r="D54" s="96" t="s">
        <v>160</v>
      </c>
      <c r="E54" s="96" t="s">
        <v>156</v>
      </c>
      <c r="F54" s="91" t="s">
        <v>205</v>
      </c>
      <c r="G54" s="103"/>
      <c r="H54" s="103">
        <v>0.6789041413788427</v>
      </c>
      <c r="I54" s="91"/>
      <c r="J54" s="91"/>
      <c r="K54" s="91"/>
      <c r="L54" s="91"/>
      <c r="M54" s="91"/>
      <c r="N54" s="65"/>
    </row>
    <row r="55" spans="1:14" x14ac:dyDescent="0.2">
      <c r="A55" s="96" t="s">
        <v>200</v>
      </c>
      <c r="B55" s="96" t="s">
        <v>151</v>
      </c>
      <c r="C55" s="96" t="b">
        <v>1</v>
      </c>
      <c r="D55" s="96" t="s">
        <v>160</v>
      </c>
      <c r="E55" s="96" t="s">
        <v>158</v>
      </c>
      <c r="F55" s="91" t="s">
        <v>206</v>
      </c>
      <c r="G55" s="103"/>
      <c r="H55" s="103">
        <v>0.92643264998714114</v>
      </c>
      <c r="I55" s="91"/>
      <c r="J55" s="91"/>
      <c r="K55" s="91"/>
      <c r="L55" s="91"/>
      <c r="M55" s="91"/>
      <c r="N55" s="65"/>
    </row>
    <row r="56" spans="1:14" x14ac:dyDescent="0.2">
      <c r="A56" s="96" t="s">
        <v>200</v>
      </c>
      <c r="B56" s="96" t="s">
        <v>165</v>
      </c>
      <c r="C56" s="96" t="b">
        <v>1</v>
      </c>
      <c r="D56" s="96" t="s">
        <v>152</v>
      </c>
      <c r="E56" s="96" t="s">
        <v>153</v>
      </c>
      <c r="F56" s="91" t="s">
        <v>207</v>
      </c>
      <c r="G56" s="103"/>
      <c r="H56" s="103">
        <v>4.7203709236680429E-2</v>
      </c>
      <c r="I56" s="91"/>
      <c r="J56" s="91"/>
      <c r="K56" s="91"/>
      <c r="L56" s="91"/>
      <c r="M56" s="91"/>
      <c r="N56" s="65"/>
    </row>
    <row r="57" spans="1:14" x14ac:dyDescent="0.2">
      <c r="A57" s="96" t="s">
        <v>200</v>
      </c>
      <c r="B57" s="96" t="s">
        <v>165</v>
      </c>
      <c r="C57" s="96" t="b">
        <v>1</v>
      </c>
      <c r="D57" s="96" t="s">
        <v>152</v>
      </c>
      <c r="E57" s="96" t="s">
        <v>156</v>
      </c>
      <c r="F57" s="91" t="s">
        <v>208</v>
      </c>
      <c r="G57" s="103"/>
      <c r="H57" s="103">
        <v>0.25751689232604963</v>
      </c>
      <c r="I57" s="91"/>
      <c r="J57" s="91"/>
      <c r="K57" s="91"/>
      <c r="L57" s="91"/>
      <c r="M57" s="91"/>
      <c r="N57" s="65"/>
    </row>
    <row r="58" spans="1:14" x14ac:dyDescent="0.2">
      <c r="A58" s="96" t="s">
        <v>200</v>
      </c>
      <c r="B58" s="96" t="s">
        <v>165</v>
      </c>
      <c r="C58" s="96" t="b">
        <v>1</v>
      </c>
      <c r="D58" s="96" t="s">
        <v>152</v>
      </c>
      <c r="E58" s="96" t="s">
        <v>158</v>
      </c>
      <c r="F58" s="91" t="s">
        <v>209</v>
      </c>
      <c r="G58" s="103"/>
      <c r="H58" s="103">
        <v>0.46211072841261575</v>
      </c>
      <c r="I58" s="91"/>
      <c r="J58" s="91"/>
      <c r="K58" s="91"/>
      <c r="L58" s="91"/>
      <c r="M58" s="91"/>
      <c r="N58" s="65"/>
    </row>
    <row r="59" spans="1:14" x14ac:dyDescent="0.2">
      <c r="A59" s="96" t="s">
        <v>200</v>
      </c>
      <c r="B59" s="96" t="s">
        <v>165</v>
      </c>
      <c r="C59" s="96" t="b">
        <v>1</v>
      </c>
      <c r="D59" s="96" t="s">
        <v>160</v>
      </c>
      <c r="E59" s="96" t="s">
        <v>153</v>
      </c>
      <c r="F59" s="91" t="s">
        <v>210</v>
      </c>
      <c r="G59" s="103"/>
      <c r="H59" s="103">
        <v>0.12736340665066848</v>
      </c>
      <c r="I59" s="91"/>
      <c r="J59" s="91"/>
      <c r="K59" s="91"/>
      <c r="L59" s="91"/>
      <c r="M59" s="91"/>
      <c r="N59" s="65"/>
    </row>
    <row r="60" spans="1:14" x14ac:dyDescent="0.2">
      <c r="A60" s="96" t="s">
        <v>200</v>
      </c>
      <c r="B60" s="96" t="s">
        <v>165</v>
      </c>
      <c r="C60" s="96" t="b">
        <v>1</v>
      </c>
      <c r="D60" s="96" t="s">
        <v>160</v>
      </c>
      <c r="E60" s="96" t="s">
        <v>156</v>
      </c>
      <c r="F60" s="91" t="s">
        <v>211</v>
      </c>
      <c r="G60" s="103"/>
      <c r="H60" s="103">
        <v>0.53757632070201089</v>
      </c>
      <c r="I60" s="91"/>
      <c r="J60" s="91"/>
      <c r="K60" s="91"/>
      <c r="L60" s="91"/>
      <c r="M60" s="91"/>
      <c r="N60" s="65"/>
    </row>
    <row r="61" spans="1:14" x14ac:dyDescent="0.2">
      <c r="A61" s="96" t="s">
        <v>200</v>
      </c>
      <c r="B61" s="96" t="s">
        <v>165</v>
      </c>
      <c r="C61" s="96" t="b">
        <v>1</v>
      </c>
      <c r="D61" s="96" t="s">
        <v>160</v>
      </c>
      <c r="E61" s="96" t="s">
        <v>158</v>
      </c>
      <c r="F61" s="91" t="s">
        <v>212</v>
      </c>
      <c r="G61" s="103"/>
      <c r="H61" s="103">
        <v>0.79787056881918472</v>
      </c>
      <c r="I61" s="91"/>
      <c r="J61" s="91"/>
      <c r="K61" s="91"/>
      <c r="L61" s="91"/>
      <c r="M61" s="91"/>
      <c r="N61" s="65"/>
    </row>
    <row r="62" spans="1:14" x14ac:dyDescent="0.2">
      <c r="A62" s="96" t="s">
        <v>200</v>
      </c>
      <c r="B62" s="96" t="s">
        <v>173</v>
      </c>
      <c r="C62" s="96" t="b">
        <v>1</v>
      </c>
      <c r="D62" s="96" t="s">
        <v>152</v>
      </c>
      <c r="E62" s="96" t="s">
        <v>153</v>
      </c>
      <c r="F62" s="91" t="s">
        <v>213</v>
      </c>
      <c r="G62" s="103"/>
      <c r="H62" s="103">
        <v>5.007317446231474E-2</v>
      </c>
      <c r="I62" s="91"/>
      <c r="J62" s="91"/>
      <c r="K62" s="91"/>
      <c r="L62" s="91"/>
      <c r="M62" s="91"/>
      <c r="N62" s="65"/>
    </row>
    <row r="63" spans="1:14" x14ac:dyDescent="0.2">
      <c r="A63" s="96" t="s">
        <v>200</v>
      </c>
      <c r="B63" s="96" t="s">
        <v>173</v>
      </c>
      <c r="C63" s="96" t="b">
        <v>1</v>
      </c>
      <c r="D63" s="96" t="s">
        <v>152</v>
      </c>
      <c r="E63" s="96" t="s">
        <v>156</v>
      </c>
      <c r="F63" s="91" t="s">
        <v>214</v>
      </c>
      <c r="G63" s="103"/>
      <c r="H63" s="103">
        <v>0.2978020402274163</v>
      </c>
      <c r="I63" s="91"/>
      <c r="J63" s="91"/>
      <c r="K63" s="91"/>
      <c r="L63" s="91"/>
      <c r="M63" s="91"/>
      <c r="N63" s="65"/>
    </row>
    <row r="64" spans="1:14" x14ac:dyDescent="0.2">
      <c r="A64" s="96" t="s">
        <v>200</v>
      </c>
      <c r="B64" s="96" t="s">
        <v>173</v>
      </c>
      <c r="C64" s="96" t="b">
        <v>1</v>
      </c>
      <c r="D64" s="96" t="s">
        <v>152</v>
      </c>
      <c r="E64" s="96" t="s">
        <v>158</v>
      </c>
      <c r="F64" s="91" t="s">
        <v>215</v>
      </c>
      <c r="G64" s="103"/>
      <c r="H64" s="103">
        <v>0.51833271449004059</v>
      </c>
      <c r="I64" s="91"/>
      <c r="J64" s="91"/>
      <c r="K64" s="91"/>
      <c r="L64" s="91"/>
      <c r="M64" s="91"/>
      <c r="N64" s="65"/>
    </row>
    <row r="65" spans="1:14" x14ac:dyDescent="0.2">
      <c r="A65" s="96" t="s">
        <v>200</v>
      </c>
      <c r="B65" s="96" t="s">
        <v>173</v>
      </c>
      <c r="C65" s="96" t="b">
        <v>1</v>
      </c>
      <c r="D65" s="96" t="s">
        <v>160</v>
      </c>
      <c r="E65" s="96" t="s">
        <v>153</v>
      </c>
      <c r="F65" s="91" t="s">
        <v>216</v>
      </c>
      <c r="G65" s="103"/>
      <c r="H65" s="103">
        <v>0.13917557686190518</v>
      </c>
      <c r="I65" s="91"/>
      <c r="J65" s="91"/>
      <c r="K65" s="91"/>
      <c r="L65" s="91"/>
      <c r="M65" s="91"/>
      <c r="N65" s="65"/>
    </row>
    <row r="66" spans="1:14" x14ac:dyDescent="0.2">
      <c r="A66" s="96" t="s">
        <v>200</v>
      </c>
      <c r="B66" s="96" t="s">
        <v>173</v>
      </c>
      <c r="C66" s="96" t="b">
        <v>1</v>
      </c>
      <c r="D66" s="96" t="s">
        <v>160</v>
      </c>
      <c r="E66" s="96" t="s">
        <v>156</v>
      </c>
      <c r="F66" s="91" t="s">
        <v>217</v>
      </c>
      <c r="G66" s="103"/>
      <c r="H66" s="103">
        <v>0.62989016060118286</v>
      </c>
      <c r="I66" s="91"/>
      <c r="J66" s="91"/>
      <c r="K66" s="91"/>
      <c r="L66" s="91"/>
      <c r="M66" s="91"/>
      <c r="N66" s="65"/>
    </row>
    <row r="67" spans="1:14" x14ac:dyDescent="0.2">
      <c r="A67" s="96" t="s">
        <v>200</v>
      </c>
      <c r="B67" s="96" t="s">
        <v>173</v>
      </c>
      <c r="C67" s="96" t="b">
        <v>1</v>
      </c>
      <c r="D67" s="96" t="s">
        <v>160</v>
      </c>
      <c r="E67" s="96" t="s">
        <v>158</v>
      </c>
      <c r="F67" s="91" t="s">
        <v>218</v>
      </c>
      <c r="G67" s="103"/>
      <c r="H67" s="103">
        <v>0.90014177848609278</v>
      </c>
      <c r="I67" s="91"/>
      <c r="J67" s="91"/>
      <c r="K67" s="91"/>
      <c r="L67" s="91"/>
      <c r="M67" s="91"/>
      <c r="N67" s="65"/>
    </row>
    <row r="68" spans="1:14" x14ac:dyDescent="0.2">
      <c r="A68" s="96" t="s">
        <v>200</v>
      </c>
      <c r="B68" s="96" t="s">
        <v>219</v>
      </c>
      <c r="C68" s="96" t="b">
        <v>1</v>
      </c>
      <c r="D68" s="96" t="s">
        <v>152</v>
      </c>
      <c r="E68" s="96" t="s">
        <v>156</v>
      </c>
      <c r="F68" s="91" t="s">
        <v>220</v>
      </c>
      <c r="G68" s="103"/>
      <c r="H68" s="103">
        <v>0.29000834989115537</v>
      </c>
      <c r="I68" s="91"/>
      <c r="J68" s="91"/>
      <c r="K68" s="91"/>
      <c r="L68" s="91"/>
      <c r="M68" s="91"/>
      <c r="N68" s="65"/>
    </row>
    <row r="69" spans="1:14" x14ac:dyDescent="0.2">
      <c r="A69" s="96" t="s">
        <v>200</v>
      </c>
      <c r="B69" s="96" t="s">
        <v>219</v>
      </c>
      <c r="C69" s="96" t="b">
        <v>1</v>
      </c>
      <c r="D69" s="96" t="s">
        <v>152</v>
      </c>
      <c r="E69" s="96" t="s">
        <v>158</v>
      </c>
      <c r="F69" s="91" t="s">
        <v>221</v>
      </c>
      <c r="G69" s="103"/>
      <c r="H69" s="103">
        <v>0.56349441021371027</v>
      </c>
      <c r="I69" s="91"/>
      <c r="J69" s="91"/>
      <c r="K69" s="91"/>
      <c r="L69" s="91"/>
      <c r="M69" s="91"/>
      <c r="N69" s="65"/>
    </row>
    <row r="70" spans="1:14" x14ac:dyDescent="0.2">
      <c r="A70" s="96" t="s">
        <v>200</v>
      </c>
      <c r="B70" s="96" t="s">
        <v>219</v>
      </c>
      <c r="C70" s="96" t="b">
        <v>1</v>
      </c>
      <c r="D70" s="96" t="s">
        <v>160</v>
      </c>
      <c r="E70" s="96" t="s">
        <v>153</v>
      </c>
      <c r="F70" s="91" t="s">
        <v>222</v>
      </c>
      <c r="G70" s="103"/>
      <c r="H70" s="103">
        <v>0.16220540596407718</v>
      </c>
      <c r="I70" s="91"/>
      <c r="J70" s="91"/>
      <c r="K70" s="91"/>
      <c r="L70" s="91"/>
      <c r="M70" s="91"/>
      <c r="N70" s="65"/>
    </row>
    <row r="71" spans="1:14" x14ac:dyDescent="0.2">
      <c r="A71" s="96" t="s">
        <v>200</v>
      </c>
      <c r="B71" s="96" t="s">
        <v>219</v>
      </c>
      <c r="C71" s="96" t="b">
        <v>1</v>
      </c>
      <c r="D71" s="96" t="s">
        <v>160</v>
      </c>
      <c r="E71" s="96" t="s">
        <v>156</v>
      </c>
      <c r="F71" s="91" t="s">
        <v>223</v>
      </c>
      <c r="G71" s="103"/>
      <c r="H71" s="103">
        <v>0.6103516470000665</v>
      </c>
      <c r="I71" s="91"/>
      <c r="J71" s="91"/>
      <c r="K71" s="91"/>
      <c r="L71" s="91"/>
      <c r="M71" s="91"/>
      <c r="N71" s="65"/>
    </row>
    <row r="72" spans="1:14" x14ac:dyDescent="0.2">
      <c r="A72" s="96" t="s">
        <v>200</v>
      </c>
      <c r="B72" s="96" t="s">
        <v>219</v>
      </c>
      <c r="C72" s="96" t="b">
        <v>1</v>
      </c>
      <c r="D72" s="96" t="s">
        <v>160</v>
      </c>
      <c r="E72" s="96" t="s">
        <v>158</v>
      </c>
      <c r="F72" s="91" t="s">
        <v>224</v>
      </c>
      <c r="G72" s="103"/>
      <c r="H72" s="103">
        <v>0.95250830496086714</v>
      </c>
      <c r="I72" s="91"/>
      <c r="J72" s="91"/>
      <c r="K72" s="91"/>
      <c r="L72" s="91"/>
      <c r="M72" s="91"/>
      <c r="N72" s="65"/>
    </row>
    <row r="73" spans="1:14" x14ac:dyDescent="0.2">
      <c r="A73" s="96" t="s">
        <v>200</v>
      </c>
      <c r="B73" s="96" t="s">
        <v>225</v>
      </c>
      <c r="C73" s="96" t="b">
        <v>1</v>
      </c>
      <c r="D73" s="96" t="s">
        <v>152</v>
      </c>
      <c r="E73" s="96" t="s">
        <v>153</v>
      </c>
      <c r="F73" s="91" t="s">
        <v>226</v>
      </c>
      <c r="G73" s="103"/>
      <c r="H73" s="103">
        <v>7.3153777801118841E-2</v>
      </c>
      <c r="I73" s="91"/>
      <c r="J73" s="91"/>
      <c r="K73" s="91"/>
      <c r="L73" s="91"/>
      <c r="M73" s="91"/>
      <c r="N73" s="65"/>
    </row>
    <row r="74" spans="1:14" x14ac:dyDescent="0.2">
      <c r="A74" s="96" t="s">
        <v>200</v>
      </c>
      <c r="B74" s="96" t="s">
        <v>225</v>
      </c>
      <c r="C74" s="96" t="b">
        <v>1</v>
      </c>
      <c r="D74" s="96" t="s">
        <v>152</v>
      </c>
      <c r="E74" s="96" t="s">
        <v>156</v>
      </c>
      <c r="F74" s="91" t="s">
        <v>227</v>
      </c>
      <c r="G74" s="103"/>
      <c r="H74" s="103">
        <v>0.25663501350975493</v>
      </c>
      <c r="I74" s="91"/>
      <c r="J74" s="91"/>
      <c r="K74" s="91"/>
      <c r="L74" s="91"/>
      <c r="M74" s="91"/>
      <c r="N74" s="65"/>
    </row>
    <row r="75" spans="1:14" x14ac:dyDescent="0.2">
      <c r="A75" s="96" t="s">
        <v>200</v>
      </c>
      <c r="B75" s="96" t="s">
        <v>225</v>
      </c>
      <c r="C75" s="96" t="b">
        <v>1</v>
      </c>
      <c r="D75" s="96" t="s">
        <v>152</v>
      </c>
      <c r="E75" s="96" t="s">
        <v>158</v>
      </c>
      <c r="F75" s="91" t="s">
        <v>228</v>
      </c>
      <c r="G75" s="103"/>
      <c r="H75" s="103">
        <v>0.48469761608744732</v>
      </c>
      <c r="I75" s="91"/>
      <c r="J75" s="91"/>
      <c r="K75" s="91"/>
      <c r="L75" s="91"/>
      <c r="M75" s="91"/>
      <c r="N75" s="65"/>
    </row>
    <row r="76" spans="1:14" x14ac:dyDescent="0.2">
      <c r="A76" s="96" t="s">
        <v>200</v>
      </c>
      <c r="B76" s="96" t="s">
        <v>225</v>
      </c>
      <c r="C76" s="96" t="b">
        <v>1</v>
      </c>
      <c r="D76" s="96" t="s">
        <v>160</v>
      </c>
      <c r="E76" s="96" t="s">
        <v>153</v>
      </c>
      <c r="F76" s="91" t="s">
        <v>229</v>
      </c>
      <c r="G76" s="103"/>
      <c r="H76" s="103">
        <v>0.17216673368251434</v>
      </c>
      <c r="I76" s="91"/>
      <c r="J76" s="91"/>
      <c r="K76" s="91"/>
      <c r="L76" s="91"/>
      <c r="M76" s="91"/>
      <c r="N76" s="65"/>
    </row>
    <row r="77" spans="1:14" x14ac:dyDescent="0.2">
      <c r="A77" s="96" t="s">
        <v>200</v>
      </c>
      <c r="B77" s="96" t="s">
        <v>225</v>
      </c>
      <c r="C77" s="96" t="b">
        <v>1</v>
      </c>
      <c r="D77" s="96" t="s">
        <v>160</v>
      </c>
      <c r="E77" s="96" t="s">
        <v>156</v>
      </c>
      <c r="F77" s="91" t="s">
        <v>230</v>
      </c>
      <c r="G77" s="103"/>
      <c r="H77" s="103">
        <v>0.53854458249674153</v>
      </c>
      <c r="I77" s="91"/>
      <c r="J77" s="91"/>
      <c r="K77" s="91"/>
      <c r="L77" s="91"/>
      <c r="M77" s="91"/>
      <c r="N77" s="65"/>
    </row>
    <row r="78" spans="1:14" x14ac:dyDescent="0.2">
      <c r="A78" s="96" t="s">
        <v>200</v>
      </c>
      <c r="B78" s="96" t="s">
        <v>225</v>
      </c>
      <c r="C78" s="96" t="b">
        <v>1</v>
      </c>
      <c r="D78" s="96" t="s">
        <v>160</v>
      </c>
      <c r="E78" s="96" t="s">
        <v>158</v>
      </c>
      <c r="F78" s="91" t="s">
        <v>231</v>
      </c>
      <c r="G78" s="103"/>
      <c r="H78" s="103">
        <v>0.84262713370340148</v>
      </c>
      <c r="I78" s="91"/>
      <c r="J78" s="91"/>
      <c r="K78" s="91"/>
      <c r="L78" s="91"/>
      <c r="M78" s="91"/>
      <c r="N78" s="65"/>
    </row>
    <row r="79" spans="1:14" x14ac:dyDescent="0.2">
      <c r="A79" s="96" t="s">
        <v>200</v>
      </c>
      <c r="B79" s="96" t="s">
        <v>178</v>
      </c>
      <c r="C79" s="96" t="b">
        <v>1</v>
      </c>
      <c r="D79" s="96" t="s">
        <v>152</v>
      </c>
      <c r="E79" s="96" t="s">
        <v>153</v>
      </c>
      <c r="F79" s="91" t="s">
        <v>232</v>
      </c>
      <c r="G79" s="103"/>
      <c r="H79" s="103">
        <v>0.13811967047018098</v>
      </c>
      <c r="I79" s="91"/>
      <c r="J79" s="91"/>
      <c r="K79" s="91"/>
      <c r="L79" s="91"/>
      <c r="M79" s="91"/>
      <c r="N79" s="65"/>
    </row>
    <row r="80" spans="1:14" x14ac:dyDescent="0.2">
      <c r="A80" s="96" t="s">
        <v>200</v>
      </c>
      <c r="B80" s="96" t="s">
        <v>178</v>
      </c>
      <c r="C80" s="96" t="b">
        <v>1</v>
      </c>
      <c r="D80" s="96" t="s">
        <v>152</v>
      </c>
      <c r="E80" s="96" t="s">
        <v>156</v>
      </c>
      <c r="F80" s="91" t="s">
        <v>233</v>
      </c>
      <c r="G80" s="103"/>
      <c r="H80" s="103">
        <v>0.24779752177792891</v>
      </c>
      <c r="I80" s="91"/>
      <c r="J80" s="91"/>
      <c r="K80" s="91"/>
      <c r="L80" s="91"/>
      <c r="M80" s="91"/>
      <c r="N80" s="65"/>
    </row>
    <row r="81" spans="1:13" x14ac:dyDescent="0.2">
      <c r="A81" s="96" t="s">
        <v>200</v>
      </c>
      <c r="B81" s="96" t="s">
        <v>178</v>
      </c>
      <c r="C81" s="96" t="b">
        <v>1</v>
      </c>
      <c r="D81" s="96" t="s">
        <v>152</v>
      </c>
      <c r="E81" s="96" t="s">
        <v>158</v>
      </c>
      <c r="F81" s="91" t="s">
        <v>234</v>
      </c>
      <c r="G81" s="103"/>
      <c r="H81" s="103">
        <v>0.95192473538015687</v>
      </c>
      <c r="I81" s="91"/>
      <c r="J81" s="91"/>
      <c r="K81" s="103"/>
      <c r="L81" s="91"/>
      <c r="M81" s="103"/>
    </row>
    <row r="82" spans="1:13" x14ac:dyDescent="0.2">
      <c r="A82" s="96" t="s">
        <v>200</v>
      </c>
      <c r="B82" s="96" t="s">
        <v>178</v>
      </c>
      <c r="C82" s="96" t="b">
        <v>1</v>
      </c>
      <c r="D82" s="96" t="s">
        <v>160</v>
      </c>
      <c r="E82" s="96" t="s">
        <v>153</v>
      </c>
      <c r="F82" s="91" t="s">
        <v>235</v>
      </c>
      <c r="G82" s="103"/>
      <c r="H82" s="103">
        <v>0.21660378895948118</v>
      </c>
      <c r="I82" s="91"/>
      <c r="J82" s="91"/>
      <c r="K82" s="103"/>
      <c r="L82" s="91"/>
      <c r="M82" s="103"/>
    </row>
    <row r="83" spans="1:13" x14ac:dyDescent="0.2">
      <c r="A83" s="96" t="s">
        <v>200</v>
      </c>
      <c r="B83" s="96" t="s">
        <v>178</v>
      </c>
      <c r="C83" s="96" t="b">
        <v>1</v>
      </c>
      <c r="D83" s="96" t="s">
        <v>160</v>
      </c>
      <c r="E83" s="96" t="s">
        <v>156</v>
      </c>
      <c r="F83" s="91" t="s">
        <v>236</v>
      </c>
      <c r="G83" s="103"/>
      <c r="H83" s="103">
        <v>0.43216854496425822</v>
      </c>
      <c r="I83" s="91"/>
      <c r="J83" s="91"/>
      <c r="K83" s="103"/>
      <c r="L83" s="91"/>
      <c r="M83" s="103"/>
    </row>
    <row r="84" spans="1:13" x14ac:dyDescent="0.2">
      <c r="A84" s="96" t="s">
        <v>200</v>
      </c>
      <c r="B84" s="96" t="s">
        <v>178</v>
      </c>
      <c r="C84" s="96" t="b">
        <v>1</v>
      </c>
      <c r="D84" s="96" t="s">
        <v>160</v>
      </c>
      <c r="E84" s="96" t="s">
        <v>158</v>
      </c>
      <c r="F84" s="91" t="s">
        <v>237</v>
      </c>
      <c r="G84" s="103"/>
      <c r="H84" s="103">
        <v>1.3919941604921613</v>
      </c>
      <c r="I84" s="91"/>
      <c r="J84" s="91"/>
      <c r="K84" s="103"/>
      <c r="L84" s="91"/>
      <c r="M84" s="103"/>
    </row>
    <row r="85" spans="1:13" x14ac:dyDescent="0.2">
      <c r="A85" s="96" t="s">
        <v>200</v>
      </c>
      <c r="B85" s="96" t="s">
        <v>182</v>
      </c>
      <c r="C85" s="96" t="b">
        <v>1</v>
      </c>
      <c r="D85" s="96" t="s">
        <v>152</v>
      </c>
      <c r="E85" s="96" t="s">
        <v>153</v>
      </c>
      <c r="F85" s="91" t="s">
        <v>238</v>
      </c>
      <c r="G85" s="103"/>
      <c r="H85" s="103">
        <v>5.2016299850466782E-2</v>
      </c>
      <c r="I85" s="91"/>
      <c r="J85" s="91"/>
      <c r="K85" s="103"/>
      <c r="L85" s="91"/>
      <c r="M85" s="103"/>
    </row>
    <row r="86" spans="1:13" x14ac:dyDescent="0.2">
      <c r="A86" s="96" t="s">
        <v>200</v>
      </c>
      <c r="B86" s="96" t="s">
        <v>182</v>
      </c>
      <c r="C86" s="96" t="b">
        <v>1</v>
      </c>
      <c r="D86" s="96" t="s">
        <v>152</v>
      </c>
      <c r="E86" s="96" t="s">
        <v>156</v>
      </c>
      <c r="F86" s="91" t="s">
        <v>239</v>
      </c>
      <c r="G86" s="103"/>
      <c r="H86" s="103">
        <v>6.1643258544545408E-2</v>
      </c>
      <c r="I86" s="91"/>
      <c r="J86" s="91"/>
      <c r="K86" s="103"/>
      <c r="L86" s="91"/>
      <c r="M86" s="103"/>
    </row>
    <row r="87" spans="1:13" x14ac:dyDescent="0.2">
      <c r="A87" s="96" t="s">
        <v>200</v>
      </c>
      <c r="B87" s="96" t="s">
        <v>182</v>
      </c>
      <c r="C87" s="96" t="b">
        <v>1</v>
      </c>
      <c r="D87" s="96" t="s">
        <v>152</v>
      </c>
      <c r="E87" s="96" t="s">
        <v>158</v>
      </c>
      <c r="F87" s="91" t="s">
        <v>240</v>
      </c>
      <c r="G87" s="103"/>
      <c r="H87" s="103">
        <v>0.34370029324891388</v>
      </c>
      <c r="I87" s="91"/>
      <c r="J87" s="91"/>
      <c r="K87" s="103"/>
      <c r="L87" s="91"/>
      <c r="M87" s="103"/>
    </row>
    <row r="88" spans="1:13" x14ac:dyDescent="0.2">
      <c r="A88" s="96" t="s">
        <v>200</v>
      </c>
      <c r="B88" s="96" t="s">
        <v>187</v>
      </c>
      <c r="C88" s="96" t="b">
        <v>1</v>
      </c>
      <c r="D88" s="96" t="s">
        <v>152</v>
      </c>
      <c r="E88" s="96" t="s">
        <v>153</v>
      </c>
      <c r="F88" s="91" t="s">
        <v>241</v>
      </c>
      <c r="G88" s="103"/>
      <c r="H88" s="103">
        <v>6.803951474826947E-2</v>
      </c>
      <c r="I88" s="91"/>
      <c r="J88" s="91"/>
      <c r="K88" s="103"/>
      <c r="L88" s="91"/>
      <c r="M88" s="103"/>
    </row>
    <row r="89" spans="1:13" x14ac:dyDescent="0.2">
      <c r="A89" s="96" t="s">
        <v>200</v>
      </c>
      <c r="B89" s="96" t="s">
        <v>187</v>
      </c>
      <c r="C89" s="96" t="b">
        <v>1</v>
      </c>
      <c r="D89" s="96" t="s">
        <v>152</v>
      </c>
      <c r="E89" s="96" t="s">
        <v>156</v>
      </c>
      <c r="F89" s="91" t="s">
        <v>242</v>
      </c>
      <c r="G89" s="103"/>
      <c r="H89" s="103">
        <v>0.10965234734832199</v>
      </c>
      <c r="I89" s="91"/>
      <c r="J89" s="91"/>
      <c r="K89" s="103"/>
      <c r="L89" s="91"/>
      <c r="M89" s="103"/>
    </row>
    <row r="90" spans="1:13" x14ac:dyDescent="0.2">
      <c r="A90" s="96" t="s">
        <v>200</v>
      </c>
      <c r="B90" s="96" t="s">
        <v>187</v>
      </c>
      <c r="C90" s="96" t="b">
        <v>1</v>
      </c>
      <c r="D90" s="96" t="s">
        <v>152</v>
      </c>
      <c r="E90" s="96" t="s">
        <v>158</v>
      </c>
      <c r="F90" s="91" t="s">
        <v>243</v>
      </c>
      <c r="G90" s="103"/>
      <c r="H90" s="103">
        <v>0.47528699872208302</v>
      </c>
      <c r="I90" s="91"/>
      <c r="J90" s="91"/>
      <c r="K90" s="103"/>
      <c r="L90" s="91"/>
      <c r="M90" s="103"/>
    </row>
    <row r="91" spans="1:13" x14ac:dyDescent="0.2">
      <c r="A91" s="96" t="s">
        <v>200</v>
      </c>
      <c r="B91" s="96" t="s">
        <v>187</v>
      </c>
      <c r="C91" s="96" t="b">
        <v>1</v>
      </c>
      <c r="D91" s="96" t="s">
        <v>160</v>
      </c>
      <c r="E91" s="96" t="s">
        <v>153</v>
      </c>
      <c r="F91" s="91" t="s">
        <v>244</v>
      </c>
      <c r="G91" s="103"/>
      <c r="H91" s="103">
        <v>0.11857135684907197</v>
      </c>
      <c r="I91" s="91"/>
      <c r="J91" s="91"/>
      <c r="K91" s="103"/>
      <c r="L91" s="91"/>
      <c r="M91" s="103"/>
    </row>
    <row r="92" spans="1:13" x14ac:dyDescent="0.2">
      <c r="A92" s="96" t="s">
        <v>200</v>
      </c>
      <c r="B92" s="96" t="s">
        <v>187</v>
      </c>
      <c r="C92" s="96" t="b">
        <v>1</v>
      </c>
      <c r="D92" s="96" t="s">
        <v>160</v>
      </c>
      <c r="E92" s="96" t="s">
        <v>156</v>
      </c>
      <c r="F92" s="91" t="s">
        <v>245</v>
      </c>
      <c r="G92" s="103"/>
      <c r="H92" s="103">
        <v>0.19706289766228996</v>
      </c>
      <c r="I92" s="91"/>
      <c r="J92" s="91"/>
      <c r="K92" s="103"/>
      <c r="L92" s="91"/>
      <c r="M92" s="103"/>
    </row>
    <row r="93" spans="1:13" x14ac:dyDescent="0.2">
      <c r="A93" s="96" t="s">
        <v>200</v>
      </c>
      <c r="B93" s="96" t="s">
        <v>187</v>
      </c>
      <c r="C93" s="96" t="b">
        <v>1</v>
      </c>
      <c r="D93" s="96" t="s">
        <v>160</v>
      </c>
      <c r="E93" s="96" t="s">
        <v>158</v>
      </c>
      <c r="F93" s="91" t="s">
        <v>246</v>
      </c>
      <c r="G93" s="103"/>
      <c r="H93" s="103">
        <v>0.74823776345045157</v>
      </c>
      <c r="I93" s="91"/>
      <c r="J93" s="91"/>
      <c r="K93" s="103"/>
      <c r="L93" s="91"/>
      <c r="M93" s="103"/>
    </row>
    <row r="94" spans="1:13" x14ac:dyDescent="0.2">
      <c r="A94" s="96" t="s">
        <v>200</v>
      </c>
      <c r="B94" s="96" t="s">
        <v>195</v>
      </c>
      <c r="C94" s="96" t="b">
        <v>1</v>
      </c>
      <c r="D94" s="96" t="s">
        <v>152</v>
      </c>
      <c r="E94" s="96" t="s">
        <v>153</v>
      </c>
      <c r="F94" s="91" t="s">
        <v>247</v>
      </c>
      <c r="G94" s="103"/>
      <c r="H94" s="103">
        <v>6.8985905403576644E-2</v>
      </c>
      <c r="I94" s="91"/>
      <c r="J94" s="91"/>
      <c r="K94" s="103"/>
      <c r="L94" s="91"/>
      <c r="M94" s="103"/>
    </row>
    <row r="95" spans="1:13" x14ac:dyDescent="0.2">
      <c r="A95" s="96" t="s">
        <v>200</v>
      </c>
      <c r="B95" s="96" t="s">
        <v>195</v>
      </c>
      <c r="C95" s="96" t="b">
        <v>1</v>
      </c>
      <c r="D95" s="96" t="s">
        <v>152</v>
      </c>
      <c r="E95" s="96" t="s">
        <v>156</v>
      </c>
      <c r="F95" s="91" t="s">
        <v>248</v>
      </c>
      <c r="G95" s="103"/>
      <c r="H95" s="103">
        <v>0.25879428017504386</v>
      </c>
      <c r="I95" s="91"/>
      <c r="J95" s="91"/>
      <c r="K95" s="103"/>
      <c r="L95" s="91"/>
      <c r="M95" s="103"/>
    </row>
    <row r="96" spans="1:13" x14ac:dyDescent="0.2">
      <c r="A96" s="96" t="s">
        <v>200</v>
      </c>
      <c r="B96" s="96" t="s">
        <v>195</v>
      </c>
      <c r="C96" s="96" t="b">
        <v>1</v>
      </c>
      <c r="D96" s="96" t="s">
        <v>152</v>
      </c>
      <c r="E96" s="96" t="s">
        <v>158</v>
      </c>
      <c r="F96" s="91" t="s">
        <v>249</v>
      </c>
      <c r="G96" s="103"/>
      <c r="H96" s="103">
        <v>0.57398345452074129</v>
      </c>
      <c r="I96" s="91"/>
      <c r="J96" s="91"/>
      <c r="K96" s="103"/>
      <c r="L96" s="91"/>
      <c r="M96" s="103"/>
    </row>
    <row r="97" spans="1:13" x14ac:dyDescent="0.2">
      <c r="A97" s="96" t="s">
        <v>200</v>
      </c>
      <c r="B97" s="96" t="s">
        <v>195</v>
      </c>
      <c r="C97" s="96" t="b">
        <v>1</v>
      </c>
      <c r="D97" s="96" t="s">
        <v>160</v>
      </c>
      <c r="E97" s="96" t="s">
        <v>153</v>
      </c>
      <c r="F97" s="91" t="s">
        <v>250</v>
      </c>
      <c r="G97" s="103"/>
      <c r="H97" s="103">
        <v>0.1575484509436918</v>
      </c>
      <c r="I97" s="91"/>
      <c r="J97" s="91"/>
      <c r="K97" s="103"/>
      <c r="L97" s="91"/>
      <c r="M97" s="103"/>
    </row>
    <row r="98" spans="1:13" x14ac:dyDescent="0.2">
      <c r="A98" s="96" t="s">
        <v>200</v>
      </c>
      <c r="B98" s="96" t="s">
        <v>195</v>
      </c>
      <c r="C98" s="96" t="b">
        <v>1</v>
      </c>
      <c r="D98" s="96" t="s">
        <v>160</v>
      </c>
      <c r="E98" s="96" t="s">
        <v>156</v>
      </c>
      <c r="F98" s="91" t="s">
        <v>251</v>
      </c>
      <c r="G98" s="103"/>
      <c r="H98" s="103">
        <v>0.55149925444485248</v>
      </c>
      <c r="I98" s="91"/>
      <c r="J98" s="103"/>
      <c r="K98" s="103"/>
      <c r="L98" s="103"/>
      <c r="M98" s="103"/>
    </row>
    <row r="99" spans="1:13" x14ac:dyDescent="0.2">
      <c r="A99" s="96" t="s">
        <v>200</v>
      </c>
      <c r="B99" s="96" t="s">
        <v>195</v>
      </c>
      <c r="C99" s="96" t="b">
        <v>1</v>
      </c>
      <c r="D99" s="96" t="s">
        <v>160</v>
      </c>
      <c r="E99" s="96" t="s">
        <v>158</v>
      </c>
      <c r="F99" s="91" t="s">
        <v>252</v>
      </c>
      <c r="G99" s="103"/>
      <c r="H99" s="103">
        <v>0.96310754883623428</v>
      </c>
      <c r="I99" s="91"/>
      <c r="J99" s="103"/>
      <c r="K99" s="103"/>
      <c r="L99" s="103"/>
      <c r="M99" s="103"/>
    </row>
    <row r="100" spans="1:13" x14ac:dyDescent="0.2">
      <c r="A100" s="96" t="s">
        <v>253</v>
      </c>
      <c r="B100" s="96" t="s">
        <v>253</v>
      </c>
      <c r="C100" s="96" t="s">
        <v>253</v>
      </c>
      <c r="D100" s="96" t="s">
        <v>253</v>
      </c>
      <c r="E100" s="98" t="s">
        <v>254</v>
      </c>
      <c r="F100" s="91" t="str">
        <f>"|"&amp;"|"&amp;"|"&amp;E100</f>
        <v>|||Greenspace</v>
      </c>
      <c r="G100" s="104"/>
      <c r="H100" s="103">
        <v>0.02</v>
      </c>
      <c r="I100" s="91"/>
      <c r="J100" s="91"/>
      <c r="K100" s="91"/>
      <c r="L100" s="91"/>
      <c r="M100" s="91"/>
    </row>
    <row r="101" spans="1:13" x14ac:dyDescent="0.2">
      <c r="A101" s="96" t="s">
        <v>253</v>
      </c>
      <c r="B101" s="96" t="s">
        <v>253</v>
      </c>
      <c r="C101" s="96" t="s">
        <v>253</v>
      </c>
      <c r="D101" s="96" t="s">
        <v>253</v>
      </c>
      <c r="E101" s="98" t="s">
        <v>255</v>
      </c>
      <c r="F101" s="91" t="str">
        <f>"|"&amp;"|"&amp;"|"&amp;E101</f>
        <v>|||Community food growing</v>
      </c>
      <c r="G101" s="103"/>
      <c r="H101" s="103">
        <f>IFERROR(VLOOKUP((VLOOKUP(Nutrients_from_current_land_use!$B$5,Value_look_up_tables!$A$137:$B$137,2,FALSE)&amp;"|"&amp;"General"&amp;"|"&amp;"FALSE"&amp;"|"&amp;VLOOKUP(Nutrients_from_current_land_use!$B$7,Value_look_up_tables!$A$111:$C$133,3,FALSE)&amp;"|"&amp;"FreeDrain"),$F$23:$H$99,3,FALSE), IFERROR(VLOOKUP("General"&amp;"|"&amp;VLOOKUP(Nutrients_from_current_land_use!$B$7,Value_look_up_tables!$A$111:$C$133,3,FALSE),$I$23:$M$99,3,FALSE),VLOOKUP("General",$B$23:$M$99,12,FALSE)))</f>
        <v>0.36821434812090448</v>
      </c>
      <c r="I101" s="91"/>
      <c r="J101" s="91"/>
      <c r="K101" s="91"/>
      <c r="L101" s="91"/>
      <c r="M101" s="91"/>
    </row>
    <row r="102" spans="1:13" x14ac:dyDescent="0.2">
      <c r="A102" s="96" t="s">
        <v>253</v>
      </c>
      <c r="B102" s="96" t="s">
        <v>253</v>
      </c>
      <c r="C102" s="96" t="s">
        <v>253</v>
      </c>
      <c r="D102" s="96" t="s">
        <v>253</v>
      </c>
      <c r="E102" s="98" t="s">
        <v>256</v>
      </c>
      <c r="F102" s="91" t="str">
        <f>"|"&amp;"|"&amp;"|"&amp;E102</f>
        <v>|||Woodland</v>
      </c>
      <c r="G102" s="104"/>
      <c r="H102" s="103">
        <v>0.02</v>
      </c>
      <c r="I102" s="91"/>
      <c r="J102" s="91"/>
      <c r="K102" s="91"/>
      <c r="L102" s="91"/>
      <c r="M102" s="91"/>
    </row>
    <row r="103" spans="1:13" x14ac:dyDescent="0.2">
      <c r="A103" s="96" t="s">
        <v>253</v>
      </c>
      <c r="B103" s="96" t="s">
        <v>253</v>
      </c>
      <c r="C103" s="96" t="s">
        <v>253</v>
      </c>
      <c r="D103" s="96" t="s">
        <v>253</v>
      </c>
      <c r="E103" s="98" t="s">
        <v>257</v>
      </c>
      <c r="F103" s="91" t="str">
        <f>"|"&amp;"|"&amp;"|"&amp;E103</f>
        <v>|||Shrub</v>
      </c>
      <c r="G103" s="104"/>
      <c r="H103" s="103">
        <v>0.02</v>
      </c>
      <c r="I103" s="91"/>
      <c r="J103" s="91"/>
      <c r="K103" s="91"/>
      <c r="L103" s="91"/>
      <c r="M103" s="91"/>
    </row>
    <row r="104" spans="1:13" x14ac:dyDescent="0.2">
      <c r="A104" s="96" t="s">
        <v>253</v>
      </c>
      <c r="B104" s="96" t="s">
        <v>253</v>
      </c>
      <c r="C104" s="96" t="s">
        <v>253</v>
      </c>
      <c r="D104" s="96" t="s">
        <v>253</v>
      </c>
      <c r="E104" s="98" t="s">
        <v>258</v>
      </c>
      <c r="F104" s="91" t="str">
        <f>"|"&amp;"|"&amp;"|"&amp;E104</f>
        <v>|||Water</v>
      </c>
      <c r="G104" s="104"/>
      <c r="H104" s="103">
        <v>0</v>
      </c>
      <c r="I104" s="91"/>
      <c r="J104" s="91"/>
      <c r="K104" s="91"/>
      <c r="L104" s="91"/>
      <c r="M104" s="91"/>
    </row>
    <row r="105" spans="1:13" x14ac:dyDescent="0.2">
      <c r="A105" s="96" t="s">
        <v>253</v>
      </c>
      <c r="B105" s="96" t="s">
        <v>253</v>
      </c>
      <c r="C105" s="96" t="s">
        <v>253</v>
      </c>
      <c r="D105" s="96" t="s">
        <v>253</v>
      </c>
      <c r="E105" s="91" t="s">
        <v>259</v>
      </c>
      <c r="F105" s="91" t="str">
        <f t="shared" ref="F105:F107" si="0">"|"&amp;"|"&amp;"|"&amp;E105</f>
        <v>|||Residential urban land</v>
      </c>
      <c r="G105" s="103"/>
      <c r="H105" s="103" t="e">
        <f>VLOOKUP(Nutrients_from_current_land_use!B7,Value_look_up_tables!A111:I133,9,FALSE)</f>
        <v>#N/A</v>
      </c>
      <c r="I105" s="91"/>
      <c r="J105" s="91"/>
      <c r="K105" s="91"/>
      <c r="L105" s="91"/>
      <c r="M105" s="91"/>
    </row>
    <row r="106" spans="1:13" ht="28.5" x14ac:dyDescent="0.2">
      <c r="A106" s="96" t="s">
        <v>253</v>
      </c>
      <c r="B106" s="96" t="s">
        <v>253</v>
      </c>
      <c r="C106" s="96" t="s">
        <v>253</v>
      </c>
      <c r="D106" s="96" t="s">
        <v>253</v>
      </c>
      <c r="E106" s="91" t="s">
        <v>260</v>
      </c>
      <c r="F106" s="91" t="str">
        <f t="shared" si="0"/>
        <v>|||Commercial/industrial urban land</v>
      </c>
      <c r="G106" s="103"/>
      <c r="H106" s="103" t="e">
        <f>VLOOKUP(Nutrients_from_current_land_use!B7,Value_look_up_tables!A111:K133,10,FALSE)</f>
        <v>#N/A</v>
      </c>
      <c r="I106" s="91"/>
      <c r="J106" s="91"/>
      <c r="K106" s="91"/>
      <c r="L106" s="91"/>
      <c r="M106" s="91"/>
    </row>
    <row r="107" spans="1:13" x14ac:dyDescent="0.2">
      <c r="A107" s="96" t="s">
        <v>253</v>
      </c>
      <c r="B107" s="96" t="s">
        <v>253</v>
      </c>
      <c r="C107" s="96" t="s">
        <v>253</v>
      </c>
      <c r="D107" s="96" t="s">
        <v>253</v>
      </c>
      <c r="E107" s="91" t="s">
        <v>261</v>
      </c>
      <c r="F107" s="91" t="str">
        <f t="shared" si="0"/>
        <v>|||Open urban land</v>
      </c>
      <c r="G107" s="103"/>
      <c r="H107" s="103" t="e">
        <f>VLOOKUP(Nutrients_from_current_land_use!B7,Value_look_up_tables!A111:N133,11,FALSE)</f>
        <v>#N/A</v>
      </c>
      <c r="I107" s="91"/>
      <c r="J107" s="91"/>
      <c r="K107" s="91"/>
      <c r="L107" s="91"/>
      <c r="M107" s="91"/>
    </row>
    <row r="108" spans="1:13" x14ac:dyDescent="0.2">
      <c r="A108" s="65"/>
      <c r="B108" s="65"/>
      <c r="C108" s="65"/>
      <c r="D108" s="65"/>
      <c r="E108" s="65"/>
      <c r="F108" s="65"/>
      <c r="G108" s="97"/>
      <c r="H108" s="97"/>
      <c r="I108" s="65"/>
      <c r="J108" s="65"/>
      <c r="K108" s="65"/>
      <c r="L108" s="65"/>
      <c r="M108" s="65"/>
    </row>
    <row r="109" spans="1:13" ht="37.5" customHeight="1" x14ac:dyDescent="0.2">
      <c r="A109" s="110" t="s">
        <v>262</v>
      </c>
      <c r="B109" s="118"/>
      <c r="C109" s="65"/>
      <c r="D109" s="65"/>
      <c r="E109" s="65"/>
      <c r="F109" s="65"/>
      <c r="G109" s="97"/>
      <c r="H109" s="97"/>
      <c r="I109" s="65"/>
      <c r="J109" s="65"/>
      <c r="K109" s="65"/>
      <c r="L109" s="65"/>
      <c r="M109" s="65"/>
    </row>
    <row r="110" spans="1:13" ht="75" x14ac:dyDescent="0.2">
      <c r="A110" s="120" t="s">
        <v>263</v>
      </c>
      <c r="B110" s="120" t="s">
        <v>264</v>
      </c>
      <c r="C110" s="120" t="s">
        <v>265</v>
      </c>
      <c r="D110" s="120" t="s">
        <v>266</v>
      </c>
      <c r="E110" s="120" t="s">
        <v>267</v>
      </c>
      <c r="F110" s="120" t="s">
        <v>268</v>
      </c>
      <c r="G110" s="120" t="s">
        <v>269</v>
      </c>
      <c r="H110" s="120" t="s">
        <v>270</v>
      </c>
      <c r="I110" s="120" t="s">
        <v>271</v>
      </c>
      <c r="J110" s="120" t="s">
        <v>272</v>
      </c>
      <c r="K110" s="120" t="s">
        <v>273</v>
      </c>
      <c r="L110" s="43"/>
      <c r="M110" s="43"/>
    </row>
    <row r="111" spans="1:13" x14ac:dyDescent="0.2">
      <c r="A111" s="99" t="s">
        <v>274</v>
      </c>
      <c r="B111" s="100">
        <v>516.5</v>
      </c>
      <c r="C111" s="99" t="s">
        <v>275</v>
      </c>
      <c r="D111" s="100">
        <v>47.366326420209788</v>
      </c>
      <c r="E111" s="100">
        <v>63.946326420209786</v>
      </c>
      <c r="F111" s="100">
        <v>1.0030530114375726</v>
      </c>
      <c r="G111" s="100">
        <v>0.73394122788115068</v>
      </c>
      <c r="H111" s="100">
        <v>0.5382235671128438</v>
      </c>
      <c r="I111" s="100">
        <v>1.0030530114375726</v>
      </c>
      <c r="J111" s="100">
        <v>0.73394122788115068</v>
      </c>
      <c r="K111" s="100">
        <v>0.5382235671128438</v>
      </c>
      <c r="L111" s="101"/>
      <c r="M111" s="101"/>
    </row>
    <row r="112" spans="1:13" x14ac:dyDescent="0.2">
      <c r="A112" s="99" t="s">
        <v>276</v>
      </c>
      <c r="B112" s="100">
        <v>537.54999999999995</v>
      </c>
      <c r="C112" s="99" t="s">
        <v>275</v>
      </c>
      <c r="D112" s="100">
        <v>47.605509573313697</v>
      </c>
      <c r="E112" s="100">
        <v>64.185509573313695</v>
      </c>
      <c r="F112" s="100">
        <v>1.049204008516526</v>
      </c>
      <c r="G112" s="100">
        <v>0.76771025013404326</v>
      </c>
      <c r="H112" s="100">
        <v>0.56298751676496517</v>
      </c>
      <c r="I112" s="100">
        <v>1.049204008516526</v>
      </c>
      <c r="J112" s="100">
        <v>0.76771025013404326</v>
      </c>
      <c r="K112" s="100">
        <v>0.56298751676496517</v>
      </c>
      <c r="L112" s="101"/>
      <c r="M112" s="101"/>
    </row>
    <row r="113" spans="1:13" x14ac:dyDescent="0.2">
      <c r="A113" s="99" t="s">
        <v>277</v>
      </c>
      <c r="B113" s="100">
        <v>562.54999999999995</v>
      </c>
      <c r="C113" s="99" t="s">
        <v>275</v>
      </c>
      <c r="D113" s="100">
        <v>47.8624816470968</v>
      </c>
      <c r="E113" s="100">
        <v>64.442481647096798</v>
      </c>
      <c r="F113" s="100">
        <v>1.1039266010735462</v>
      </c>
      <c r="G113" s="100">
        <v>0.80775117151722908</v>
      </c>
      <c r="H113" s="100">
        <v>0.59235085911263463</v>
      </c>
      <c r="I113" s="100">
        <v>1.1039266010735462</v>
      </c>
      <c r="J113" s="100">
        <v>0.80775117151722908</v>
      </c>
      <c r="K113" s="100">
        <v>0.59235085911263463</v>
      </c>
      <c r="L113" s="101"/>
      <c r="M113" s="101"/>
    </row>
    <row r="114" spans="1:13" x14ac:dyDescent="0.2">
      <c r="A114" s="99" t="s">
        <v>278</v>
      </c>
      <c r="B114" s="100">
        <v>587.54999999999995</v>
      </c>
      <c r="C114" s="99" t="s">
        <v>275</v>
      </c>
      <c r="D114" s="100">
        <v>48.089720428979902</v>
      </c>
      <c r="E114" s="100">
        <v>64.6697204289799</v>
      </c>
      <c r="F114" s="100">
        <v>1.1584597247599329</v>
      </c>
      <c r="G114" s="100">
        <v>0.84765345714141427</v>
      </c>
      <c r="H114" s="100">
        <v>0.62161253523703719</v>
      </c>
      <c r="I114" s="100">
        <v>1.1584597247599329</v>
      </c>
      <c r="J114" s="100">
        <v>0.84765345714141427</v>
      </c>
      <c r="K114" s="100">
        <v>0.62161253523703719</v>
      </c>
      <c r="L114" s="101"/>
      <c r="M114" s="101"/>
    </row>
    <row r="115" spans="1:13" x14ac:dyDescent="0.2">
      <c r="A115" s="99" t="s">
        <v>279</v>
      </c>
      <c r="B115" s="100">
        <v>612.54999999999995</v>
      </c>
      <c r="C115" s="99" t="s">
        <v>152</v>
      </c>
      <c r="D115" s="100">
        <v>48.286892468962989</v>
      </c>
      <c r="E115" s="100">
        <v>64.866892468962988</v>
      </c>
      <c r="F115" s="100">
        <v>1.2127035752563942</v>
      </c>
      <c r="G115" s="100">
        <v>0.88734407945589822</v>
      </c>
      <c r="H115" s="100">
        <v>0.650718991600992</v>
      </c>
      <c r="I115" s="100">
        <v>1.2127035752563942</v>
      </c>
      <c r="J115" s="100">
        <v>0.88734407945589822</v>
      </c>
      <c r="K115" s="100">
        <v>0.650718991600992</v>
      </c>
      <c r="L115" s="101"/>
      <c r="M115" s="101"/>
    </row>
    <row r="116" spans="1:13" x14ac:dyDescent="0.2">
      <c r="A116" s="99" t="s">
        <v>280</v>
      </c>
      <c r="B116" s="100">
        <v>637.54999999999995</v>
      </c>
      <c r="C116" s="99" t="s">
        <v>152</v>
      </c>
      <c r="D116" s="100">
        <v>48.453664317046091</v>
      </c>
      <c r="E116" s="100">
        <v>65.033664317046089</v>
      </c>
      <c r="F116" s="100">
        <v>1.2665569810986419</v>
      </c>
      <c r="G116" s="100">
        <v>0.92674901055998193</v>
      </c>
      <c r="H116" s="100">
        <v>0.67961594107732015</v>
      </c>
      <c r="I116" s="100">
        <v>1.2665569810986419</v>
      </c>
      <c r="J116" s="100">
        <v>0.92674901055998193</v>
      </c>
      <c r="K116" s="100">
        <v>0.67961594107732015</v>
      </c>
      <c r="L116" s="101"/>
      <c r="M116" s="101"/>
    </row>
    <row r="117" spans="1:13" x14ac:dyDescent="0.2">
      <c r="A117" s="99" t="s">
        <v>281</v>
      </c>
      <c r="B117" s="100">
        <v>662.55</v>
      </c>
      <c r="C117" s="99" t="s">
        <v>152</v>
      </c>
      <c r="D117" s="100">
        <v>48.589702523229192</v>
      </c>
      <c r="E117" s="100">
        <v>65.169702523229191</v>
      </c>
      <c r="F117" s="100">
        <v>1.3199174036773855</v>
      </c>
      <c r="G117" s="100">
        <v>0.96579322220296504</v>
      </c>
      <c r="H117" s="100">
        <v>0.70824836294884108</v>
      </c>
      <c r="I117" s="100">
        <v>1.3199174036773855</v>
      </c>
      <c r="J117" s="100">
        <v>0.96579322220296504</v>
      </c>
      <c r="K117" s="100">
        <v>0.70824836294884108</v>
      </c>
      <c r="L117" s="101"/>
      <c r="M117" s="101"/>
    </row>
    <row r="118" spans="1:13" x14ac:dyDescent="0.2">
      <c r="A118" s="99" t="s">
        <v>282</v>
      </c>
      <c r="B118" s="100">
        <v>687.55</v>
      </c>
      <c r="C118" s="99" t="s">
        <v>152</v>
      </c>
      <c r="D118" s="100">
        <v>48.694673637512295</v>
      </c>
      <c r="E118" s="100">
        <v>65.274673637512294</v>
      </c>
      <c r="F118" s="100">
        <v>1.3726809372383346</v>
      </c>
      <c r="G118" s="100">
        <v>1.0044006857841474</v>
      </c>
      <c r="H118" s="100">
        <v>0.73656050290837471</v>
      </c>
      <c r="I118" s="100">
        <v>1.3726809372383346</v>
      </c>
      <c r="J118" s="100">
        <v>1.0044006857841474</v>
      </c>
      <c r="K118" s="100">
        <v>0.73656050290837471</v>
      </c>
      <c r="L118" s="101"/>
      <c r="M118" s="101"/>
    </row>
    <row r="119" spans="1:13" x14ac:dyDescent="0.2">
      <c r="A119" s="99" t="s">
        <v>283</v>
      </c>
      <c r="B119" s="100">
        <v>725.05</v>
      </c>
      <c r="C119" s="99" t="s">
        <v>160</v>
      </c>
      <c r="D119" s="100">
        <v>48.793150089749446</v>
      </c>
      <c r="E119" s="100">
        <v>65.373150089749444</v>
      </c>
      <c r="F119" s="100">
        <v>1.4504764123754863</v>
      </c>
      <c r="G119" s="100">
        <v>1.0613242041771849</v>
      </c>
      <c r="H119" s="100">
        <v>0.77830441639660242</v>
      </c>
      <c r="I119" s="100">
        <v>1.4504764123754863</v>
      </c>
      <c r="J119" s="100">
        <v>1.0613242041771849</v>
      </c>
      <c r="K119" s="100">
        <v>0.77830441639660242</v>
      </c>
      <c r="L119" s="101"/>
      <c r="M119" s="101"/>
    </row>
    <row r="120" spans="1:13" x14ac:dyDescent="0.2">
      <c r="A120" s="99" t="s">
        <v>284</v>
      </c>
      <c r="B120" s="100">
        <v>775.05</v>
      </c>
      <c r="C120" s="99" t="s">
        <v>160</v>
      </c>
      <c r="D120" s="100">
        <v>48.817999999999984</v>
      </c>
      <c r="E120" s="100">
        <v>65.397999999999982</v>
      </c>
      <c r="F120" s="100">
        <v>1.5512920268999992</v>
      </c>
      <c r="G120" s="100">
        <v>1.1350917269999994</v>
      </c>
      <c r="H120" s="100">
        <v>0.83240059979999959</v>
      </c>
      <c r="I120" s="100">
        <v>1.5512920268999992</v>
      </c>
      <c r="J120" s="100">
        <v>1.1350917269999994</v>
      </c>
      <c r="K120" s="100">
        <v>0.83240059979999959</v>
      </c>
      <c r="L120" s="101"/>
      <c r="M120" s="101"/>
    </row>
    <row r="121" spans="1:13" x14ac:dyDescent="0.2">
      <c r="A121" s="99" t="s">
        <v>285</v>
      </c>
      <c r="B121" s="100">
        <v>825.05</v>
      </c>
      <c r="C121" s="99" t="s">
        <v>160</v>
      </c>
      <c r="D121" s="100">
        <v>48.817999999999984</v>
      </c>
      <c r="E121" s="100">
        <v>65.397999999999982</v>
      </c>
      <c r="F121" s="100">
        <v>1.6513689268999994</v>
      </c>
      <c r="G121" s="100">
        <v>1.2083187269999995</v>
      </c>
      <c r="H121" s="100">
        <v>0.88610039979999966</v>
      </c>
      <c r="I121" s="100">
        <v>1.6513689268999994</v>
      </c>
      <c r="J121" s="100">
        <v>1.2083187269999995</v>
      </c>
      <c r="K121" s="100">
        <v>0.88610039979999966</v>
      </c>
      <c r="L121" s="101"/>
      <c r="M121" s="101"/>
    </row>
    <row r="122" spans="1:13" x14ac:dyDescent="0.2">
      <c r="A122" s="99" t="s">
        <v>286</v>
      </c>
      <c r="B122" s="100">
        <v>875.05</v>
      </c>
      <c r="C122" s="99" t="s">
        <v>160</v>
      </c>
      <c r="D122" s="100">
        <v>48.817999999999984</v>
      </c>
      <c r="E122" s="100">
        <v>65.397999999999982</v>
      </c>
      <c r="F122" s="100">
        <v>1.7514458268999995</v>
      </c>
      <c r="G122" s="100">
        <v>1.2815457269999997</v>
      </c>
      <c r="H122" s="100">
        <v>0.93980019979999974</v>
      </c>
      <c r="I122" s="100">
        <v>1.7514458268999995</v>
      </c>
      <c r="J122" s="100">
        <v>1.2815457269999997</v>
      </c>
      <c r="K122" s="100">
        <v>0.93980019979999974</v>
      </c>
      <c r="L122" s="101"/>
      <c r="M122" s="101"/>
    </row>
    <row r="123" spans="1:13" x14ac:dyDescent="0.2">
      <c r="A123" s="99" t="s">
        <v>287</v>
      </c>
      <c r="B123" s="100">
        <v>925.05</v>
      </c>
      <c r="C123" s="99" t="s">
        <v>288</v>
      </c>
      <c r="D123" s="100">
        <v>48.817999999999984</v>
      </c>
      <c r="E123" s="100">
        <v>65.397999999999982</v>
      </c>
      <c r="F123" s="100">
        <v>1.851522726899999</v>
      </c>
      <c r="G123" s="100">
        <v>1.3547727269999992</v>
      </c>
      <c r="H123" s="100">
        <v>0.99349999979999948</v>
      </c>
      <c r="I123" s="100">
        <v>1.851522726899999</v>
      </c>
      <c r="J123" s="100">
        <v>1.3547727269999992</v>
      </c>
      <c r="K123" s="100">
        <v>0.99349999979999948</v>
      </c>
      <c r="L123" s="101"/>
      <c r="M123" s="101"/>
    </row>
    <row r="124" spans="1:13" x14ac:dyDescent="0.2">
      <c r="A124" s="99" t="s">
        <v>289</v>
      </c>
      <c r="B124" s="100">
        <v>975.05</v>
      </c>
      <c r="C124" s="99" t="s">
        <v>288</v>
      </c>
      <c r="D124" s="100">
        <v>48.817999999999984</v>
      </c>
      <c r="E124" s="100">
        <v>65.397999999999982</v>
      </c>
      <c r="F124" s="100">
        <v>1.9515996268999991</v>
      </c>
      <c r="G124" s="100">
        <v>1.4279997269999993</v>
      </c>
      <c r="H124" s="100">
        <v>1.0471997997999996</v>
      </c>
      <c r="I124" s="100">
        <v>1.9515996268999991</v>
      </c>
      <c r="J124" s="100">
        <v>1.4279997269999993</v>
      </c>
      <c r="K124" s="100">
        <v>1.0471997997999996</v>
      </c>
      <c r="L124" s="101"/>
      <c r="M124" s="101"/>
    </row>
    <row r="125" spans="1:13" x14ac:dyDescent="0.2">
      <c r="A125" s="99" t="s">
        <v>290</v>
      </c>
      <c r="B125" s="100">
        <v>1050.05</v>
      </c>
      <c r="C125" s="99" t="s">
        <v>288</v>
      </c>
      <c r="D125" s="100">
        <v>48.817999999999984</v>
      </c>
      <c r="E125" s="100">
        <v>65.397999999999982</v>
      </c>
      <c r="F125" s="100">
        <v>2.101714976899999</v>
      </c>
      <c r="G125" s="100">
        <v>1.5378402269999993</v>
      </c>
      <c r="H125" s="100">
        <v>1.1277494997999997</v>
      </c>
      <c r="I125" s="100">
        <v>2.101714976899999</v>
      </c>
      <c r="J125" s="100">
        <v>1.5378402269999993</v>
      </c>
      <c r="K125" s="100">
        <v>1.1277494997999997</v>
      </c>
      <c r="L125" s="101"/>
      <c r="M125" s="101"/>
    </row>
    <row r="126" spans="1:13" x14ac:dyDescent="0.2">
      <c r="A126" s="99" t="s">
        <v>291</v>
      </c>
      <c r="B126" s="100">
        <v>1150.05</v>
      </c>
      <c r="C126" s="99" t="s">
        <v>288</v>
      </c>
      <c r="D126" s="100">
        <v>48.817999999999984</v>
      </c>
      <c r="E126" s="100">
        <v>65.397999999999982</v>
      </c>
      <c r="F126" s="100">
        <v>2.3018687768999988</v>
      </c>
      <c r="G126" s="100">
        <v>1.6842942269999992</v>
      </c>
      <c r="H126" s="100">
        <v>1.2351490997999994</v>
      </c>
      <c r="I126" s="100">
        <v>2.3018687768999988</v>
      </c>
      <c r="J126" s="100">
        <v>1.6842942269999992</v>
      </c>
      <c r="K126" s="100">
        <v>1.2351490997999994</v>
      </c>
      <c r="L126" s="101"/>
      <c r="M126" s="101"/>
    </row>
    <row r="127" spans="1:13" x14ac:dyDescent="0.2">
      <c r="A127" s="99" t="s">
        <v>292</v>
      </c>
      <c r="B127" s="100">
        <v>1300.05</v>
      </c>
      <c r="C127" s="99" t="s">
        <v>293</v>
      </c>
      <c r="D127" s="100">
        <v>48.817999999999984</v>
      </c>
      <c r="E127" s="100">
        <v>65.397999999999982</v>
      </c>
      <c r="F127" s="100">
        <v>2.602099476899999</v>
      </c>
      <c r="G127" s="100">
        <v>1.9039752269999992</v>
      </c>
      <c r="H127" s="100">
        <v>1.3962484997999995</v>
      </c>
      <c r="I127" s="100">
        <v>2.602099476899999</v>
      </c>
      <c r="J127" s="100">
        <v>1.9039752269999992</v>
      </c>
      <c r="K127" s="100">
        <v>1.3962484997999995</v>
      </c>
      <c r="L127" s="101"/>
      <c r="M127" s="101"/>
    </row>
    <row r="128" spans="1:13" x14ac:dyDescent="0.2">
      <c r="A128" s="99" t="s">
        <v>294</v>
      </c>
      <c r="B128" s="100">
        <v>1500.05</v>
      </c>
      <c r="C128" s="99" t="s">
        <v>293</v>
      </c>
      <c r="D128" s="100">
        <v>48.817999999999984</v>
      </c>
      <c r="E128" s="100">
        <v>65.397999999999982</v>
      </c>
      <c r="F128" s="100">
        <v>3.0024070768999986</v>
      </c>
      <c r="G128" s="100">
        <v>2.1968832269999989</v>
      </c>
      <c r="H128" s="100">
        <v>1.6110476997999994</v>
      </c>
      <c r="I128" s="100">
        <v>3.0024070768999986</v>
      </c>
      <c r="J128" s="100">
        <v>2.1968832269999989</v>
      </c>
      <c r="K128" s="100">
        <v>1.6110476997999994</v>
      </c>
      <c r="L128" s="101"/>
      <c r="M128" s="101"/>
    </row>
    <row r="129" spans="1:13" x14ac:dyDescent="0.2">
      <c r="A129" s="99" t="s">
        <v>295</v>
      </c>
      <c r="B129" s="100">
        <v>1800.05</v>
      </c>
      <c r="C129" s="99" t="s">
        <v>296</v>
      </c>
      <c r="D129" s="100">
        <v>48.817999999999984</v>
      </c>
      <c r="E129" s="100">
        <v>65.397999999999982</v>
      </c>
      <c r="F129" s="100">
        <v>3.6028684768999981</v>
      </c>
      <c r="G129" s="100">
        <v>2.6362452269999985</v>
      </c>
      <c r="H129" s="100">
        <v>1.9332464997999992</v>
      </c>
      <c r="I129" s="100">
        <v>3.6028684768999981</v>
      </c>
      <c r="J129" s="100">
        <v>2.6362452269999985</v>
      </c>
      <c r="K129" s="100">
        <v>1.9332464997999992</v>
      </c>
      <c r="L129" s="101"/>
      <c r="M129" s="101"/>
    </row>
    <row r="130" spans="1:13" x14ac:dyDescent="0.2">
      <c r="A130" s="99" t="s">
        <v>297</v>
      </c>
      <c r="B130" s="100">
        <v>2200.0500000000002</v>
      </c>
      <c r="C130" s="99" t="s">
        <v>296</v>
      </c>
      <c r="D130" s="100">
        <v>48.817999999999984</v>
      </c>
      <c r="E130" s="100">
        <v>65.397999999999982</v>
      </c>
      <c r="F130" s="100">
        <v>4.4034836768999988</v>
      </c>
      <c r="G130" s="100">
        <v>3.2220612269999993</v>
      </c>
      <c r="H130" s="100">
        <v>2.3628448997999998</v>
      </c>
      <c r="I130" s="100">
        <v>4.4034836768999988</v>
      </c>
      <c r="J130" s="100">
        <v>3.2220612269999993</v>
      </c>
      <c r="K130" s="100">
        <v>2.3628448997999998</v>
      </c>
      <c r="L130" s="101"/>
      <c r="M130" s="101"/>
    </row>
    <row r="131" spans="1:13" x14ac:dyDescent="0.2">
      <c r="A131" s="99" t="s">
        <v>298</v>
      </c>
      <c r="B131" s="100">
        <v>2700.05</v>
      </c>
      <c r="C131" s="99" t="s">
        <v>296</v>
      </c>
      <c r="D131" s="100">
        <v>48.817999999999984</v>
      </c>
      <c r="E131" s="100">
        <v>65.397999999999982</v>
      </c>
      <c r="F131" s="100">
        <v>5.4042526768999988</v>
      </c>
      <c r="G131" s="100">
        <v>3.9543312269999986</v>
      </c>
      <c r="H131" s="100">
        <v>2.8998428997999994</v>
      </c>
      <c r="I131" s="100">
        <v>5.4042526768999988</v>
      </c>
      <c r="J131" s="100">
        <v>3.9543312269999986</v>
      </c>
      <c r="K131" s="100">
        <v>2.8998428997999994</v>
      </c>
      <c r="L131" s="101"/>
      <c r="M131" s="101"/>
    </row>
    <row r="132" spans="1:13" x14ac:dyDescent="0.2">
      <c r="A132" s="99" t="s">
        <v>299</v>
      </c>
      <c r="B132" s="100">
        <v>3500.05</v>
      </c>
      <c r="C132" s="99" t="s">
        <v>296</v>
      </c>
      <c r="D132" s="100">
        <v>48.817999999999984</v>
      </c>
      <c r="E132" s="100">
        <v>65.397999999999982</v>
      </c>
      <c r="F132" s="100">
        <v>7.0054830768999983</v>
      </c>
      <c r="G132" s="100">
        <v>5.1259632269999988</v>
      </c>
      <c r="H132" s="100">
        <v>3.7590396997999993</v>
      </c>
      <c r="I132" s="100">
        <v>7.0054830768999983</v>
      </c>
      <c r="J132" s="100">
        <v>5.1259632269999988</v>
      </c>
      <c r="K132" s="100">
        <v>3.7590396997999993</v>
      </c>
      <c r="L132" s="101"/>
      <c r="M132" s="101"/>
    </row>
    <row r="133" spans="1:13" x14ac:dyDescent="0.2">
      <c r="A133" s="99" t="s">
        <v>300</v>
      </c>
      <c r="B133" s="100">
        <v>4750.05</v>
      </c>
      <c r="C133" s="99" t="s">
        <v>296</v>
      </c>
      <c r="D133" s="100">
        <v>48.817999999999984</v>
      </c>
      <c r="E133" s="100">
        <v>65.397999999999982</v>
      </c>
      <c r="F133" s="100">
        <v>9.5074055768999965</v>
      </c>
      <c r="G133" s="100">
        <v>6.9566382269999973</v>
      </c>
      <c r="H133" s="100">
        <v>5.1015346997999984</v>
      </c>
      <c r="I133" s="100">
        <v>9.5074055768999965</v>
      </c>
      <c r="J133" s="100">
        <v>6.9566382269999973</v>
      </c>
      <c r="K133" s="100">
        <v>5.1015346997999984</v>
      </c>
      <c r="L133" s="101"/>
      <c r="M133" s="101"/>
    </row>
    <row r="134" spans="1:13" x14ac:dyDescent="0.2">
      <c r="A134" s="65"/>
      <c r="B134" s="65"/>
      <c r="C134" s="65"/>
      <c r="D134" s="65"/>
      <c r="E134" s="65"/>
      <c r="F134" s="65"/>
      <c r="G134" s="97"/>
      <c r="H134" s="97"/>
      <c r="I134" s="65"/>
      <c r="J134" s="65"/>
      <c r="K134" s="65"/>
      <c r="L134" s="65"/>
      <c r="M134" s="65"/>
    </row>
    <row r="135" spans="1:13" ht="37.5" customHeight="1" x14ac:dyDescent="0.2">
      <c r="A135" s="106" t="s">
        <v>301</v>
      </c>
      <c r="B135" s="108"/>
      <c r="C135" s="65"/>
      <c r="D135" s="65"/>
      <c r="F135" s="65"/>
      <c r="H135" s="97"/>
      <c r="J135" s="65"/>
      <c r="K135" s="65"/>
      <c r="L135" s="65"/>
      <c r="M135" s="65"/>
    </row>
    <row r="136" spans="1:13" ht="30" x14ac:dyDescent="0.2">
      <c r="A136" s="120" t="s">
        <v>302</v>
      </c>
      <c r="B136" s="120" t="s">
        <v>303</v>
      </c>
      <c r="C136" s="65"/>
      <c r="D136" s="65"/>
      <c r="F136" s="65"/>
      <c r="H136" s="97"/>
      <c r="J136" s="65"/>
      <c r="K136" s="65"/>
      <c r="L136" s="65"/>
      <c r="M136" s="65"/>
    </row>
    <row r="137" spans="1:13" x14ac:dyDescent="0.2">
      <c r="A137" s="91" t="s">
        <v>150</v>
      </c>
      <c r="B137" s="91" t="s">
        <v>150</v>
      </c>
      <c r="C137" s="65"/>
      <c r="D137" s="65"/>
      <c r="F137" s="65"/>
      <c r="H137" s="97"/>
      <c r="J137" s="65"/>
      <c r="K137" s="65"/>
      <c r="L137" s="65"/>
      <c r="M137" s="65"/>
    </row>
    <row r="138" spans="1:13" x14ac:dyDescent="0.2">
      <c r="A138" s="65"/>
      <c r="B138" s="65"/>
      <c r="C138" s="65"/>
      <c r="D138" s="65"/>
      <c r="F138" s="65"/>
      <c r="H138" s="97"/>
      <c r="I138" s="65"/>
      <c r="J138" s="65"/>
      <c r="K138" s="65"/>
      <c r="L138" s="65"/>
      <c r="M138" s="65"/>
    </row>
    <row r="139" spans="1:13" ht="37.5" customHeight="1" x14ac:dyDescent="0.2">
      <c r="A139" s="106" t="s">
        <v>304</v>
      </c>
      <c r="B139" s="109"/>
      <c r="D139" s="65"/>
      <c r="F139" s="37"/>
      <c r="H139" s="65"/>
      <c r="I139" s="65"/>
      <c r="J139" s="65"/>
      <c r="K139" s="65"/>
      <c r="L139" s="65"/>
      <c r="M139" s="65"/>
    </row>
    <row r="140" spans="1:13" ht="30" x14ac:dyDescent="0.2">
      <c r="A140" s="120" t="s">
        <v>305</v>
      </c>
      <c r="B140" s="120" t="s">
        <v>306</v>
      </c>
      <c r="C140" s="120" t="s">
        <v>307</v>
      </c>
      <c r="D140" s="65"/>
      <c r="F140" s="65"/>
      <c r="H140" s="65"/>
      <c r="I140" s="65"/>
      <c r="J140" s="65"/>
      <c r="K140" s="65"/>
      <c r="L140" s="65"/>
      <c r="M140" s="65"/>
    </row>
    <row r="141" spans="1:13" x14ac:dyDescent="0.2">
      <c r="A141" s="105" t="s">
        <v>308</v>
      </c>
      <c r="B141" s="91" t="s">
        <v>153</v>
      </c>
      <c r="C141" s="91" t="s">
        <v>309</v>
      </c>
      <c r="D141" s="65"/>
      <c r="F141" s="65"/>
      <c r="H141" s="65"/>
      <c r="I141" s="65"/>
      <c r="J141" s="65"/>
      <c r="K141" s="65"/>
      <c r="L141" s="65"/>
      <c r="M141" s="65"/>
    </row>
    <row r="142" spans="1:13" ht="28.5" x14ac:dyDescent="0.2">
      <c r="A142" s="105" t="s">
        <v>310</v>
      </c>
      <c r="B142" s="91" t="s">
        <v>156</v>
      </c>
      <c r="C142" s="91" t="s">
        <v>311</v>
      </c>
      <c r="D142" s="65"/>
      <c r="F142" s="65"/>
      <c r="H142" s="65"/>
      <c r="I142" s="65"/>
      <c r="J142" s="65"/>
      <c r="K142" s="65"/>
      <c r="L142" s="65"/>
      <c r="M142" s="65"/>
    </row>
    <row r="143" spans="1:13" ht="42.75" x14ac:dyDescent="0.2">
      <c r="A143" s="105" t="s">
        <v>312</v>
      </c>
      <c r="B143" s="91" t="s">
        <v>158</v>
      </c>
      <c r="C143" s="91" t="s">
        <v>313</v>
      </c>
      <c r="D143" s="65"/>
      <c r="F143" s="65"/>
      <c r="H143" s="65"/>
      <c r="I143" s="65"/>
      <c r="J143" s="65"/>
      <c r="K143" s="65"/>
      <c r="L143" s="65"/>
      <c r="M143" s="65"/>
    </row>
    <row r="144" spans="1:13" ht="28.5" x14ac:dyDescent="0.2">
      <c r="A144" s="91" t="s">
        <v>314</v>
      </c>
      <c r="B144" s="91" t="s">
        <v>156</v>
      </c>
      <c r="C144" s="91" t="s">
        <v>311</v>
      </c>
      <c r="D144" s="65"/>
      <c r="F144" s="65"/>
      <c r="H144" s="65"/>
      <c r="I144" s="65"/>
      <c r="J144" s="65"/>
      <c r="K144" s="65"/>
      <c r="L144" s="65"/>
      <c r="M144" s="65"/>
    </row>
    <row r="145" spans="1:13" ht="28.5" x14ac:dyDescent="0.2">
      <c r="A145" s="91" t="s">
        <v>315</v>
      </c>
      <c r="B145" s="91" t="s">
        <v>156</v>
      </c>
      <c r="C145" s="91" t="s">
        <v>311</v>
      </c>
      <c r="D145" s="65"/>
      <c r="F145" s="65"/>
      <c r="H145" s="65"/>
      <c r="I145" s="102"/>
      <c r="J145" s="65"/>
      <c r="K145" s="65"/>
      <c r="L145" s="65"/>
      <c r="M145" s="65"/>
    </row>
    <row r="146" spans="1:13" ht="28.5" x14ac:dyDescent="0.2">
      <c r="A146" s="105" t="s">
        <v>316</v>
      </c>
      <c r="B146" s="91" t="s">
        <v>156</v>
      </c>
      <c r="C146" s="91" t="s">
        <v>311</v>
      </c>
      <c r="D146" s="65"/>
      <c r="F146" s="65"/>
      <c r="H146" s="65"/>
      <c r="I146" s="102"/>
      <c r="J146" s="65"/>
      <c r="K146" s="65"/>
      <c r="L146" s="65"/>
      <c r="M146" s="65"/>
    </row>
    <row r="147" spans="1:13" ht="15" customHeight="1" x14ac:dyDescent="0.2">
      <c r="A147" s="65"/>
      <c r="B147" s="97"/>
      <c r="C147" s="65"/>
      <c r="D147" s="65"/>
      <c r="F147" s="65"/>
      <c r="H147" s="65"/>
      <c r="I147" s="102"/>
      <c r="J147" s="65"/>
      <c r="K147" s="65"/>
      <c r="L147" s="65"/>
      <c r="M147" s="65"/>
    </row>
    <row r="148" spans="1:13" ht="37.5" customHeight="1" x14ac:dyDescent="0.2">
      <c r="A148" s="106" t="s">
        <v>317</v>
      </c>
      <c r="B148" s="107"/>
      <c r="C148" s="65"/>
      <c r="D148" s="65"/>
      <c r="F148" s="65"/>
      <c r="H148" s="65"/>
      <c r="I148" s="102"/>
      <c r="J148" s="65"/>
      <c r="K148" s="65"/>
      <c r="L148" s="65"/>
      <c r="M148" s="65"/>
    </row>
    <row r="149" spans="1:13" ht="30" x14ac:dyDescent="0.2">
      <c r="A149" s="119" t="s">
        <v>139</v>
      </c>
      <c r="B149" s="119" t="s">
        <v>303</v>
      </c>
      <c r="C149" s="65"/>
      <c r="D149" s="65"/>
      <c r="F149" s="65"/>
      <c r="H149" s="65"/>
      <c r="I149" s="65"/>
      <c r="J149" s="65"/>
      <c r="K149" s="65"/>
      <c r="L149" s="65"/>
      <c r="M149" s="65"/>
    </row>
    <row r="150" spans="1:13" x14ac:dyDescent="0.2">
      <c r="A150" s="91" t="s">
        <v>318</v>
      </c>
      <c r="B150" s="103" t="b">
        <v>1</v>
      </c>
      <c r="C150" s="65"/>
      <c r="D150" s="65"/>
      <c r="F150" s="65"/>
      <c r="H150" s="65"/>
      <c r="I150" s="65"/>
      <c r="J150" s="65"/>
      <c r="K150" s="65"/>
      <c r="L150" s="65"/>
      <c r="M150" s="65"/>
    </row>
    <row r="151" spans="1:13" x14ac:dyDescent="0.2">
      <c r="A151" s="91" t="s">
        <v>319</v>
      </c>
      <c r="B151" s="103" t="b">
        <v>0</v>
      </c>
      <c r="C151" s="65"/>
      <c r="D151" s="65"/>
      <c r="F151" s="65"/>
      <c r="H151" s="65"/>
      <c r="I151" s="65"/>
      <c r="J151" s="65"/>
      <c r="K151" s="65"/>
      <c r="L151" s="65"/>
      <c r="M151" s="65"/>
    </row>
    <row r="152" spans="1:13" x14ac:dyDescent="0.2">
      <c r="A152" s="65"/>
      <c r="B152" s="97"/>
      <c r="C152" s="97"/>
      <c r="D152" s="65"/>
      <c r="F152" s="65"/>
    </row>
    <row r="153" spans="1:13" ht="37.5" customHeight="1" x14ac:dyDescent="0.2">
      <c r="A153" s="106" t="s">
        <v>320</v>
      </c>
      <c r="B153" s="125"/>
      <c r="C153" s="97"/>
      <c r="D153" s="65"/>
    </row>
    <row r="154" spans="1:13" ht="15" x14ac:dyDescent="0.2">
      <c r="A154" s="126" t="s">
        <v>321</v>
      </c>
      <c r="D154" s="65"/>
    </row>
    <row r="155" spans="1:13" x14ac:dyDescent="0.2">
      <c r="A155" s="127" t="s">
        <v>151</v>
      </c>
      <c r="D155" s="65"/>
      <c r="E155" s="65"/>
      <c r="F155" s="65"/>
      <c r="G155" s="97"/>
      <c r="H155" s="97"/>
    </row>
    <row r="156" spans="1:13" x14ac:dyDescent="0.2">
      <c r="A156" s="127" t="s">
        <v>165</v>
      </c>
      <c r="D156" s="65"/>
      <c r="E156" s="65"/>
      <c r="F156" s="65"/>
      <c r="G156" s="97"/>
      <c r="H156" s="97"/>
    </row>
    <row r="157" spans="1:13" x14ac:dyDescent="0.2">
      <c r="A157" s="127" t="s">
        <v>173</v>
      </c>
      <c r="D157" s="65"/>
      <c r="E157" s="65"/>
      <c r="F157" s="65"/>
      <c r="G157" s="97"/>
      <c r="H157" s="97"/>
    </row>
    <row r="158" spans="1:13" x14ac:dyDescent="0.2">
      <c r="A158" s="127" t="s">
        <v>219</v>
      </c>
      <c r="D158" s="65"/>
      <c r="E158" s="65"/>
      <c r="F158" s="65"/>
      <c r="G158" s="97"/>
      <c r="H158" s="97"/>
    </row>
    <row r="159" spans="1:13" x14ac:dyDescent="0.2">
      <c r="A159" s="127" t="s">
        <v>225</v>
      </c>
      <c r="D159" s="65"/>
      <c r="E159" s="65"/>
      <c r="F159" s="65"/>
      <c r="G159" s="97"/>
      <c r="H159" s="97"/>
    </row>
    <row r="160" spans="1:13" x14ac:dyDescent="0.2">
      <c r="A160" s="127" t="s">
        <v>178</v>
      </c>
      <c r="D160" s="65"/>
      <c r="E160" s="65"/>
      <c r="F160" s="65"/>
      <c r="G160" s="97"/>
      <c r="H160" s="97"/>
    </row>
    <row r="161" spans="1:8" x14ac:dyDescent="0.2">
      <c r="A161" s="127" t="s">
        <v>182</v>
      </c>
      <c r="D161" s="65"/>
      <c r="E161" s="65"/>
      <c r="F161" s="65"/>
      <c r="G161" s="97"/>
      <c r="H161" s="97"/>
    </row>
    <row r="162" spans="1:8" x14ac:dyDescent="0.2">
      <c r="A162" s="127" t="s">
        <v>187</v>
      </c>
      <c r="D162" s="65"/>
      <c r="E162" s="65"/>
      <c r="F162" s="65"/>
      <c r="G162" s="97"/>
      <c r="H162" s="97"/>
    </row>
    <row r="163" spans="1:8" x14ac:dyDescent="0.2">
      <c r="A163" s="127" t="s">
        <v>195</v>
      </c>
      <c r="D163" s="65"/>
      <c r="E163" s="65"/>
      <c r="F163" s="65"/>
      <c r="G163" s="97"/>
      <c r="H163" s="97"/>
    </row>
    <row r="164" spans="1:8" x14ac:dyDescent="0.2">
      <c r="A164" s="128" t="s">
        <v>254</v>
      </c>
      <c r="D164" s="65"/>
      <c r="E164" s="65"/>
      <c r="F164" s="65"/>
      <c r="G164" s="97"/>
      <c r="H164" s="97"/>
    </row>
    <row r="165" spans="1:8" x14ac:dyDescent="0.2">
      <c r="A165" s="128" t="s">
        <v>256</v>
      </c>
      <c r="D165" s="65"/>
      <c r="E165" s="65"/>
      <c r="F165" s="65"/>
      <c r="G165" s="97"/>
      <c r="H165" s="97"/>
    </row>
    <row r="166" spans="1:8" x14ac:dyDescent="0.2">
      <c r="A166" s="128" t="s">
        <v>257</v>
      </c>
      <c r="D166" s="65"/>
      <c r="E166" s="65"/>
      <c r="F166" s="65"/>
      <c r="G166" s="97"/>
      <c r="H166" s="97"/>
    </row>
    <row r="167" spans="1:8" x14ac:dyDescent="0.2">
      <c r="A167" s="128" t="s">
        <v>258</v>
      </c>
      <c r="D167" s="65"/>
      <c r="E167" s="65"/>
      <c r="F167" s="65"/>
      <c r="G167" s="97"/>
      <c r="H167" s="97"/>
    </row>
    <row r="168" spans="1:8" x14ac:dyDescent="0.2">
      <c r="A168" s="127" t="s">
        <v>259</v>
      </c>
      <c r="D168" s="65"/>
      <c r="E168" s="65"/>
      <c r="F168" s="65"/>
      <c r="G168" s="97"/>
      <c r="H168" s="97"/>
    </row>
    <row r="169" spans="1:8" x14ac:dyDescent="0.2">
      <c r="A169" s="127" t="s">
        <v>260</v>
      </c>
      <c r="D169" s="65"/>
      <c r="E169" s="65"/>
      <c r="F169" s="65"/>
      <c r="G169" s="97"/>
      <c r="H169" s="97"/>
    </row>
    <row r="170" spans="1:8" x14ac:dyDescent="0.2">
      <c r="A170" s="127" t="s">
        <v>261</v>
      </c>
      <c r="D170" s="65"/>
      <c r="E170" s="65"/>
      <c r="F170" s="65"/>
      <c r="G170" s="97"/>
      <c r="H170" s="97"/>
    </row>
    <row r="171" spans="1:8" x14ac:dyDescent="0.2">
      <c r="A171" s="129" t="s">
        <v>255</v>
      </c>
      <c r="D171" s="65"/>
      <c r="E171" s="65"/>
      <c r="F171" s="65"/>
      <c r="G171" s="97"/>
      <c r="H171" s="97"/>
    </row>
    <row r="173" spans="1:8" ht="37.5" customHeight="1" x14ac:dyDescent="0.2">
      <c r="A173" s="106" t="s">
        <v>322</v>
      </c>
      <c r="B173" s="132"/>
    </row>
    <row r="174" spans="1:8" ht="15" x14ac:dyDescent="0.2">
      <c r="A174" s="119" t="s">
        <v>323</v>
      </c>
    </row>
    <row r="175" spans="1:8" x14ac:dyDescent="0.2">
      <c r="A175" s="91" t="s">
        <v>151</v>
      </c>
    </row>
    <row r="176" spans="1:8" x14ac:dyDescent="0.2">
      <c r="A176" s="91" t="s">
        <v>165</v>
      </c>
    </row>
    <row r="177" spans="1:1" x14ac:dyDescent="0.2">
      <c r="A177" s="91" t="s">
        <v>173</v>
      </c>
    </row>
    <row r="178" spans="1:1" x14ac:dyDescent="0.2">
      <c r="A178" s="91" t="s">
        <v>178</v>
      </c>
    </row>
    <row r="179" spans="1:1" x14ac:dyDescent="0.2">
      <c r="A179" s="91" t="s">
        <v>182</v>
      </c>
    </row>
    <row r="180" spans="1:1" x14ac:dyDescent="0.2">
      <c r="A180" s="91" t="s">
        <v>187</v>
      </c>
    </row>
    <row r="181" spans="1:1" x14ac:dyDescent="0.2">
      <c r="A181" s="91" t="s">
        <v>195</v>
      </c>
    </row>
    <row r="182" spans="1:1" x14ac:dyDescent="0.2">
      <c r="A182" s="91" t="s">
        <v>254</v>
      </c>
    </row>
    <row r="183" spans="1:1" x14ac:dyDescent="0.2">
      <c r="A183" s="98" t="s">
        <v>256</v>
      </c>
    </row>
    <row r="184" spans="1:1" x14ac:dyDescent="0.2">
      <c r="A184" s="98" t="s">
        <v>257</v>
      </c>
    </row>
    <row r="185" spans="1:1" x14ac:dyDescent="0.2">
      <c r="A185" s="98" t="s">
        <v>258</v>
      </c>
    </row>
    <row r="186" spans="1:1" x14ac:dyDescent="0.2">
      <c r="A186" s="91" t="s">
        <v>259</v>
      </c>
    </row>
    <row r="187" spans="1:1" x14ac:dyDescent="0.2">
      <c r="A187" s="91" t="s">
        <v>260</v>
      </c>
    </row>
    <row r="188" spans="1:1" x14ac:dyDescent="0.2">
      <c r="A188" s="91" t="s">
        <v>261</v>
      </c>
    </row>
    <row r="189" spans="1:1" x14ac:dyDescent="0.2">
      <c r="A189" s="91" t="s">
        <v>255</v>
      </c>
    </row>
    <row r="191" spans="1:1" ht="37.5" customHeight="1" x14ac:dyDescent="0.2">
      <c r="A191" s="8" t="s">
        <v>324</v>
      </c>
    </row>
    <row r="192" spans="1:1" ht="15" x14ac:dyDescent="0.2">
      <c r="A192" s="119" t="s">
        <v>325</v>
      </c>
    </row>
    <row r="193" spans="1:1" x14ac:dyDescent="0.2">
      <c r="A193" s="91" t="e" cm="1" vm="1">
        <f t="array" ref="A193">_xlfn._xlws.SORT(_xlfn.UNIQUE(_xlfn._xlws.FILTER(Nutrients_from_future_land_use!$A$5:$A$21,Nutrients_from_future_land_use!$A$5:$A$21&lt;&gt;"")))</f>
        <v>#VALUE!</v>
      </c>
    </row>
  </sheetData>
  <sheetProtection algorithmName="SHA-512" hashValue="XX2QbNSiGrhwfAJWrXUDVP/mqgq+2rTeZ1f/U/L6Is3K2n8s/e5c+K+jEenP5dP8XSp7reEkpdqCek10Jb3gtw==" saltValue="x38iarCX1KOdTnCrSzow0w==" spinCount="100000" sheet="1" objects="1" scenarios="1"/>
  <phoneticPr fontId="9" type="noConversion"/>
  <dataValidations count="1">
    <dataValidation allowBlank="1" showInputMessage="1" showErrorMessage="1" prompt="This value is dependent on the rainfall volume." sqref="G105:H107 H101"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35FE3F8A6846F949848844BE82849965" ma:contentTypeVersion="15" ma:contentTypeDescription="Create a new document." ma:contentTypeScope="" ma:versionID="bd2b1cfb6f00d4b9d40c3a7f5f3852c7">
  <xsd:schema xmlns:xsd="http://www.w3.org/2001/XMLSchema" xmlns:xs="http://www.w3.org/2001/XMLSchema" xmlns:p="http://schemas.microsoft.com/office/2006/metadata/properties" xmlns:ns2="662745e8-e224-48e8-a2e3-254862b8c2f5" xmlns:ns3="0a6dda16-3985-4bb3-b7d4-e3f203704c6c" xmlns:ns4="1b0cf190-34a4-46df-8e99-7b7b75534f8a" targetNamespace="http://schemas.microsoft.com/office/2006/metadata/properties" ma:root="true" ma:fieldsID="dcf9485d9cb93dcd6f399cb0505dcc27" ns2:_="" ns3:_="" ns4:_="">
    <xsd:import namespace="662745e8-e224-48e8-a2e3-254862b8c2f5"/>
    <xsd:import namespace="0a6dda16-3985-4bb3-b7d4-e3f203704c6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trategic_Solution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a6dda16-3985-4bb3-b7d4-e3f203704c6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6A12FC-BB1B-4E54-B358-BBABDD5105C6}">
  <ds:schemaRefs>
    <ds:schemaRef ds:uri="http://schemas.microsoft.com/office/2006/metadata/properties"/>
    <ds:schemaRef ds:uri="http://purl.org/dc/elements/1.1/"/>
    <ds:schemaRef ds:uri="http://purl.org/dc/terms/"/>
    <ds:schemaRef ds:uri="1b0cf190-34a4-46df-8e99-7b7b75534f8a"/>
    <ds:schemaRef ds:uri="http://schemas.microsoft.com/office/2006/documentManagement/types"/>
    <ds:schemaRef ds:uri="http://schemas.openxmlformats.org/package/2006/metadata/core-properties"/>
    <ds:schemaRef ds:uri="http://schemas.microsoft.com/office/infopath/2007/PartnerControls"/>
    <ds:schemaRef ds:uri="0a6dda16-3985-4bb3-b7d4-e3f203704c6c"/>
    <ds:schemaRef ds:uri="662745e8-e224-48e8-a2e3-254862b8c2f5"/>
    <ds:schemaRef ds:uri="http://www.w3.org/XML/1998/namespace"/>
    <ds:schemaRef ds:uri="http://purl.org/dc/dcmitype/"/>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B51625B9-C1A3-4282-B382-823B3188E367}">
  <ds:schemaRefs>
    <ds:schemaRef ds:uri="Microsoft.SharePoint.Taxonomy.ContentTypeSync"/>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57138338-3D04-4671-9397-7461ED95F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0a6dda16-3985-4bb3-b7d4-e3f203704c6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Horn, Darren</cp:lastModifiedBy>
  <cp:revision/>
  <dcterms:created xsi:type="dcterms:W3CDTF">2021-10-14T13:24:34Z</dcterms:created>
  <dcterms:modified xsi:type="dcterms:W3CDTF">2024-09-03T11:04:08Z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0x010100A5BF1C78D9F64B679A5EBDE1C6598EBC010035FE3F8A6846F949848844BE82849965</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